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1.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updateLinks="never"/>
  <xr:revisionPtr revIDLastSave="0" documentId="13_ncr:1_{AC601A26-43F1-46B6-BE1A-FF82523FEC04}" xr6:coauthVersionLast="47" xr6:coauthVersionMax="47" xr10:uidLastSave="{00000000-0000-0000-0000-000000000000}"/>
  <bookViews>
    <workbookView xWindow="-110" yWindow="-110" windowWidth="19420" windowHeight="10420" tabRatio="851" activeTab="2" xr2:uid="{00000000-000D-0000-FFFF-FFFF00000000}"/>
  </bookViews>
  <sheets>
    <sheet name="Ranking Region" sheetId="66" r:id="rId1"/>
    <sheet name="Ranking TSP" sheetId="35" r:id="rId2"/>
    <sheet name="Main" sheetId="2" r:id="rId3"/>
    <sheet name="Supply Hours" sheetId="67" r:id="rId4"/>
    <sheet name="1" sheetId="99" r:id="rId5"/>
    <sheet name="2" sheetId="98" r:id="rId6"/>
    <sheet name="3" sheetId="69" r:id="rId7"/>
    <sheet name="4" sheetId="70" r:id="rId8"/>
    <sheet name="5" sheetId="71" r:id="rId9"/>
    <sheet name="6" sheetId="72" r:id="rId10"/>
    <sheet name="7" sheetId="73" r:id="rId11"/>
    <sheet name="8" sheetId="74" r:id="rId12"/>
    <sheet name="9" sheetId="75" r:id="rId13"/>
    <sheet name="10" sheetId="76" r:id="rId14"/>
    <sheet name="11" sheetId="77" r:id="rId15"/>
    <sheet name="12" sheetId="78" r:id="rId16"/>
    <sheet name="13" sheetId="79" r:id="rId17"/>
    <sheet name="14" sheetId="80" r:id="rId18"/>
    <sheet name="15" sheetId="81" r:id="rId19"/>
    <sheet name="16" sheetId="82" r:id="rId20"/>
    <sheet name="17" sheetId="83" r:id="rId21"/>
    <sheet name="18" sheetId="84" r:id="rId22"/>
    <sheet name="19" sheetId="85" r:id="rId23"/>
    <sheet name="20" sheetId="86" r:id="rId24"/>
    <sheet name="21" sheetId="87" r:id="rId25"/>
    <sheet name="22" sheetId="88" r:id="rId26"/>
    <sheet name="23" sheetId="89" r:id="rId27"/>
    <sheet name="24" sheetId="90" r:id="rId28"/>
    <sheet name="25" sheetId="91" r:id="rId29"/>
    <sheet name="26" sheetId="92" r:id="rId30"/>
    <sheet name="27" sheetId="93" r:id="rId31"/>
    <sheet name="28" sheetId="94" r:id="rId32"/>
    <sheet name="29" sheetId="95" r:id="rId33"/>
    <sheet name="30" sheetId="96" r:id="rId34"/>
    <sheet name="31" sheetId="97" r:id="rId35"/>
  </sheets>
  <definedNames>
    <definedName name="_xlnm._FilterDatabase" localSheetId="13" hidden="1">'10'!$A$1:$N$1</definedName>
    <definedName name="_xlnm._FilterDatabase" localSheetId="14" hidden="1">'11'!$A$1:$N$1</definedName>
    <definedName name="_xlnm._FilterDatabase" localSheetId="15" hidden="1">'12'!$A$1:$N$1</definedName>
    <definedName name="_xlnm._FilterDatabase" localSheetId="16" hidden="1">'13'!$A$1:$N$1</definedName>
    <definedName name="_xlnm._FilterDatabase" localSheetId="17" hidden="1">'14'!$A$1:$N$1</definedName>
    <definedName name="_xlnm._FilterDatabase" localSheetId="18" hidden="1">'15'!$A$1:$N$1</definedName>
    <definedName name="_xlnm._FilterDatabase" localSheetId="19" hidden="1">'16'!$A$1:$N$1</definedName>
    <definedName name="_xlnm._FilterDatabase" localSheetId="20" hidden="1">'17'!$A$1:$N$1</definedName>
    <definedName name="_xlnm._FilterDatabase" localSheetId="21" hidden="1">'18'!$A$1:$N$1</definedName>
    <definedName name="_xlnm._FilterDatabase" localSheetId="22" hidden="1">'19'!$A$1:$N$1</definedName>
    <definedName name="_xlnm._FilterDatabase" localSheetId="23" hidden="1">'20'!$A$1:$N$1</definedName>
    <definedName name="_xlnm._FilterDatabase" localSheetId="24" hidden="1">'21'!$A$1:$N$1</definedName>
    <definedName name="_xlnm._FilterDatabase" localSheetId="25" hidden="1">'22'!$A$1:$N$1</definedName>
    <definedName name="_xlnm._FilterDatabase" localSheetId="26" hidden="1">'23'!$A$1:$N$1</definedName>
    <definedName name="_xlnm._FilterDatabase" localSheetId="27" hidden="1">'24'!$A$1:$N$1</definedName>
    <definedName name="_xlnm._FilterDatabase" localSheetId="28" hidden="1">'25'!$A$1:$N$1</definedName>
    <definedName name="_xlnm._FilterDatabase" localSheetId="29" hidden="1">'26'!$A$1:$N$1</definedName>
    <definedName name="_xlnm._FilterDatabase" localSheetId="30" hidden="1">'27'!$A$1:$N$1</definedName>
    <definedName name="_xlnm._FilterDatabase" localSheetId="31" hidden="1">'28'!$A$1:$N$1</definedName>
    <definedName name="_xlnm._FilterDatabase" localSheetId="32" hidden="1">'29'!$A$1:$N$1</definedName>
    <definedName name="_xlnm._FilterDatabase" localSheetId="6" hidden="1">'3'!$A$1:$N$1</definedName>
    <definedName name="_xlnm._FilterDatabase" localSheetId="33" hidden="1">'30'!$A$1:$N$1</definedName>
    <definedName name="_xlnm._FilterDatabase" localSheetId="34" hidden="1">'31'!$A$1:$N$1</definedName>
    <definedName name="_xlnm._FilterDatabase" localSheetId="7" hidden="1">'4'!$A$1:$N$1</definedName>
    <definedName name="_xlnm._FilterDatabase" localSheetId="8" hidden="1">'5'!$A$1:$N$1</definedName>
    <definedName name="_xlnm._FilterDatabase" localSheetId="9" hidden="1">'6'!$A$1:$N$1</definedName>
    <definedName name="_xlnm._FilterDatabase" localSheetId="10" hidden="1">'7'!$A$1:$N$1</definedName>
    <definedName name="_xlnm._FilterDatabase" localSheetId="11" hidden="1">'8'!$A$1:$N$1</definedName>
    <definedName name="_xlnm._FilterDatabase" localSheetId="12" hidden="1">'9'!$A$1:$N$1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9" i="77" l="1"/>
  <c r="L100" i="77"/>
  <c r="L101" i="77"/>
  <c r="L102" i="77"/>
  <c r="L103" i="77"/>
  <c r="L104" i="77"/>
  <c r="M104" i="77" s="1"/>
  <c r="L105" i="77"/>
  <c r="M105" i="77" s="1"/>
  <c r="L106" i="77"/>
  <c r="P106" i="77" s="1"/>
  <c r="L107" i="77"/>
  <c r="L108" i="77"/>
  <c r="L109" i="77"/>
  <c r="L110" i="77"/>
  <c r="L111" i="77"/>
  <c r="L112" i="77"/>
  <c r="M112" i="77" s="1"/>
  <c r="L113" i="77"/>
  <c r="M113" i="77" s="1"/>
  <c r="L114" i="77"/>
  <c r="P114" i="77" s="1"/>
  <c r="L115" i="77"/>
  <c r="L116" i="77"/>
  <c r="L117" i="77"/>
  <c r="L118" i="77"/>
  <c r="L119" i="77"/>
  <c r="L120" i="77"/>
  <c r="M120" i="77" s="1"/>
  <c r="L121" i="77"/>
  <c r="M121" i="77" s="1"/>
  <c r="L122" i="77"/>
  <c r="P122" i="77" s="1"/>
  <c r="L123" i="77"/>
  <c r="L124" i="77"/>
  <c r="L125" i="77"/>
  <c r="L126" i="77"/>
  <c r="L127" i="77"/>
  <c r="L128" i="77"/>
  <c r="M128" i="77" s="1"/>
  <c r="L129" i="77"/>
  <c r="M129" i="77" s="1"/>
  <c r="L130" i="77"/>
  <c r="P130" i="77" s="1"/>
  <c r="L131" i="77"/>
  <c r="L132" i="77"/>
  <c r="L133" i="77"/>
  <c r="L134" i="77"/>
  <c r="L135" i="77"/>
  <c r="M135" i="77" s="1"/>
  <c r="M99" i="77"/>
  <c r="M100" i="77"/>
  <c r="M101" i="77"/>
  <c r="M102" i="77"/>
  <c r="M103" i="77"/>
  <c r="M107" i="77"/>
  <c r="M108" i="77"/>
  <c r="M109" i="77"/>
  <c r="M110" i="77"/>
  <c r="M111" i="77"/>
  <c r="M115" i="77"/>
  <c r="M116" i="77"/>
  <c r="M117" i="77"/>
  <c r="M118" i="77"/>
  <c r="M119" i="77"/>
  <c r="M123" i="77"/>
  <c r="M124" i="77"/>
  <c r="M125" i="77"/>
  <c r="M126" i="77"/>
  <c r="M127" i="77"/>
  <c r="M131" i="77"/>
  <c r="M132" i="77"/>
  <c r="M133" i="77"/>
  <c r="M134" i="77"/>
  <c r="N99" i="77"/>
  <c r="N100" i="77"/>
  <c r="N101" i="77"/>
  <c r="N102" i="77"/>
  <c r="O102" i="77" s="1"/>
  <c r="N103" i="77"/>
  <c r="O103" i="77" s="1"/>
  <c r="N104" i="77"/>
  <c r="O104" i="77" s="1"/>
  <c r="N105" i="77"/>
  <c r="N106" i="77"/>
  <c r="N107" i="77"/>
  <c r="N108" i="77"/>
  <c r="N109" i="77"/>
  <c r="N110" i="77"/>
  <c r="O110" i="77" s="1"/>
  <c r="N111" i="77"/>
  <c r="O111" i="77" s="1"/>
  <c r="N112" i="77"/>
  <c r="O112" i="77" s="1"/>
  <c r="N113" i="77"/>
  <c r="N114" i="77"/>
  <c r="N115" i="77"/>
  <c r="N116" i="77"/>
  <c r="N117" i="77"/>
  <c r="N118" i="77"/>
  <c r="O118" i="77" s="1"/>
  <c r="N119" i="77"/>
  <c r="O119" i="77" s="1"/>
  <c r="N120" i="77"/>
  <c r="O120" i="77" s="1"/>
  <c r="N121" i="77"/>
  <c r="N122" i="77"/>
  <c r="N123" i="77"/>
  <c r="N124" i="77"/>
  <c r="N125" i="77"/>
  <c r="N126" i="77"/>
  <c r="O126" i="77" s="1"/>
  <c r="N127" i="77"/>
  <c r="O127" i="77" s="1"/>
  <c r="N128" i="77"/>
  <c r="O128" i="77" s="1"/>
  <c r="N129" i="77"/>
  <c r="N130" i="77"/>
  <c r="N131" i="77"/>
  <c r="N132" i="77"/>
  <c r="N133" i="77"/>
  <c r="N134" i="77"/>
  <c r="O134" i="77" s="1"/>
  <c r="N135" i="77"/>
  <c r="O135" i="77" s="1"/>
  <c r="O99" i="77"/>
  <c r="O100" i="77"/>
  <c r="O101" i="77"/>
  <c r="O105" i="77"/>
  <c r="O106" i="77"/>
  <c r="O107" i="77"/>
  <c r="O108" i="77"/>
  <c r="O109" i="77"/>
  <c r="O113" i="77"/>
  <c r="O114" i="77"/>
  <c r="O115" i="77"/>
  <c r="O116" i="77"/>
  <c r="O117" i="77"/>
  <c r="O121" i="77"/>
  <c r="O122" i="77"/>
  <c r="O123" i="77"/>
  <c r="O124" i="77"/>
  <c r="O125" i="77"/>
  <c r="O129" i="77"/>
  <c r="O130" i="77"/>
  <c r="O131" i="77"/>
  <c r="O132" i="77"/>
  <c r="O133" i="77"/>
  <c r="P99" i="77"/>
  <c r="P100" i="77"/>
  <c r="P101" i="77"/>
  <c r="P102" i="77"/>
  <c r="P103" i="77"/>
  <c r="P104" i="77"/>
  <c r="P105" i="77"/>
  <c r="P107" i="77"/>
  <c r="P108" i="77"/>
  <c r="P109" i="77"/>
  <c r="P110" i="77"/>
  <c r="P111" i="77"/>
  <c r="P112" i="77"/>
  <c r="P113" i="77"/>
  <c r="P115" i="77"/>
  <c r="P116" i="77"/>
  <c r="P117" i="77"/>
  <c r="P118" i="77"/>
  <c r="P119" i="77"/>
  <c r="P120" i="77"/>
  <c r="P121" i="77"/>
  <c r="P123" i="77"/>
  <c r="P124" i="77"/>
  <c r="P125" i="77"/>
  <c r="P126" i="77"/>
  <c r="P127" i="77"/>
  <c r="P128" i="77"/>
  <c r="P129" i="77"/>
  <c r="P131" i="77"/>
  <c r="P132" i="77"/>
  <c r="P133" i="77"/>
  <c r="P134" i="77"/>
  <c r="P135" i="77"/>
  <c r="L82" i="74"/>
  <c r="L83" i="74"/>
  <c r="L84" i="74"/>
  <c r="L85" i="74"/>
  <c r="L86" i="74"/>
  <c r="L87" i="74"/>
  <c r="P87" i="74" s="1"/>
  <c r="L88" i="74"/>
  <c r="M88" i="74" s="1"/>
  <c r="L89" i="74"/>
  <c r="P89" i="74" s="1"/>
  <c r="L90" i="74"/>
  <c r="L91" i="74"/>
  <c r="L92" i="74"/>
  <c r="L93" i="74"/>
  <c r="L94" i="74"/>
  <c r="L95" i="74"/>
  <c r="P95" i="74" s="1"/>
  <c r="L96" i="74"/>
  <c r="M96" i="74" s="1"/>
  <c r="L97" i="74"/>
  <c r="P97" i="74" s="1"/>
  <c r="L98" i="74"/>
  <c r="L99" i="74"/>
  <c r="L100" i="74"/>
  <c r="L101" i="74"/>
  <c r="L102" i="74"/>
  <c r="L103" i="74"/>
  <c r="M103" i="74" s="1"/>
  <c r="L104" i="74"/>
  <c r="M104" i="74" s="1"/>
  <c r="L105" i="74"/>
  <c r="P105" i="74" s="1"/>
  <c r="L106" i="74"/>
  <c r="L107" i="74"/>
  <c r="L108" i="74"/>
  <c r="L109" i="74"/>
  <c r="L110" i="74"/>
  <c r="L111" i="74"/>
  <c r="P111" i="74" s="1"/>
  <c r="L112" i="74"/>
  <c r="M112" i="74" s="1"/>
  <c r="L113" i="74"/>
  <c r="P113" i="74" s="1"/>
  <c r="L114" i="74"/>
  <c r="L115" i="74"/>
  <c r="L116" i="74"/>
  <c r="L117" i="74"/>
  <c r="L118" i="74"/>
  <c r="M82" i="74"/>
  <c r="M83" i="74"/>
  <c r="M84" i="74"/>
  <c r="M85" i="74"/>
  <c r="M86" i="74"/>
  <c r="M90" i="74"/>
  <c r="M91" i="74"/>
  <c r="M92" i="74"/>
  <c r="M93" i="74"/>
  <c r="M94" i="74"/>
  <c r="M98" i="74"/>
  <c r="M99" i="74"/>
  <c r="M100" i="74"/>
  <c r="M101" i="74"/>
  <c r="M102" i="74"/>
  <c r="M106" i="74"/>
  <c r="M107" i="74"/>
  <c r="M108" i="74"/>
  <c r="M109" i="74"/>
  <c r="M110" i="74"/>
  <c r="M114" i="74"/>
  <c r="M115" i="74"/>
  <c r="M116" i="74"/>
  <c r="M117" i="74"/>
  <c r="M118" i="74"/>
  <c r="N82" i="74"/>
  <c r="N83" i="74"/>
  <c r="N84" i="74"/>
  <c r="N85" i="74"/>
  <c r="O85" i="74" s="1"/>
  <c r="N86" i="74"/>
  <c r="N87" i="74"/>
  <c r="O87" i="74" s="1"/>
  <c r="N88" i="74"/>
  <c r="N89" i="74"/>
  <c r="N90" i="74"/>
  <c r="N91" i="74"/>
  <c r="N92" i="74"/>
  <c r="N93" i="74"/>
  <c r="O93" i="74" s="1"/>
  <c r="N94" i="74"/>
  <c r="N95" i="74"/>
  <c r="O95" i="74" s="1"/>
  <c r="N96" i="74"/>
  <c r="N97" i="74"/>
  <c r="N98" i="74"/>
  <c r="N99" i="74"/>
  <c r="N100" i="74"/>
  <c r="N101" i="74"/>
  <c r="O101" i="74" s="1"/>
  <c r="N102" i="74"/>
  <c r="N103" i="74"/>
  <c r="O103" i="74" s="1"/>
  <c r="N104" i="74"/>
  <c r="N105" i="74"/>
  <c r="N106" i="74"/>
  <c r="N107" i="74"/>
  <c r="N108" i="74"/>
  <c r="N109" i="74"/>
  <c r="O109" i="74" s="1"/>
  <c r="N110" i="74"/>
  <c r="N111" i="74"/>
  <c r="O111" i="74" s="1"/>
  <c r="N112" i="74"/>
  <c r="N113" i="74"/>
  <c r="N114" i="74"/>
  <c r="N115" i="74"/>
  <c r="N116" i="74"/>
  <c r="N117" i="74"/>
  <c r="O117" i="74" s="1"/>
  <c r="N118" i="74"/>
  <c r="O82" i="74"/>
  <c r="O83" i="74"/>
  <c r="O84" i="74"/>
  <c r="O86" i="74"/>
  <c r="O88" i="74"/>
  <c r="O89" i="74"/>
  <c r="O90" i="74"/>
  <c r="O91" i="74"/>
  <c r="O92" i="74"/>
  <c r="O94" i="74"/>
  <c r="O96" i="74"/>
  <c r="O97" i="74"/>
  <c r="O98" i="74"/>
  <c r="O99" i="74"/>
  <c r="O100" i="74"/>
  <c r="O102" i="74"/>
  <c r="O104" i="74"/>
  <c r="O105" i="74"/>
  <c r="O106" i="74"/>
  <c r="O107" i="74"/>
  <c r="O108" i="74"/>
  <c r="O110" i="74"/>
  <c r="O112" i="74"/>
  <c r="O113" i="74"/>
  <c r="O114" i="74"/>
  <c r="O115" i="74"/>
  <c r="O116" i="74"/>
  <c r="O118" i="74"/>
  <c r="P82" i="74"/>
  <c r="P83" i="74"/>
  <c r="P84" i="74"/>
  <c r="P85" i="74"/>
  <c r="P86" i="74"/>
  <c r="P88" i="74"/>
  <c r="P90" i="74"/>
  <c r="P91" i="74"/>
  <c r="P92" i="74"/>
  <c r="P93" i="74"/>
  <c r="P94" i="74"/>
  <c r="P96" i="74"/>
  <c r="P98" i="74"/>
  <c r="P99" i="74"/>
  <c r="P100" i="74"/>
  <c r="P101" i="74"/>
  <c r="P102" i="74"/>
  <c r="P103" i="74"/>
  <c r="P104" i="74"/>
  <c r="P106" i="74"/>
  <c r="P107" i="74"/>
  <c r="P108" i="74"/>
  <c r="P109" i="74"/>
  <c r="P110" i="74"/>
  <c r="P112" i="74"/>
  <c r="P114" i="74"/>
  <c r="P115" i="74"/>
  <c r="P116" i="74"/>
  <c r="P117" i="74"/>
  <c r="P118" i="74"/>
  <c r="G68" i="67"/>
  <c r="K68" i="67"/>
  <c r="L68" i="67"/>
  <c r="F68" i="2"/>
  <c r="G68" i="2"/>
  <c r="H68" i="2"/>
  <c r="I68" i="2"/>
  <c r="J68" i="2"/>
  <c r="K68" i="2"/>
  <c r="L68" i="2"/>
  <c r="M68" i="2"/>
  <c r="O68" i="2"/>
  <c r="P68" i="2"/>
  <c r="Q68" i="2"/>
  <c r="U68" i="2"/>
  <c r="W68" i="2"/>
  <c r="X68" i="2"/>
  <c r="Y68" i="2"/>
  <c r="Z68" i="2"/>
  <c r="AA68" i="2"/>
  <c r="AE68" i="2"/>
  <c r="AF68" i="2"/>
  <c r="G23" i="67"/>
  <c r="K23" i="67"/>
  <c r="L23" i="67"/>
  <c r="F23" i="2"/>
  <c r="G23" i="2"/>
  <c r="H23" i="2"/>
  <c r="I23" i="2"/>
  <c r="J23" i="2"/>
  <c r="K23" i="2"/>
  <c r="L23" i="2"/>
  <c r="M23" i="2"/>
  <c r="O23" i="2"/>
  <c r="P23" i="2"/>
  <c r="Q23" i="2"/>
  <c r="U23" i="2"/>
  <c r="W23" i="2"/>
  <c r="X23" i="2"/>
  <c r="Y23" i="2"/>
  <c r="Z23" i="2"/>
  <c r="AA23" i="2"/>
  <c r="AE23" i="2"/>
  <c r="AI23" i="2" s="1"/>
  <c r="AF23" i="2"/>
  <c r="M130" i="77" l="1"/>
  <c r="M122" i="77"/>
  <c r="M114" i="77"/>
  <c r="M106" i="77"/>
  <c r="M113" i="74"/>
  <c r="M105" i="74"/>
  <c r="M97" i="74"/>
  <c r="M89" i="74"/>
  <c r="M111" i="74"/>
  <c r="M95" i="74"/>
  <c r="M87" i="74"/>
  <c r="AG68" i="2"/>
  <c r="AI68" i="2"/>
  <c r="V68" i="2"/>
  <c r="AG23" i="2"/>
  <c r="V23" i="2"/>
  <c r="G50" i="67"/>
  <c r="K50" i="67"/>
  <c r="L50" i="67"/>
  <c r="F50" i="2"/>
  <c r="G50" i="2"/>
  <c r="H50" i="2"/>
  <c r="I50" i="2"/>
  <c r="J50" i="2"/>
  <c r="K50" i="2"/>
  <c r="L50" i="2"/>
  <c r="M50" i="2"/>
  <c r="N50" i="2"/>
  <c r="O50" i="2"/>
  <c r="P50" i="2"/>
  <c r="Q50" i="2"/>
  <c r="U50" i="2"/>
  <c r="W50" i="2"/>
  <c r="X50" i="2"/>
  <c r="Y50" i="2"/>
  <c r="Z50" i="2"/>
  <c r="AA50" i="2"/>
  <c r="AE50" i="2"/>
  <c r="AF50" i="2"/>
  <c r="V50" i="2" l="1"/>
  <c r="AG50" i="2"/>
  <c r="AI50" i="2"/>
  <c r="L82" i="77"/>
  <c r="L83" i="77"/>
  <c r="L84" i="77"/>
  <c r="L85" i="77"/>
  <c r="M85" i="77" s="1"/>
  <c r="L86" i="77"/>
  <c r="L87" i="77"/>
  <c r="L88" i="77"/>
  <c r="L89" i="77"/>
  <c r="M89" i="77" s="1"/>
  <c r="L90" i="77"/>
  <c r="L91" i="77"/>
  <c r="M91" i="77" s="1"/>
  <c r="L92" i="77"/>
  <c r="M92" i="77" s="1"/>
  <c r="L93" i="77"/>
  <c r="M93" i="77" s="1"/>
  <c r="L94" i="77"/>
  <c r="M94" i="77" s="1"/>
  <c r="L95" i="77"/>
  <c r="M95" i="77" s="1"/>
  <c r="L96" i="77"/>
  <c r="L97" i="77"/>
  <c r="M97" i="77" s="1"/>
  <c r="L98" i="77"/>
  <c r="M82" i="77"/>
  <c r="M83" i="77"/>
  <c r="M84" i="77"/>
  <c r="M86" i="77"/>
  <c r="M87" i="77"/>
  <c r="M88" i="77"/>
  <c r="M90" i="77"/>
  <c r="M96" i="77"/>
  <c r="M98" i="77"/>
  <c r="N82" i="77"/>
  <c r="O82" i="77" s="1"/>
  <c r="N83" i="77"/>
  <c r="O83" i="77" s="1"/>
  <c r="N84" i="77"/>
  <c r="N85" i="77"/>
  <c r="N86" i="77"/>
  <c r="N87" i="77"/>
  <c r="O87" i="77" s="1"/>
  <c r="N88" i="77"/>
  <c r="N89" i="77"/>
  <c r="O89" i="77" s="1"/>
  <c r="N90" i="77"/>
  <c r="O90" i="77" s="1"/>
  <c r="N91" i="77"/>
  <c r="O91" i="77" s="1"/>
  <c r="N92" i="77"/>
  <c r="N93" i="77"/>
  <c r="O93" i="77" s="1"/>
  <c r="N94" i="77"/>
  <c r="O94" i="77" s="1"/>
  <c r="N95" i="77"/>
  <c r="O95" i="77" s="1"/>
  <c r="N96" i="77"/>
  <c r="N97" i="77"/>
  <c r="O97" i="77" s="1"/>
  <c r="N98" i="77"/>
  <c r="O98" i="77" s="1"/>
  <c r="O84" i="77"/>
  <c r="O85" i="77"/>
  <c r="O86" i="77"/>
  <c r="O88" i="77"/>
  <c r="O92" i="77"/>
  <c r="O96" i="77"/>
  <c r="P82" i="77"/>
  <c r="P83" i="77"/>
  <c r="P84" i="77"/>
  <c r="P85" i="77"/>
  <c r="P86" i="77"/>
  <c r="P87" i="77"/>
  <c r="P88" i="77"/>
  <c r="P89" i="77"/>
  <c r="P90" i="77"/>
  <c r="P91" i="77"/>
  <c r="P92" i="77"/>
  <c r="P93" i="77"/>
  <c r="P94" i="77"/>
  <c r="P95" i="77"/>
  <c r="P96" i="77"/>
  <c r="P97" i="77"/>
  <c r="P98" i="77"/>
  <c r="L46" i="73" l="1"/>
  <c r="M46" i="73" s="1"/>
  <c r="N46" i="73"/>
  <c r="O46" i="73" s="1"/>
  <c r="L78" i="73"/>
  <c r="P78" i="73" s="1"/>
  <c r="L79" i="73"/>
  <c r="P79" i="73" s="1"/>
  <c r="L80" i="73"/>
  <c r="L81" i="73"/>
  <c r="M81" i="73" s="1"/>
  <c r="M78" i="73"/>
  <c r="M79" i="73"/>
  <c r="M80" i="73"/>
  <c r="N78" i="73"/>
  <c r="O78" i="73" s="1"/>
  <c r="N79" i="73"/>
  <c r="O79" i="73" s="1"/>
  <c r="N80" i="73"/>
  <c r="O80" i="73" s="1"/>
  <c r="N81" i="73"/>
  <c r="O81" i="73" s="1"/>
  <c r="P80" i="73"/>
  <c r="P81" i="73"/>
  <c r="L81" i="72"/>
  <c r="M81" i="72" s="1"/>
  <c r="L82" i="72"/>
  <c r="L83" i="72"/>
  <c r="L84" i="72"/>
  <c r="M84" i="72" s="1"/>
  <c r="L85" i="72"/>
  <c r="L86" i="72"/>
  <c r="M86" i="72" s="1"/>
  <c r="L87" i="72"/>
  <c r="L88" i="72"/>
  <c r="M88" i="72" s="1"/>
  <c r="L89" i="72"/>
  <c r="M89" i="72" s="1"/>
  <c r="L90" i="72"/>
  <c r="L91" i="72"/>
  <c r="M91" i="72" s="1"/>
  <c r="M82" i="72"/>
  <c r="M83" i="72"/>
  <c r="M85" i="72"/>
  <c r="M87" i="72"/>
  <c r="M90" i="72"/>
  <c r="N81" i="72"/>
  <c r="N82" i="72"/>
  <c r="O82" i="72" s="1"/>
  <c r="N83" i="72"/>
  <c r="N84" i="72"/>
  <c r="O84" i="72" s="1"/>
  <c r="N85" i="72"/>
  <c r="O85" i="72" s="1"/>
  <c r="N86" i="72"/>
  <c r="O86" i="72" s="1"/>
  <c r="N87" i="72"/>
  <c r="O87" i="72" s="1"/>
  <c r="N88" i="72"/>
  <c r="O88" i="72" s="1"/>
  <c r="N89" i="72"/>
  <c r="O89" i="72" s="1"/>
  <c r="N90" i="72"/>
  <c r="O90" i="72" s="1"/>
  <c r="N91" i="72"/>
  <c r="O91" i="72" s="1"/>
  <c r="O81" i="72"/>
  <c r="O83" i="72"/>
  <c r="P81" i="72"/>
  <c r="P82" i="72"/>
  <c r="P83" i="72"/>
  <c r="P84" i="72"/>
  <c r="P85" i="72"/>
  <c r="P86" i="72"/>
  <c r="P87" i="72"/>
  <c r="P88" i="72"/>
  <c r="P89" i="72"/>
  <c r="P90" i="72"/>
  <c r="P91" i="72"/>
  <c r="P46" i="73" l="1"/>
  <c r="L2" i="99" l="1"/>
  <c r="M2" i="99" s="1"/>
  <c r="N2" i="99"/>
  <c r="O2" i="99" s="1"/>
  <c r="P2" i="99"/>
  <c r="L57" i="99"/>
  <c r="G139" i="67" l="1"/>
  <c r="K139" i="67"/>
  <c r="L139" i="67"/>
  <c r="F139" i="2"/>
  <c r="G139" i="2"/>
  <c r="H139" i="2"/>
  <c r="I139" i="2"/>
  <c r="J139" i="2"/>
  <c r="K139" i="2"/>
  <c r="L139" i="2"/>
  <c r="M139" i="2"/>
  <c r="N139" i="2"/>
  <c r="O139" i="2"/>
  <c r="P139" i="2"/>
  <c r="Q139" i="2"/>
  <c r="R139" i="2"/>
  <c r="S139" i="2" s="1"/>
  <c r="U139" i="2"/>
  <c r="W139" i="2"/>
  <c r="X139" i="2"/>
  <c r="Y139" i="2"/>
  <c r="Z139" i="2"/>
  <c r="AA139" i="2"/>
  <c r="AB139" i="2"/>
  <c r="AC139" i="2"/>
  <c r="AD139" i="2"/>
  <c r="AE139" i="2"/>
  <c r="AI139" i="2" s="1"/>
  <c r="AF139" i="2"/>
  <c r="AH139" i="2"/>
  <c r="AG139" i="2" l="1"/>
  <c r="V139" i="2"/>
  <c r="G2" i="67" l="1"/>
  <c r="G3" i="67"/>
  <c r="G4" i="67"/>
  <c r="G5" i="67"/>
  <c r="G6" i="67"/>
  <c r="G7" i="67"/>
  <c r="G8" i="67"/>
  <c r="G9" i="67"/>
  <c r="G10" i="67"/>
  <c r="G11" i="67"/>
  <c r="G12" i="67"/>
  <c r="G13" i="67"/>
  <c r="G14" i="67"/>
  <c r="G15" i="67"/>
  <c r="G16" i="67"/>
  <c r="G17" i="67"/>
  <c r="G18" i="67"/>
  <c r="G19" i="67"/>
  <c r="G20" i="67"/>
  <c r="G21" i="67"/>
  <c r="G22" i="67"/>
  <c r="G24" i="67"/>
  <c r="G25" i="67"/>
  <c r="G26" i="67"/>
  <c r="G27" i="67"/>
  <c r="G28" i="67"/>
  <c r="G29" i="67"/>
  <c r="G30" i="67"/>
  <c r="G31" i="67"/>
  <c r="G32" i="67"/>
  <c r="G33" i="67"/>
  <c r="G34" i="67"/>
  <c r="G35" i="67"/>
  <c r="G36" i="67"/>
  <c r="G37" i="67"/>
  <c r="G38" i="67"/>
  <c r="G39" i="67"/>
  <c r="G40" i="67"/>
  <c r="G41" i="67"/>
  <c r="G42" i="67"/>
  <c r="G43" i="67"/>
  <c r="G44" i="67"/>
  <c r="G45" i="67"/>
  <c r="G46" i="67"/>
  <c r="G47" i="67"/>
  <c r="G48" i="67"/>
  <c r="G49" i="67"/>
  <c r="G51" i="67"/>
  <c r="G52" i="67"/>
  <c r="G53" i="67"/>
  <c r="G54" i="67"/>
  <c r="G55" i="67"/>
  <c r="G56" i="67"/>
  <c r="G57" i="67"/>
  <c r="G58" i="67"/>
  <c r="G59" i="67"/>
  <c r="G60" i="67"/>
  <c r="G61" i="67"/>
  <c r="G62" i="67"/>
  <c r="G63" i="67"/>
  <c r="G64" i="67"/>
  <c r="G65" i="67"/>
  <c r="G66" i="67"/>
  <c r="G67" i="67"/>
  <c r="G69" i="67"/>
  <c r="G70" i="67"/>
  <c r="G71" i="67"/>
  <c r="G72" i="67"/>
  <c r="G73" i="67"/>
  <c r="G74" i="67"/>
  <c r="G75" i="67"/>
  <c r="G76" i="67"/>
  <c r="G77" i="67"/>
  <c r="G78" i="67"/>
  <c r="G79" i="67"/>
  <c r="G80" i="67"/>
  <c r="G81" i="67"/>
  <c r="G82" i="67"/>
  <c r="G83" i="67"/>
  <c r="G84" i="67"/>
  <c r="G85" i="67"/>
  <c r="G86" i="67"/>
  <c r="G87" i="67"/>
  <c r="G88" i="67"/>
  <c r="G89" i="67"/>
  <c r="G90" i="67"/>
  <c r="G91" i="67"/>
  <c r="G92" i="67"/>
  <c r="G93" i="67"/>
  <c r="G94" i="67"/>
  <c r="G95" i="67"/>
  <c r="G96" i="67"/>
  <c r="G97" i="67"/>
  <c r="G98" i="67"/>
  <c r="G99" i="67"/>
  <c r="G100" i="67"/>
  <c r="G101" i="67"/>
  <c r="G102" i="67"/>
  <c r="G103" i="67"/>
  <c r="G104" i="67"/>
  <c r="G105" i="67"/>
  <c r="G106" i="67"/>
  <c r="G107" i="67"/>
  <c r="G108" i="67"/>
  <c r="G109" i="67"/>
  <c r="G110" i="67"/>
  <c r="G111" i="67"/>
  <c r="G112" i="67"/>
  <c r="G113" i="67"/>
  <c r="G114" i="67"/>
  <c r="G115" i="67"/>
  <c r="G116" i="67"/>
  <c r="G117" i="67"/>
  <c r="G118" i="67"/>
  <c r="G119" i="67"/>
  <c r="G120" i="67"/>
  <c r="G121" i="67"/>
  <c r="G122" i="67"/>
  <c r="G123" i="67"/>
  <c r="G124" i="67"/>
  <c r="G125" i="67"/>
  <c r="G126" i="67"/>
  <c r="G127" i="67"/>
  <c r="G128" i="67"/>
  <c r="G129" i="67"/>
  <c r="G130" i="67"/>
  <c r="G131" i="67"/>
  <c r="G132" i="67"/>
  <c r="G133" i="67"/>
  <c r="G134" i="67"/>
  <c r="G135" i="67"/>
  <c r="G136" i="67"/>
  <c r="G137" i="67"/>
  <c r="G138" i="67"/>
  <c r="G140" i="67"/>
  <c r="G141" i="67"/>
  <c r="G142" i="67"/>
  <c r="G143" i="67"/>
  <c r="G144" i="67"/>
  <c r="G145" i="67"/>
  <c r="G146" i="67"/>
  <c r="G147" i="67"/>
  <c r="G148" i="67"/>
  <c r="G149" i="67"/>
  <c r="G150" i="67"/>
  <c r="G151" i="67"/>
  <c r="G152" i="67"/>
  <c r="G153" i="67"/>
  <c r="G154" i="67"/>
  <c r="G155" i="67"/>
  <c r="G156" i="67"/>
  <c r="G157" i="67"/>
  <c r="G158" i="67"/>
  <c r="G159" i="67"/>
  <c r="G160" i="67"/>
  <c r="G161" i="67"/>
  <c r="G162" i="67"/>
  <c r="G163" i="67"/>
  <c r="G164" i="67"/>
  <c r="G165" i="67"/>
  <c r="G166" i="67"/>
  <c r="G167" i="67"/>
  <c r="G168" i="67"/>
  <c r="G169" i="67"/>
  <c r="G170" i="67"/>
  <c r="G171" i="67"/>
  <c r="G172" i="67"/>
  <c r="G173" i="67"/>
  <c r="G174" i="67"/>
  <c r="G175" i="67"/>
  <c r="G176" i="67"/>
  <c r="G177" i="67"/>
  <c r="G178" i="67"/>
  <c r="G179" i="67"/>
  <c r="G180" i="67"/>
  <c r="G181" i="67"/>
  <c r="G182" i="67"/>
  <c r="G183" i="67"/>
  <c r="G184" i="67"/>
  <c r="G185" i="67"/>
  <c r="G186" i="67"/>
  <c r="G187" i="67"/>
  <c r="G188" i="67"/>
  <c r="G189" i="67"/>
  <c r="G190" i="67"/>
  <c r="G191" i="67"/>
  <c r="G192" i="67"/>
  <c r="G193" i="67"/>
  <c r="G194" i="67"/>
  <c r="G195" i="67"/>
  <c r="G196" i="67"/>
  <c r="K178" i="67" l="1"/>
  <c r="L178" i="67"/>
  <c r="K179" i="67"/>
  <c r="L179" i="67"/>
  <c r="F178" i="2"/>
  <c r="G178" i="2"/>
  <c r="H178" i="2"/>
  <c r="I178" i="2"/>
  <c r="J178" i="2"/>
  <c r="K178" i="2"/>
  <c r="L178" i="2"/>
  <c r="M178" i="2"/>
  <c r="N178" i="2"/>
  <c r="O178" i="2"/>
  <c r="P178" i="2"/>
  <c r="Q178" i="2"/>
  <c r="R178" i="2"/>
  <c r="S178" i="2" s="1"/>
  <c r="U178" i="2"/>
  <c r="W178" i="2"/>
  <c r="X178" i="2"/>
  <c r="Y178" i="2"/>
  <c r="Z178" i="2"/>
  <c r="AA178" i="2"/>
  <c r="AB178" i="2"/>
  <c r="AC178" i="2"/>
  <c r="AD178" i="2"/>
  <c r="AE178" i="2"/>
  <c r="AF178" i="2"/>
  <c r="AH178" i="2"/>
  <c r="F179" i="2"/>
  <c r="G179" i="2"/>
  <c r="H179" i="2"/>
  <c r="I179" i="2"/>
  <c r="J179" i="2"/>
  <c r="K179" i="2"/>
  <c r="L179" i="2"/>
  <c r="M179" i="2"/>
  <c r="N179" i="2"/>
  <c r="O179" i="2"/>
  <c r="P179" i="2"/>
  <c r="Q179" i="2"/>
  <c r="R179" i="2"/>
  <c r="S179" i="2" s="1"/>
  <c r="U179" i="2"/>
  <c r="W179" i="2"/>
  <c r="X179" i="2"/>
  <c r="Y179" i="2"/>
  <c r="Z179" i="2"/>
  <c r="AA179" i="2"/>
  <c r="AB179" i="2"/>
  <c r="AC179" i="2"/>
  <c r="AD179" i="2"/>
  <c r="AE179" i="2"/>
  <c r="AI179" i="2" s="1"/>
  <c r="AF179" i="2"/>
  <c r="AH179" i="2"/>
  <c r="K2" i="67"/>
  <c r="K3" i="67"/>
  <c r="K4" i="67"/>
  <c r="K5" i="67"/>
  <c r="K6" i="67"/>
  <c r="K7" i="67"/>
  <c r="K8" i="67"/>
  <c r="K9" i="67"/>
  <c r="K10" i="67"/>
  <c r="K11" i="67"/>
  <c r="K12" i="67"/>
  <c r="K13" i="67"/>
  <c r="K14" i="67"/>
  <c r="K15" i="67"/>
  <c r="K16" i="67"/>
  <c r="K17" i="67"/>
  <c r="K18" i="67"/>
  <c r="K19" i="67"/>
  <c r="K20" i="67"/>
  <c r="K21" i="67"/>
  <c r="K22" i="67"/>
  <c r="K24" i="67"/>
  <c r="K25" i="67"/>
  <c r="K26" i="67"/>
  <c r="K27" i="67"/>
  <c r="K28" i="67"/>
  <c r="K29" i="67"/>
  <c r="K30" i="67"/>
  <c r="K31" i="67"/>
  <c r="K32" i="67"/>
  <c r="K33" i="67"/>
  <c r="K34" i="67"/>
  <c r="K35" i="67"/>
  <c r="K36" i="67"/>
  <c r="K37" i="67"/>
  <c r="K38" i="67"/>
  <c r="K39" i="67"/>
  <c r="K40" i="67"/>
  <c r="K41" i="67"/>
  <c r="K42" i="67"/>
  <c r="K43" i="67"/>
  <c r="K44" i="67"/>
  <c r="K45" i="67"/>
  <c r="K46" i="67"/>
  <c r="K47" i="67"/>
  <c r="K48" i="67"/>
  <c r="K49" i="67"/>
  <c r="K51" i="67"/>
  <c r="K52" i="67"/>
  <c r="K53" i="67"/>
  <c r="K54" i="67"/>
  <c r="K55" i="67"/>
  <c r="K56" i="67"/>
  <c r="K57" i="67"/>
  <c r="K58" i="67"/>
  <c r="K59" i="67"/>
  <c r="K60" i="67"/>
  <c r="K61" i="67"/>
  <c r="K62" i="67"/>
  <c r="K63" i="67"/>
  <c r="K64" i="67"/>
  <c r="K65" i="67"/>
  <c r="K66" i="67"/>
  <c r="K67" i="67"/>
  <c r="K69" i="67"/>
  <c r="K70" i="67"/>
  <c r="K71" i="67"/>
  <c r="K72" i="67"/>
  <c r="K73" i="67"/>
  <c r="K74" i="67"/>
  <c r="K75" i="67"/>
  <c r="K76" i="67"/>
  <c r="K77" i="67"/>
  <c r="K78" i="67"/>
  <c r="K79" i="67"/>
  <c r="K80" i="67"/>
  <c r="K81" i="67"/>
  <c r="K82" i="67"/>
  <c r="K83" i="67"/>
  <c r="K84" i="67"/>
  <c r="K85" i="67"/>
  <c r="K86" i="67"/>
  <c r="K87" i="67"/>
  <c r="K88" i="67"/>
  <c r="K89" i="67"/>
  <c r="K90" i="67"/>
  <c r="K91" i="67"/>
  <c r="K92" i="67"/>
  <c r="K93" i="67"/>
  <c r="K94" i="67"/>
  <c r="K95" i="67"/>
  <c r="K96" i="67"/>
  <c r="K97" i="67"/>
  <c r="K98" i="67"/>
  <c r="K99" i="67"/>
  <c r="K100" i="67"/>
  <c r="K101" i="67"/>
  <c r="K102" i="67"/>
  <c r="K103" i="67"/>
  <c r="K104" i="67"/>
  <c r="K105" i="67"/>
  <c r="K106" i="67"/>
  <c r="K107" i="67"/>
  <c r="K108" i="67"/>
  <c r="K109" i="67"/>
  <c r="K110" i="67"/>
  <c r="K111" i="67"/>
  <c r="K112" i="67"/>
  <c r="K113" i="67"/>
  <c r="K114" i="67"/>
  <c r="K115" i="67"/>
  <c r="K116" i="67"/>
  <c r="K117" i="67"/>
  <c r="K118" i="67"/>
  <c r="K119" i="67"/>
  <c r="K120" i="67"/>
  <c r="K121" i="67"/>
  <c r="K122" i="67"/>
  <c r="K123" i="67"/>
  <c r="K124" i="67"/>
  <c r="K125" i="67"/>
  <c r="K126" i="67"/>
  <c r="K127" i="67"/>
  <c r="K128" i="67"/>
  <c r="K129" i="67"/>
  <c r="K130" i="67"/>
  <c r="K131" i="67"/>
  <c r="K132" i="67"/>
  <c r="K133" i="67"/>
  <c r="K134" i="67"/>
  <c r="K135" i="67"/>
  <c r="K136" i="67"/>
  <c r="K137" i="67"/>
  <c r="K138" i="67"/>
  <c r="K140" i="67"/>
  <c r="K141" i="67"/>
  <c r="K142" i="67"/>
  <c r="K143" i="67"/>
  <c r="K144" i="67"/>
  <c r="K145" i="67"/>
  <c r="K146" i="67"/>
  <c r="K147" i="67"/>
  <c r="K148" i="67"/>
  <c r="K149" i="67"/>
  <c r="K150" i="67"/>
  <c r="K151" i="67"/>
  <c r="K152" i="67"/>
  <c r="K153" i="67"/>
  <c r="K154" i="67"/>
  <c r="K155" i="67"/>
  <c r="K156" i="67"/>
  <c r="K157" i="67"/>
  <c r="K158" i="67"/>
  <c r="K159" i="67"/>
  <c r="K160" i="67"/>
  <c r="K161" i="67"/>
  <c r="K162" i="67"/>
  <c r="K163" i="67"/>
  <c r="K164" i="67"/>
  <c r="K165" i="67"/>
  <c r="K166" i="67"/>
  <c r="K167" i="67"/>
  <c r="K168" i="67"/>
  <c r="K169" i="67"/>
  <c r="K170" i="67"/>
  <c r="K171" i="67"/>
  <c r="K172" i="67"/>
  <c r="K173" i="67"/>
  <c r="K174" i="67"/>
  <c r="K175" i="67"/>
  <c r="K176" i="67"/>
  <c r="K177" i="67"/>
  <c r="K180" i="67"/>
  <c r="K181" i="67"/>
  <c r="K182" i="67"/>
  <c r="K183" i="67"/>
  <c r="K184" i="67"/>
  <c r="K185" i="67"/>
  <c r="K186" i="67"/>
  <c r="K187" i="67"/>
  <c r="K188" i="67"/>
  <c r="K189" i="67"/>
  <c r="K190" i="67"/>
  <c r="K191" i="67"/>
  <c r="K192" i="67"/>
  <c r="K193" i="67"/>
  <c r="K194" i="67"/>
  <c r="K195" i="67"/>
  <c r="K196" i="67"/>
  <c r="L175" i="67"/>
  <c r="F175" i="2"/>
  <c r="G175" i="2"/>
  <c r="H175" i="2"/>
  <c r="I175" i="2"/>
  <c r="J175" i="2"/>
  <c r="K175" i="2"/>
  <c r="L175" i="2"/>
  <c r="M175" i="2"/>
  <c r="O175" i="2"/>
  <c r="P175" i="2"/>
  <c r="Q175" i="2"/>
  <c r="U175" i="2"/>
  <c r="W175" i="2"/>
  <c r="X175" i="2"/>
  <c r="Y175" i="2"/>
  <c r="Z175" i="2"/>
  <c r="AA175" i="2"/>
  <c r="AE175" i="2"/>
  <c r="AI175" i="2" s="1"/>
  <c r="AF175" i="2"/>
  <c r="AG178" i="2" l="1"/>
  <c r="AI178" i="2"/>
  <c r="I179" i="67"/>
  <c r="V178" i="2"/>
  <c r="AG179" i="2"/>
  <c r="V179" i="2"/>
  <c r="AG175" i="2"/>
  <c r="V175" i="2"/>
  <c r="L49" i="67" l="1"/>
  <c r="F49" i="2"/>
  <c r="G49" i="2"/>
  <c r="H49" i="2"/>
  <c r="I49" i="2"/>
  <c r="J49" i="2"/>
  <c r="K49" i="2"/>
  <c r="L49" i="2"/>
  <c r="M49" i="2"/>
  <c r="P49" i="2"/>
  <c r="Q49" i="2"/>
  <c r="U49" i="2"/>
  <c r="W49" i="2"/>
  <c r="X49" i="2"/>
  <c r="Y49" i="2"/>
  <c r="Z49" i="2"/>
  <c r="AA49" i="2"/>
  <c r="AE49" i="2"/>
  <c r="AF49" i="2"/>
  <c r="AG49" i="2" l="1"/>
  <c r="AI49" i="2"/>
  <c r="V49" i="2"/>
  <c r="F46" i="2"/>
  <c r="G46" i="2"/>
  <c r="H46" i="2"/>
  <c r="I46" i="2"/>
  <c r="J46" i="2"/>
  <c r="K46" i="2"/>
  <c r="L46" i="2"/>
  <c r="M46" i="2"/>
  <c r="N46" i="2"/>
  <c r="O46" i="2"/>
  <c r="P46" i="2"/>
  <c r="Q46" i="2"/>
  <c r="R46" i="2"/>
  <c r="S46" i="2" s="1"/>
  <c r="U46" i="2"/>
  <c r="W46" i="2"/>
  <c r="X46" i="2"/>
  <c r="Y46" i="2"/>
  <c r="Z46" i="2"/>
  <c r="AA46" i="2"/>
  <c r="AB46" i="2"/>
  <c r="AC46" i="2"/>
  <c r="AD46" i="2"/>
  <c r="AE46" i="2"/>
  <c r="AF46" i="2"/>
  <c r="AH46" i="2"/>
  <c r="L46" i="67"/>
  <c r="L25" i="67"/>
  <c r="F25" i="2"/>
  <c r="G25" i="2"/>
  <c r="H25" i="2"/>
  <c r="I25" i="2"/>
  <c r="J25" i="2"/>
  <c r="K25" i="2"/>
  <c r="L25" i="2"/>
  <c r="M25" i="2"/>
  <c r="N25" i="2"/>
  <c r="O25" i="2"/>
  <c r="P25" i="2"/>
  <c r="Q25" i="2"/>
  <c r="R25" i="2"/>
  <c r="S25" i="2" s="1"/>
  <c r="U25" i="2"/>
  <c r="W25" i="2"/>
  <c r="X25" i="2"/>
  <c r="Y25" i="2"/>
  <c r="Z25" i="2"/>
  <c r="AA25" i="2"/>
  <c r="AB25" i="2"/>
  <c r="AC25" i="2"/>
  <c r="AD25" i="2"/>
  <c r="AE25" i="2"/>
  <c r="AI25" i="2" s="1"/>
  <c r="AF25" i="2"/>
  <c r="AH25" i="2"/>
  <c r="AG46" i="2" l="1"/>
  <c r="AI46" i="2"/>
  <c r="V46" i="2"/>
  <c r="V25" i="2"/>
  <c r="AG25" i="2"/>
  <c r="F47" i="2" l="1"/>
  <c r="G47" i="2"/>
  <c r="H47" i="2"/>
  <c r="I47" i="2"/>
  <c r="J47" i="2"/>
  <c r="K47" i="2"/>
  <c r="L47" i="2"/>
  <c r="M47" i="2"/>
  <c r="N47" i="2"/>
  <c r="O47" i="2"/>
  <c r="P47" i="2"/>
  <c r="Q47" i="2"/>
  <c r="R47" i="2"/>
  <c r="S47" i="2" s="1"/>
  <c r="U47" i="2"/>
  <c r="W47" i="2"/>
  <c r="X47" i="2"/>
  <c r="Y47" i="2"/>
  <c r="Z47" i="2"/>
  <c r="AA47" i="2"/>
  <c r="AE47" i="2"/>
  <c r="AF47" i="2"/>
  <c r="AH47" i="2"/>
  <c r="F48" i="2"/>
  <c r="G48" i="2"/>
  <c r="H48" i="2"/>
  <c r="I48" i="2"/>
  <c r="J48" i="2"/>
  <c r="K48" i="2"/>
  <c r="L48" i="2"/>
  <c r="M48" i="2"/>
  <c r="O48" i="2"/>
  <c r="P48" i="2"/>
  <c r="Q48" i="2"/>
  <c r="U48" i="2"/>
  <c r="W48" i="2"/>
  <c r="X48" i="2"/>
  <c r="Y48" i="2"/>
  <c r="Z48" i="2"/>
  <c r="AA48" i="2"/>
  <c r="AE48" i="2"/>
  <c r="AI48" i="2" s="1"/>
  <c r="AF48" i="2"/>
  <c r="F33" i="2"/>
  <c r="G33" i="2"/>
  <c r="H33" i="2"/>
  <c r="I33" i="2"/>
  <c r="J33" i="2"/>
  <c r="K33" i="2"/>
  <c r="L33" i="2"/>
  <c r="M33" i="2"/>
  <c r="N33" i="2"/>
  <c r="P33" i="2"/>
  <c r="Q33" i="2"/>
  <c r="U33" i="2"/>
  <c r="W33" i="2"/>
  <c r="X33" i="2"/>
  <c r="Y33" i="2"/>
  <c r="Z33" i="2"/>
  <c r="AA33" i="2"/>
  <c r="AE33" i="2"/>
  <c r="AI33" i="2" s="1"/>
  <c r="AF33" i="2"/>
  <c r="AG33" i="2" l="1"/>
  <c r="AG47" i="2"/>
  <c r="AG48" i="2"/>
  <c r="AI47" i="2"/>
  <c r="V47" i="2"/>
  <c r="V48" i="2"/>
  <c r="V33" i="2"/>
  <c r="L47" i="67"/>
  <c r="T46" i="2" s="1"/>
  <c r="L48" i="67"/>
  <c r="L33" i="67"/>
  <c r="T47" i="2" l="1"/>
  <c r="L103" i="67"/>
  <c r="F103" i="2"/>
  <c r="G103" i="2"/>
  <c r="H103" i="2"/>
  <c r="I103" i="2"/>
  <c r="J103" i="2"/>
  <c r="K103" i="2"/>
  <c r="L103" i="2"/>
  <c r="M103" i="2"/>
  <c r="O103" i="2"/>
  <c r="P103" i="2"/>
  <c r="Q103" i="2"/>
  <c r="U103" i="2"/>
  <c r="W103" i="2"/>
  <c r="X103" i="2"/>
  <c r="Y103" i="2"/>
  <c r="Z103" i="2"/>
  <c r="AA103" i="2"/>
  <c r="AE103" i="2"/>
  <c r="AI103" i="2" s="1"/>
  <c r="AF103" i="2"/>
  <c r="AG103" i="2" l="1"/>
  <c r="V103" i="2"/>
  <c r="L64" i="67"/>
  <c r="F64" i="2"/>
  <c r="G64" i="2"/>
  <c r="H64" i="2"/>
  <c r="I64" i="2"/>
  <c r="J64" i="2"/>
  <c r="K64" i="2"/>
  <c r="L64" i="2"/>
  <c r="M64" i="2"/>
  <c r="O64" i="2"/>
  <c r="P64" i="2"/>
  <c r="Q64" i="2"/>
  <c r="U64" i="2"/>
  <c r="W64" i="2"/>
  <c r="X64" i="2"/>
  <c r="Y64" i="2"/>
  <c r="Z64" i="2"/>
  <c r="AA64" i="2"/>
  <c r="AE64" i="2"/>
  <c r="AF64" i="2"/>
  <c r="AG64" i="2" l="1"/>
  <c r="AI64" i="2"/>
  <c r="V64" i="2"/>
  <c r="L70" i="67"/>
  <c r="F70" i="2"/>
  <c r="G70" i="2"/>
  <c r="H70" i="2"/>
  <c r="I70" i="2"/>
  <c r="J70" i="2"/>
  <c r="K70" i="2"/>
  <c r="L70" i="2"/>
  <c r="M70" i="2"/>
  <c r="O70" i="2"/>
  <c r="P70" i="2"/>
  <c r="Q70" i="2"/>
  <c r="U70" i="2"/>
  <c r="W70" i="2"/>
  <c r="X70" i="2"/>
  <c r="Y70" i="2"/>
  <c r="Z70" i="2"/>
  <c r="AA70" i="2"/>
  <c r="AE70" i="2"/>
  <c r="AI70" i="2" s="1"/>
  <c r="AF70" i="2"/>
  <c r="V70" i="2" l="1"/>
  <c r="AG70" i="2"/>
  <c r="J3" i="2"/>
  <c r="J4" i="2"/>
  <c r="J5" i="2"/>
  <c r="J6" i="2"/>
  <c r="J7" i="2"/>
  <c r="J8" i="2"/>
  <c r="J9" i="2"/>
  <c r="J10" i="2"/>
  <c r="J11" i="2"/>
  <c r="J12" i="2"/>
  <c r="J13" i="2"/>
  <c r="J14" i="2"/>
  <c r="J15" i="2"/>
  <c r="J16" i="2"/>
  <c r="J17" i="2"/>
  <c r="J18" i="2"/>
  <c r="J19" i="2"/>
  <c r="J20" i="2"/>
  <c r="J21" i="2"/>
  <c r="J22" i="2"/>
  <c r="J24" i="2"/>
  <c r="J26" i="2"/>
  <c r="J27" i="2"/>
  <c r="J28" i="2"/>
  <c r="J29" i="2"/>
  <c r="J30" i="2"/>
  <c r="J31" i="2"/>
  <c r="J32" i="2"/>
  <c r="J34" i="2"/>
  <c r="J35" i="2"/>
  <c r="J36" i="2"/>
  <c r="J37" i="2"/>
  <c r="J38" i="2"/>
  <c r="J39" i="2"/>
  <c r="J40" i="2"/>
  <c r="J41" i="2"/>
  <c r="J42" i="2"/>
  <c r="J43" i="2"/>
  <c r="J44" i="2"/>
  <c r="J45" i="2"/>
  <c r="J51" i="2"/>
  <c r="J52" i="2"/>
  <c r="J53" i="2"/>
  <c r="J54" i="2"/>
  <c r="J55" i="2"/>
  <c r="J56" i="2"/>
  <c r="J57" i="2"/>
  <c r="J58" i="2"/>
  <c r="J59" i="2"/>
  <c r="J60" i="2"/>
  <c r="J61" i="2"/>
  <c r="J62" i="2"/>
  <c r="J63" i="2"/>
  <c r="J65" i="2"/>
  <c r="J66" i="2"/>
  <c r="J67" i="2"/>
  <c r="J69"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6" i="2"/>
  <c r="J177" i="2"/>
  <c r="J180" i="2"/>
  <c r="J181" i="2"/>
  <c r="J182" i="2"/>
  <c r="J183" i="2"/>
  <c r="J184" i="2"/>
  <c r="J185" i="2"/>
  <c r="J186" i="2"/>
  <c r="J187" i="2"/>
  <c r="J188" i="2"/>
  <c r="J189" i="2"/>
  <c r="J190" i="2"/>
  <c r="J191" i="2"/>
  <c r="J192" i="2"/>
  <c r="J193" i="2"/>
  <c r="J194" i="2"/>
  <c r="J195" i="2"/>
  <c r="J196" i="2"/>
  <c r="J2" i="2"/>
  <c r="F28" i="2" l="1"/>
  <c r="G28" i="2"/>
  <c r="H28" i="2"/>
  <c r="I28" i="2"/>
  <c r="K28" i="2"/>
  <c r="L28" i="2"/>
  <c r="M28" i="2"/>
  <c r="P28" i="2"/>
  <c r="Q28" i="2"/>
  <c r="U28" i="2"/>
  <c r="W28" i="2"/>
  <c r="X28" i="2"/>
  <c r="Y28" i="2"/>
  <c r="Z28" i="2"/>
  <c r="AA28" i="2"/>
  <c r="AE28" i="2"/>
  <c r="AF28" i="2"/>
  <c r="F29" i="2"/>
  <c r="G29" i="2"/>
  <c r="H29" i="2"/>
  <c r="I29" i="2"/>
  <c r="K29" i="2"/>
  <c r="L29" i="2"/>
  <c r="M29" i="2"/>
  <c r="O29" i="2"/>
  <c r="P29" i="2"/>
  <c r="Q29" i="2"/>
  <c r="U29" i="2"/>
  <c r="W29" i="2"/>
  <c r="X29" i="2"/>
  <c r="Y29" i="2"/>
  <c r="Z29" i="2"/>
  <c r="AA29" i="2"/>
  <c r="AE29" i="2"/>
  <c r="AF29" i="2"/>
  <c r="L28" i="67"/>
  <c r="L29" i="67"/>
  <c r="AG28" i="2" l="1"/>
  <c r="V29" i="2"/>
  <c r="AG29" i="2"/>
  <c r="V28" i="2"/>
  <c r="AI28" i="2"/>
  <c r="AI29" i="2"/>
  <c r="L96" i="67"/>
  <c r="F96" i="2" l="1"/>
  <c r="G96" i="2"/>
  <c r="H96" i="2"/>
  <c r="I96" i="2"/>
  <c r="K96" i="2"/>
  <c r="L96" i="2"/>
  <c r="M96" i="2"/>
  <c r="O96" i="2"/>
  <c r="P96" i="2"/>
  <c r="Q96" i="2"/>
  <c r="U96" i="2"/>
  <c r="W96" i="2"/>
  <c r="X96" i="2"/>
  <c r="Y96" i="2"/>
  <c r="Z96" i="2"/>
  <c r="AA96" i="2"/>
  <c r="AE96" i="2"/>
  <c r="AI96" i="2" s="1"/>
  <c r="AF96" i="2"/>
  <c r="AG96" i="2" l="1"/>
  <c r="V96" i="2"/>
  <c r="L149" i="67"/>
  <c r="F149" i="2"/>
  <c r="G149" i="2"/>
  <c r="H149" i="2"/>
  <c r="I149" i="2"/>
  <c r="K149" i="2"/>
  <c r="L149" i="2"/>
  <c r="M149" i="2"/>
  <c r="P149" i="2"/>
  <c r="Q149" i="2"/>
  <c r="U149" i="2"/>
  <c r="W149" i="2"/>
  <c r="X149" i="2"/>
  <c r="Y149" i="2"/>
  <c r="Z149" i="2"/>
  <c r="AA149" i="2"/>
  <c r="AE149" i="2"/>
  <c r="AI149" i="2" s="1"/>
  <c r="AF149" i="2"/>
  <c r="V149" i="2" l="1"/>
  <c r="AG149" i="2"/>
  <c r="L26" i="67"/>
  <c r="T25" i="2" s="1"/>
  <c r="L30" i="67"/>
  <c r="T29" i="2" s="1"/>
  <c r="F30" i="2"/>
  <c r="G30" i="2"/>
  <c r="H30" i="2"/>
  <c r="I30" i="2"/>
  <c r="K30" i="2"/>
  <c r="L30" i="2"/>
  <c r="M30" i="2"/>
  <c r="O30" i="2"/>
  <c r="P30" i="2"/>
  <c r="Q30" i="2"/>
  <c r="U30" i="2"/>
  <c r="W30" i="2"/>
  <c r="X30" i="2"/>
  <c r="Y30" i="2"/>
  <c r="Z30" i="2"/>
  <c r="AA30" i="2"/>
  <c r="AE30" i="2"/>
  <c r="AF30" i="2"/>
  <c r="V30" i="2" l="1"/>
  <c r="AG30" i="2"/>
  <c r="AI30" i="2"/>
  <c r="F26" i="2" l="1"/>
  <c r="G26" i="2"/>
  <c r="H26" i="2"/>
  <c r="I26" i="2"/>
  <c r="K26" i="2"/>
  <c r="L26" i="2"/>
  <c r="M26" i="2"/>
  <c r="N26" i="2"/>
  <c r="O26" i="2"/>
  <c r="P26" i="2"/>
  <c r="Q26" i="2"/>
  <c r="R26" i="2"/>
  <c r="S26" i="2" s="1"/>
  <c r="I26" i="67" s="1"/>
  <c r="U26" i="2"/>
  <c r="W26" i="2"/>
  <c r="X26" i="2"/>
  <c r="Y26" i="2"/>
  <c r="Z26" i="2"/>
  <c r="AA26" i="2"/>
  <c r="AB26" i="2"/>
  <c r="AC26" i="2"/>
  <c r="AD26" i="2"/>
  <c r="AE26" i="2"/>
  <c r="AI26" i="2" s="1"/>
  <c r="AF26" i="2"/>
  <c r="AH26" i="2"/>
  <c r="V26" i="2" l="1"/>
  <c r="AG26" i="2"/>
  <c r="L95" i="67"/>
  <c r="L21" i="67"/>
  <c r="F95" i="2"/>
  <c r="G95" i="2"/>
  <c r="H95" i="2"/>
  <c r="I95" i="2"/>
  <c r="K95" i="2"/>
  <c r="L95" i="2"/>
  <c r="M95" i="2"/>
  <c r="O95" i="2"/>
  <c r="P95" i="2"/>
  <c r="Q95" i="2"/>
  <c r="U95" i="2"/>
  <c r="W95" i="2"/>
  <c r="X95" i="2"/>
  <c r="Y95" i="2"/>
  <c r="Z95" i="2"/>
  <c r="AA95" i="2"/>
  <c r="AE95" i="2"/>
  <c r="AI95" i="2" s="1"/>
  <c r="AF95" i="2"/>
  <c r="F21" i="2"/>
  <c r="G21" i="2"/>
  <c r="H21" i="2"/>
  <c r="I21" i="2"/>
  <c r="K21" i="2"/>
  <c r="L21" i="2"/>
  <c r="M21" i="2"/>
  <c r="O21" i="2"/>
  <c r="P21" i="2"/>
  <c r="Q21" i="2"/>
  <c r="U21" i="2"/>
  <c r="W21" i="2"/>
  <c r="X21" i="2"/>
  <c r="Y21" i="2"/>
  <c r="Z21" i="2"/>
  <c r="AA21" i="2"/>
  <c r="AE21" i="2"/>
  <c r="AI21" i="2" s="1"/>
  <c r="AF21" i="2"/>
  <c r="AG95" i="2" l="1"/>
  <c r="V95" i="2"/>
  <c r="V21" i="2"/>
  <c r="AG21" i="2"/>
  <c r="L73" i="67"/>
  <c r="F73" i="2" l="1"/>
  <c r="G73" i="2"/>
  <c r="H73" i="2"/>
  <c r="I73" i="2"/>
  <c r="K73" i="2"/>
  <c r="L73" i="2"/>
  <c r="M73" i="2"/>
  <c r="O73" i="2"/>
  <c r="P73" i="2"/>
  <c r="Q73" i="2"/>
  <c r="U73" i="2"/>
  <c r="W73" i="2"/>
  <c r="X73" i="2"/>
  <c r="Y73" i="2"/>
  <c r="Z73" i="2"/>
  <c r="AA73" i="2"/>
  <c r="AE73" i="2"/>
  <c r="AI73" i="2" s="1"/>
  <c r="AF73" i="2"/>
  <c r="V73" i="2" l="1"/>
  <c r="AG73" i="2"/>
  <c r="AD4" i="2"/>
  <c r="AD14" i="2"/>
  <c r="AD58" i="2"/>
  <c r="AD60" i="2"/>
  <c r="AD83" i="2"/>
  <c r="AD91" i="2"/>
  <c r="AD115" i="2"/>
  <c r="AD120" i="2"/>
  <c r="AD138" i="2"/>
  <c r="AD150" i="2"/>
  <c r="AD152" i="2"/>
  <c r="AD154" i="2"/>
  <c r="AD155" i="2"/>
  <c r="AD159" i="2"/>
  <c r="AD165" i="2"/>
  <c r="AD174" i="2"/>
  <c r="AD177" i="2"/>
  <c r="AD182" i="2"/>
  <c r="AD193" i="2"/>
  <c r="AD195" i="2"/>
  <c r="P19" i="95" l="1"/>
  <c r="P40" i="95"/>
  <c r="P45" i="95"/>
  <c r="P46" i="95"/>
  <c r="P47" i="95"/>
  <c r="P48" i="95"/>
  <c r="P49" i="95"/>
  <c r="P50" i="95"/>
  <c r="P51" i="95"/>
  <c r="P52" i="95"/>
  <c r="P53" i="95"/>
  <c r="P54" i="95"/>
  <c r="P55" i="95"/>
  <c r="P56" i="95"/>
  <c r="P57" i="95"/>
  <c r="P58" i="95"/>
  <c r="P59" i="95"/>
  <c r="P60" i="95"/>
  <c r="P61" i="95"/>
  <c r="P62" i="95"/>
  <c r="P63" i="95"/>
  <c r="P64" i="95"/>
  <c r="P65" i="95"/>
  <c r="P66" i="95"/>
  <c r="P67" i="95"/>
  <c r="P68" i="95"/>
  <c r="P69" i="95"/>
  <c r="P70" i="95"/>
  <c r="P71" i="95"/>
  <c r="P72" i="95"/>
  <c r="P73" i="95"/>
  <c r="P74" i="95"/>
  <c r="P75" i="95"/>
  <c r="P76" i="95"/>
  <c r="P77" i="95"/>
  <c r="P78" i="95"/>
  <c r="P79" i="95"/>
  <c r="P80" i="95"/>
  <c r="P9" i="81"/>
  <c r="P46" i="81"/>
  <c r="P47" i="81"/>
  <c r="P48" i="81"/>
  <c r="P49" i="81"/>
  <c r="P50" i="81"/>
  <c r="P51" i="81"/>
  <c r="P52" i="81"/>
  <c r="P53" i="81"/>
  <c r="P54" i="81"/>
  <c r="P55" i="81"/>
  <c r="P56" i="81"/>
  <c r="P57" i="81"/>
  <c r="P58" i="81"/>
  <c r="P59" i="81"/>
  <c r="P60" i="81"/>
  <c r="P61" i="81"/>
  <c r="P62" i="81"/>
  <c r="P63" i="81"/>
  <c r="P64" i="81"/>
  <c r="P65" i="81"/>
  <c r="P66" i="81"/>
  <c r="P67" i="81"/>
  <c r="P68" i="81"/>
  <c r="P69" i="81"/>
  <c r="P70" i="81"/>
  <c r="P71" i="81"/>
  <c r="P72" i="81"/>
  <c r="P73" i="81"/>
  <c r="P74" i="81"/>
  <c r="P75" i="81"/>
  <c r="P76" i="81"/>
  <c r="P77" i="81"/>
  <c r="P78" i="81"/>
  <c r="P79" i="81"/>
  <c r="P80" i="81"/>
  <c r="P81" i="81"/>
  <c r="P45" i="80"/>
  <c r="P46" i="80"/>
  <c r="P47" i="80"/>
  <c r="P48" i="80"/>
  <c r="P49" i="80"/>
  <c r="P50" i="80"/>
  <c r="P51" i="80"/>
  <c r="P52" i="80"/>
  <c r="P53" i="80"/>
  <c r="P54" i="80"/>
  <c r="P55" i="80"/>
  <c r="P56" i="80"/>
  <c r="P57" i="80"/>
  <c r="P58" i="80"/>
  <c r="P59" i="80"/>
  <c r="P60" i="80"/>
  <c r="P61" i="80"/>
  <c r="P62" i="80"/>
  <c r="P63" i="80"/>
  <c r="P64" i="80"/>
  <c r="P65" i="80"/>
  <c r="P66" i="80"/>
  <c r="P67" i="80"/>
  <c r="P68" i="80"/>
  <c r="P69" i="80"/>
  <c r="P70" i="80"/>
  <c r="P71" i="80"/>
  <c r="P72" i="80"/>
  <c r="P73" i="80"/>
  <c r="P74" i="80"/>
  <c r="P75" i="80"/>
  <c r="P76" i="80"/>
  <c r="P77" i="80"/>
  <c r="P68" i="77"/>
  <c r="P78" i="77"/>
  <c r="P79" i="77"/>
  <c r="P55" i="76"/>
  <c r="P56" i="76"/>
  <c r="P57" i="76"/>
  <c r="P58" i="76"/>
  <c r="P59" i="76"/>
  <c r="P60" i="76"/>
  <c r="P61" i="76"/>
  <c r="P62" i="76"/>
  <c r="P63" i="76"/>
  <c r="P64" i="76"/>
  <c r="P65" i="76"/>
  <c r="P66" i="76"/>
  <c r="P67" i="76"/>
  <c r="P68" i="76"/>
  <c r="P69" i="76"/>
  <c r="P70" i="76"/>
  <c r="P71" i="76"/>
  <c r="P72" i="76"/>
  <c r="P73" i="76"/>
  <c r="P74" i="76"/>
  <c r="P75" i="76"/>
  <c r="P76" i="76"/>
  <c r="P77" i="76"/>
  <c r="P78" i="76"/>
  <c r="P79" i="76"/>
  <c r="P80" i="76"/>
  <c r="P81" i="76"/>
  <c r="P82" i="76"/>
  <c r="P83" i="76"/>
  <c r="P84" i="76"/>
  <c r="P85" i="76"/>
  <c r="P86" i="76"/>
  <c r="P87" i="76"/>
  <c r="P88" i="76"/>
  <c r="P89" i="76"/>
  <c r="P90" i="76"/>
  <c r="P91" i="76"/>
  <c r="P92" i="76"/>
  <c r="P42" i="75"/>
  <c r="P59" i="75"/>
  <c r="P70" i="75"/>
  <c r="P76" i="75"/>
  <c r="P77" i="75"/>
  <c r="P78" i="75"/>
  <c r="P46" i="74"/>
  <c r="P71" i="74"/>
  <c r="P74" i="74"/>
  <c r="P69" i="72"/>
  <c r="P72" i="72"/>
  <c r="P78" i="72"/>
  <c r="L29" i="97" l="1"/>
  <c r="M29" i="97" s="1"/>
  <c r="N29" i="97"/>
  <c r="O29" i="97" s="1"/>
  <c r="P29" i="97"/>
  <c r="P9" i="97"/>
  <c r="P14" i="97"/>
  <c r="P41" i="97"/>
  <c r="P42" i="97"/>
  <c r="P43" i="97"/>
  <c r="P44" i="97"/>
  <c r="P45" i="97"/>
  <c r="P46" i="97"/>
  <c r="P47" i="97"/>
  <c r="P48" i="97"/>
  <c r="P49" i="97"/>
  <c r="P50" i="97"/>
  <c r="P51" i="97"/>
  <c r="P52" i="97"/>
  <c r="P53" i="97"/>
  <c r="P54" i="97"/>
  <c r="P55" i="97"/>
  <c r="P56" i="97"/>
  <c r="P57" i="97"/>
  <c r="P58" i="97"/>
  <c r="P59" i="97"/>
  <c r="P60" i="97"/>
  <c r="P61" i="97"/>
  <c r="P62" i="97"/>
  <c r="P63" i="97"/>
  <c r="P64" i="97"/>
  <c r="P65" i="97"/>
  <c r="P66" i="97"/>
  <c r="P67" i="97"/>
  <c r="P68" i="97"/>
  <c r="P69" i="97"/>
  <c r="P70" i="97"/>
  <c r="P71" i="97"/>
  <c r="P72" i="97"/>
  <c r="P73" i="97"/>
  <c r="P74" i="97"/>
  <c r="P75" i="97"/>
  <c r="P76" i="97"/>
  <c r="P77" i="97"/>
  <c r="P78" i="97"/>
  <c r="P79" i="97"/>
  <c r="P80" i="97"/>
  <c r="L10" i="85" l="1"/>
  <c r="M10" i="85" s="1"/>
  <c r="N10" i="85"/>
  <c r="O10" i="85" s="1"/>
  <c r="P10" i="85"/>
  <c r="P40" i="84"/>
  <c r="N40" i="84"/>
  <c r="O40" i="84" s="1"/>
  <c r="L40" i="84"/>
  <c r="M40" i="84" s="1"/>
  <c r="L18" i="76"/>
  <c r="N18" i="76"/>
  <c r="L17" i="76"/>
  <c r="P67" i="73"/>
  <c r="L28" i="73"/>
  <c r="M28" i="73" s="1"/>
  <c r="O18" i="76" l="1"/>
  <c r="AB33" i="2"/>
  <c r="AD33" i="2"/>
  <c r="O33" i="2"/>
  <c r="R33" i="2"/>
  <c r="S33" i="2" s="1"/>
  <c r="M18" i="76"/>
  <c r="AH33" i="2" s="1"/>
  <c r="P18" i="76"/>
  <c r="AC33" i="2" s="1"/>
  <c r="M17" i="76"/>
  <c r="P17" i="76"/>
  <c r="N17" i="76"/>
  <c r="O17" i="76" s="1"/>
  <c r="P28" i="73"/>
  <c r="N28" i="73"/>
  <c r="O28" i="73" s="1"/>
  <c r="P26" i="96"/>
  <c r="P27" i="96"/>
  <c r="P28" i="96"/>
  <c r="P29" i="96"/>
  <c r="P30" i="96"/>
  <c r="P31" i="96"/>
  <c r="P34" i="96"/>
  <c r="P48" i="96"/>
  <c r="P49" i="96"/>
  <c r="P50" i="96"/>
  <c r="P51" i="96"/>
  <c r="P52" i="96"/>
  <c r="P53" i="96"/>
  <c r="P54" i="96"/>
  <c r="P55" i="96"/>
  <c r="P56" i="96"/>
  <c r="P57" i="96"/>
  <c r="P58" i="96"/>
  <c r="P59" i="96"/>
  <c r="P60" i="96"/>
  <c r="P61" i="96"/>
  <c r="P62" i="96"/>
  <c r="P63" i="96"/>
  <c r="P64" i="96"/>
  <c r="P65" i="96"/>
  <c r="P66" i="96"/>
  <c r="P67" i="96"/>
  <c r="P68" i="96"/>
  <c r="P69" i="96"/>
  <c r="P70" i="96"/>
  <c r="P71" i="96"/>
  <c r="P72" i="96"/>
  <c r="P73" i="96"/>
  <c r="P74" i="96"/>
  <c r="P75" i="96"/>
  <c r="P76" i="96"/>
  <c r="P77" i="96"/>
  <c r="P78" i="96"/>
  <c r="P79" i="96"/>
  <c r="L9" i="95" l="1"/>
  <c r="N9" i="95"/>
  <c r="O9" i="95" s="1"/>
  <c r="M9" i="95" l="1"/>
  <c r="P9" i="95"/>
  <c r="L29" i="94"/>
  <c r="M29" i="94" s="1"/>
  <c r="N29" i="94"/>
  <c r="O29" i="94" s="1"/>
  <c r="P42" i="94"/>
  <c r="P43" i="94"/>
  <c r="P44" i="94"/>
  <c r="P45" i="94"/>
  <c r="P46" i="94"/>
  <c r="P47" i="94"/>
  <c r="P48" i="94"/>
  <c r="P49" i="94"/>
  <c r="P50" i="94"/>
  <c r="P51" i="94"/>
  <c r="P52" i="94"/>
  <c r="P53" i="94"/>
  <c r="P54" i="94"/>
  <c r="P55" i="94"/>
  <c r="P56" i="94"/>
  <c r="P57" i="94"/>
  <c r="P58" i="94"/>
  <c r="P59" i="94"/>
  <c r="P60" i="94"/>
  <c r="P61" i="94"/>
  <c r="P62" i="94"/>
  <c r="P63" i="94"/>
  <c r="P64" i="94"/>
  <c r="P65" i="94"/>
  <c r="P66" i="94"/>
  <c r="P67" i="94"/>
  <c r="P68" i="94"/>
  <c r="P69" i="94"/>
  <c r="P70" i="94"/>
  <c r="P71" i="94"/>
  <c r="P72" i="94"/>
  <c r="P73" i="94"/>
  <c r="P74" i="94"/>
  <c r="P75" i="94"/>
  <c r="P76" i="94"/>
  <c r="P77" i="94"/>
  <c r="P78" i="94"/>
  <c r="P79" i="94"/>
  <c r="P80" i="94"/>
  <c r="P29" i="94" l="1"/>
  <c r="N2" i="93"/>
  <c r="N3" i="93"/>
  <c r="N4" i="93"/>
  <c r="N5" i="93"/>
  <c r="N6" i="93"/>
  <c r="N7" i="93"/>
  <c r="N8" i="93"/>
  <c r="N9" i="93"/>
  <c r="N11" i="93"/>
  <c r="N13" i="93"/>
  <c r="N14" i="93"/>
  <c r="N16" i="93"/>
  <c r="N18" i="93"/>
  <c r="N20" i="93"/>
  <c r="N23" i="93"/>
  <c r="N24" i="93"/>
  <c r="N25" i="93"/>
  <c r="N26" i="93"/>
  <c r="N27" i="93"/>
  <c r="N29" i="93"/>
  <c r="N30" i="93"/>
  <c r="N31" i="93"/>
  <c r="N32" i="93"/>
  <c r="N33" i="93"/>
  <c r="N34" i="93"/>
  <c r="N35" i="93"/>
  <c r="N36" i="93"/>
  <c r="N37" i="93"/>
  <c r="N38" i="93"/>
  <c r="N39" i="93"/>
  <c r="N40" i="93"/>
  <c r="N41" i="93"/>
  <c r="N42" i="93"/>
  <c r="N43" i="93"/>
  <c r="N44" i="93"/>
  <c r="N45" i="93"/>
  <c r="N46" i="93"/>
  <c r="N47" i="93"/>
  <c r="N48" i="93"/>
  <c r="N49" i="93"/>
  <c r="N50" i="93"/>
  <c r="N51" i="93"/>
  <c r="N52" i="93"/>
  <c r="N53" i="93"/>
  <c r="N54" i="93"/>
  <c r="N55" i="93"/>
  <c r="N56" i="93"/>
  <c r="N57" i="93"/>
  <c r="N58" i="93"/>
  <c r="N59" i="93"/>
  <c r="N60" i="93"/>
  <c r="N61" i="93"/>
  <c r="N62" i="93"/>
  <c r="N63" i="93"/>
  <c r="N64" i="93"/>
  <c r="N65" i="93"/>
  <c r="N66" i="93"/>
  <c r="N67" i="93"/>
  <c r="N68" i="93"/>
  <c r="N69" i="93"/>
  <c r="N70" i="93"/>
  <c r="N71" i="93"/>
  <c r="N72" i="93"/>
  <c r="N73" i="93"/>
  <c r="N74" i="93"/>
  <c r="N75" i="93"/>
  <c r="N76" i="93"/>
  <c r="N77" i="93"/>
  <c r="N78" i="93"/>
  <c r="N79" i="93"/>
  <c r="P46" i="93"/>
  <c r="P47" i="93"/>
  <c r="P48" i="93"/>
  <c r="P49" i="93"/>
  <c r="P50" i="93"/>
  <c r="P51" i="93"/>
  <c r="P52" i="93"/>
  <c r="P53" i="93"/>
  <c r="P54" i="93"/>
  <c r="P55" i="93"/>
  <c r="P56" i="93"/>
  <c r="P57" i="93"/>
  <c r="P58" i="93"/>
  <c r="P59" i="93"/>
  <c r="P60" i="93"/>
  <c r="P61" i="93"/>
  <c r="P62" i="93"/>
  <c r="P63" i="93"/>
  <c r="P64" i="93"/>
  <c r="P65" i="93"/>
  <c r="P66" i="93"/>
  <c r="P67" i="93"/>
  <c r="P68" i="93"/>
  <c r="P69" i="93"/>
  <c r="P70" i="93"/>
  <c r="P71" i="93"/>
  <c r="P72" i="93"/>
  <c r="P73" i="93"/>
  <c r="P74" i="93"/>
  <c r="P75" i="93"/>
  <c r="P76" i="93"/>
  <c r="P77" i="93"/>
  <c r="P78" i="93"/>
  <c r="P79" i="93"/>
  <c r="L21" i="82" l="1"/>
  <c r="M21" i="82" s="1"/>
  <c r="P61" i="85"/>
  <c r="P62" i="85"/>
  <c r="P67" i="85"/>
  <c r="P68" i="85"/>
  <c r="P69" i="85"/>
  <c r="P70" i="85"/>
  <c r="P71" i="85"/>
  <c r="P72" i="85"/>
  <c r="P73" i="85"/>
  <c r="P74" i="85"/>
  <c r="P75" i="85"/>
  <c r="P76" i="85"/>
  <c r="P77" i="85"/>
  <c r="P78" i="85"/>
  <c r="P79" i="85"/>
  <c r="P44" i="84"/>
  <c r="P54" i="84"/>
  <c r="P55" i="84"/>
  <c r="P56" i="84"/>
  <c r="P57" i="84"/>
  <c r="P58" i="84"/>
  <c r="P59" i="84"/>
  <c r="P60" i="84"/>
  <c r="P61" i="84"/>
  <c r="P62" i="84"/>
  <c r="P63" i="84"/>
  <c r="P64" i="84"/>
  <c r="P65" i="84"/>
  <c r="P66" i="84"/>
  <c r="P67" i="84"/>
  <c r="P68" i="84"/>
  <c r="P69" i="84"/>
  <c r="P70" i="84"/>
  <c r="P71" i="84"/>
  <c r="P72" i="84"/>
  <c r="P73" i="84"/>
  <c r="P74" i="84"/>
  <c r="P75" i="84"/>
  <c r="P76" i="84"/>
  <c r="P77" i="84"/>
  <c r="P78" i="84"/>
  <c r="P79" i="84"/>
  <c r="P80" i="84"/>
  <c r="P67" i="83"/>
  <c r="P68" i="83"/>
  <c r="P69" i="83"/>
  <c r="P70" i="83"/>
  <c r="P71" i="83"/>
  <c r="P72" i="83"/>
  <c r="P73" i="83"/>
  <c r="P74" i="83"/>
  <c r="P75" i="83"/>
  <c r="P76" i="83"/>
  <c r="P77" i="83"/>
  <c r="P78" i="83"/>
  <c r="P44" i="92"/>
  <c r="P45" i="92"/>
  <c r="P46" i="92"/>
  <c r="P47" i="92"/>
  <c r="P48" i="92"/>
  <c r="P49" i="92"/>
  <c r="P50" i="92"/>
  <c r="P51" i="92"/>
  <c r="P52" i="92"/>
  <c r="P53" i="92"/>
  <c r="P54" i="92"/>
  <c r="P55" i="92"/>
  <c r="P56" i="92"/>
  <c r="P57" i="92"/>
  <c r="P58" i="92"/>
  <c r="P59" i="92"/>
  <c r="P60" i="92"/>
  <c r="P61" i="92"/>
  <c r="P62" i="92"/>
  <c r="P63" i="92"/>
  <c r="P64" i="92"/>
  <c r="P65" i="92"/>
  <c r="P66" i="92"/>
  <c r="P67" i="92"/>
  <c r="P68" i="92"/>
  <c r="P69" i="92"/>
  <c r="P70" i="92"/>
  <c r="P71" i="92"/>
  <c r="P72" i="92"/>
  <c r="P73" i="92"/>
  <c r="P74" i="92"/>
  <c r="P75" i="92"/>
  <c r="P76" i="92"/>
  <c r="P77" i="92"/>
  <c r="P78" i="92"/>
  <c r="P79" i="92"/>
  <c r="P43" i="91"/>
  <c r="P53" i="91"/>
  <c r="P59" i="91"/>
  <c r="P60" i="91"/>
  <c r="P61" i="91"/>
  <c r="P62" i="91"/>
  <c r="P63" i="91"/>
  <c r="P64" i="91"/>
  <c r="P65" i="91"/>
  <c r="P66" i="91"/>
  <c r="P67" i="91"/>
  <c r="P68" i="91"/>
  <c r="P69" i="91"/>
  <c r="P70" i="91"/>
  <c r="P71" i="91"/>
  <c r="P72" i="91"/>
  <c r="P73" i="91"/>
  <c r="P74" i="91"/>
  <c r="P75" i="91"/>
  <c r="P76" i="91"/>
  <c r="P77" i="91"/>
  <c r="P78" i="91"/>
  <c r="P79" i="91"/>
  <c r="P80" i="91"/>
  <c r="P81" i="91"/>
  <c r="P82" i="91"/>
  <c r="P83" i="91"/>
  <c r="P84" i="91"/>
  <c r="P85" i="91"/>
  <c r="P86" i="91"/>
  <c r="P87" i="91"/>
  <c r="P88" i="91"/>
  <c r="P89" i="91"/>
  <c r="P90" i="91"/>
  <c r="P91" i="91"/>
  <c r="P92" i="91"/>
  <c r="P93" i="91"/>
  <c r="P94" i="91"/>
  <c r="P95" i="91"/>
  <c r="P96" i="91"/>
  <c r="P97" i="91"/>
  <c r="P98" i="91"/>
  <c r="P99" i="91"/>
  <c r="P100" i="91"/>
  <c r="P101" i="91"/>
  <c r="P102" i="91"/>
  <c r="P103" i="91"/>
  <c r="P35" i="90"/>
  <c r="P37" i="90"/>
  <c r="P44" i="90"/>
  <c r="P45" i="90"/>
  <c r="P46" i="90"/>
  <c r="P47" i="90"/>
  <c r="P48" i="90"/>
  <c r="P49" i="90"/>
  <c r="P50" i="90"/>
  <c r="P51" i="90"/>
  <c r="P52" i="90"/>
  <c r="P53" i="90"/>
  <c r="P54" i="90"/>
  <c r="P55" i="90"/>
  <c r="P56" i="90"/>
  <c r="P57" i="90"/>
  <c r="P58" i="90"/>
  <c r="P59" i="90"/>
  <c r="P60" i="90"/>
  <c r="P61" i="90"/>
  <c r="P62" i="90"/>
  <c r="P63" i="90"/>
  <c r="P64" i="90"/>
  <c r="P65" i="90"/>
  <c r="P66" i="90"/>
  <c r="P67" i="90"/>
  <c r="P68" i="90"/>
  <c r="P69" i="90"/>
  <c r="P70" i="90"/>
  <c r="P71" i="90"/>
  <c r="P72" i="90"/>
  <c r="P73" i="90"/>
  <c r="P74" i="90"/>
  <c r="P75" i="90"/>
  <c r="P76" i="90"/>
  <c r="P77" i="90"/>
  <c r="P78" i="90"/>
  <c r="P79" i="90"/>
  <c r="P80" i="90"/>
  <c r="P81" i="90"/>
  <c r="P82" i="90"/>
  <c r="P83" i="90"/>
  <c r="P84" i="90"/>
  <c r="P40" i="89"/>
  <c r="P42" i="89"/>
  <c r="P43" i="89"/>
  <c r="P44" i="89"/>
  <c r="P45" i="89"/>
  <c r="P46" i="89"/>
  <c r="P47" i="89"/>
  <c r="P48" i="89"/>
  <c r="P49" i="89"/>
  <c r="P50" i="89"/>
  <c r="P51" i="89"/>
  <c r="P52" i="89"/>
  <c r="P53" i="89"/>
  <c r="P54" i="89"/>
  <c r="P55" i="89"/>
  <c r="P56" i="89"/>
  <c r="P57" i="89"/>
  <c r="P58" i="89"/>
  <c r="P59" i="89"/>
  <c r="P60" i="89"/>
  <c r="P61" i="89"/>
  <c r="P62" i="89"/>
  <c r="P63" i="89"/>
  <c r="P64" i="89"/>
  <c r="P65" i="89"/>
  <c r="P66" i="89"/>
  <c r="P67" i="89"/>
  <c r="P68" i="89"/>
  <c r="P69" i="89"/>
  <c r="P70" i="89"/>
  <c r="P71" i="89"/>
  <c r="P72" i="89"/>
  <c r="P73" i="89"/>
  <c r="P74" i="89"/>
  <c r="P75" i="89"/>
  <c r="P76" i="89"/>
  <c r="P77" i="89"/>
  <c r="P78" i="89"/>
  <c r="P79" i="89"/>
  <c r="P80" i="89"/>
  <c r="P16" i="71"/>
  <c r="P73" i="71"/>
  <c r="P74" i="71"/>
  <c r="P75" i="71"/>
  <c r="P76" i="71"/>
  <c r="P77" i="71"/>
  <c r="P78" i="71"/>
  <c r="P79" i="71"/>
  <c r="P80" i="71"/>
  <c r="P81" i="71"/>
  <c r="P82" i="71"/>
  <c r="P83" i="71"/>
  <c r="P84" i="71"/>
  <c r="P85" i="71"/>
  <c r="P86" i="71"/>
  <c r="P87" i="71"/>
  <c r="P88" i="71"/>
  <c r="P89" i="71"/>
  <c r="P90" i="71"/>
  <c r="P91" i="71"/>
  <c r="P92" i="71"/>
  <c r="P93" i="71"/>
  <c r="P94" i="71"/>
  <c r="P95" i="71"/>
  <c r="P96" i="71"/>
  <c r="P97" i="71"/>
  <c r="P98" i="71"/>
  <c r="P99" i="71"/>
  <c r="P100" i="71"/>
  <c r="P101" i="71"/>
  <c r="P102" i="71"/>
  <c r="P103" i="71"/>
  <c r="P104" i="71"/>
  <c r="P105" i="71"/>
  <c r="P106" i="71"/>
  <c r="P33" i="88"/>
  <c r="P34" i="88"/>
  <c r="P35" i="88"/>
  <c r="P36" i="88"/>
  <c r="P37" i="88"/>
  <c r="P38" i="88"/>
  <c r="P39" i="88"/>
  <c r="P40" i="88"/>
  <c r="P41" i="88"/>
  <c r="P42" i="88"/>
  <c r="P43" i="88"/>
  <c r="P44" i="88"/>
  <c r="P45" i="88"/>
  <c r="P46" i="88"/>
  <c r="P47" i="88"/>
  <c r="P48" i="88"/>
  <c r="P49" i="88"/>
  <c r="P50" i="88"/>
  <c r="P51" i="88"/>
  <c r="P52" i="88"/>
  <c r="P53" i="88"/>
  <c r="P54" i="88"/>
  <c r="P55" i="88"/>
  <c r="P56" i="88"/>
  <c r="P57" i="88"/>
  <c r="P58" i="88"/>
  <c r="P59" i="88"/>
  <c r="P60" i="88"/>
  <c r="P61" i="88"/>
  <c r="P62" i="88"/>
  <c r="P63" i="88"/>
  <c r="P64" i="88"/>
  <c r="P65" i="88"/>
  <c r="P66" i="88"/>
  <c r="P67" i="88"/>
  <c r="P68" i="88"/>
  <c r="P69" i="88"/>
  <c r="P70" i="88"/>
  <c r="P71" i="88"/>
  <c r="P72" i="88"/>
  <c r="P73" i="88"/>
  <c r="P74" i="88"/>
  <c r="P75" i="88"/>
  <c r="P76" i="88"/>
  <c r="P77" i="88"/>
  <c r="P78" i="88"/>
  <c r="P79" i="88"/>
  <c r="P36" i="87"/>
  <c r="P37" i="87"/>
  <c r="P38" i="87"/>
  <c r="P39" i="87"/>
  <c r="P40" i="87"/>
  <c r="P41" i="87"/>
  <c r="P42" i="87"/>
  <c r="P43" i="87"/>
  <c r="P44" i="87"/>
  <c r="P45" i="87"/>
  <c r="P46" i="87"/>
  <c r="P47" i="87"/>
  <c r="P48" i="87"/>
  <c r="P49" i="87"/>
  <c r="P50" i="87"/>
  <c r="P51" i="87"/>
  <c r="P52" i="87"/>
  <c r="P53" i="87"/>
  <c r="P54" i="87"/>
  <c r="P55" i="87"/>
  <c r="P56" i="87"/>
  <c r="P57" i="87"/>
  <c r="P58" i="87"/>
  <c r="P59" i="87"/>
  <c r="P60" i="87"/>
  <c r="P61" i="87"/>
  <c r="P62" i="87"/>
  <c r="P63" i="87"/>
  <c r="P64" i="87"/>
  <c r="P65" i="87"/>
  <c r="P66" i="87"/>
  <c r="P67" i="87"/>
  <c r="P68" i="87"/>
  <c r="P69" i="87"/>
  <c r="P70" i="87"/>
  <c r="P71" i="87"/>
  <c r="P72" i="87"/>
  <c r="P73" i="87"/>
  <c r="P74" i="87"/>
  <c r="P75" i="87"/>
  <c r="P76" i="87"/>
  <c r="P39" i="86"/>
  <c r="P40" i="86"/>
  <c r="P41" i="86"/>
  <c r="P42" i="86"/>
  <c r="P43" i="86"/>
  <c r="P44" i="86"/>
  <c r="P45" i="86"/>
  <c r="P46" i="86"/>
  <c r="P47" i="86"/>
  <c r="P48" i="86"/>
  <c r="P49" i="86"/>
  <c r="P50" i="86"/>
  <c r="P51" i="86"/>
  <c r="P52" i="86"/>
  <c r="P53" i="86"/>
  <c r="P54" i="86"/>
  <c r="P55" i="86"/>
  <c r="P56" i="86"/>
  <c r="P57" i="86"/>
  <c r="P58" i="86"/>
  <c r="P59" i="86"/>
  <c r="P60" i="86"/>
  <c r="P61" i="86"/>
  <c r="P62" i="86"/>
  <c r="P63" i="86"/>
  <c r="P64" i="86"/>
  <c r="P65" i="86"/>
  <c r="P66" i="86"/>
  <c r="P67" i="86"/>
  <c r="P68" i="86"/>
  <c r="P69" i="86"/>
  <c r="P70" i="86"/>
  <c r="P71" i="86"/>
  <c r="P72" i="86"/>
  <c r="P73" i="86"/>
  <c r="P74" i="86"/>
  <c r="P75" i="86"/>
  <c r="P76" i="86"/>
  <c r="P77" i="86"/>
  <c r="P78" i="86"/>
  <c r="P79" i="86"/>
  <c r="P21" i="82" l="1"/>
  <c r="N21" i="82"/>
  <c r="O21" i="82" s="1"/>
  <c r="P40" i="82" l="1"/>
  <c r="P41" i="82"/>
  <c r="P42" i="82"/>
  <c r="P43" i="82"/>
  <c r="P44" i="82"/>
  <c r="P45" i="82"/>
  <c r="P46" i="82"/>
  <c r="P47" i="82"/>
  <c r="P48" i="82"/>
  <c r="P49" i="82"/>
  <c r="P50" i="82"/>
  <c r="P51" i="82"/>
  <c r="P52" i="82"/>
  <c r="P53" i="82"/>
  <c r="P54" i="82"/>
  <c r="P55" i="82"/>
  <c r="P56" i="82"/>
  <c r="P57" i="82"/>
  <c r="P58" i="82"/>
  <c r="P59" i="82"/>
  <c r="P60" i="82"/>
  <c r="P61" i="82"/>
  <c r="P62" i="82"/>
  <c r="P63" i="82"/>
  <c r="P64" i="82"/>
  <c r="P65" i="82"/>
  <c r="P66" i="82"/>
  <c r="P67" i="82"/>
  <c r="P68" i="82"/>
  <c r="P69" i="82"/>
  <c r="P70" i="82"/>
  <c r="P71" i="82"/>
  <c r="P72" i="82"/>
  <c r="P73" i="82"/>
  <c r="P74" i="82"/>
  <c r="P75" i="82"/>
  <c r="P76" i="82"/>
  <c r="P77" i="82"/>
  <c r="P78" i="82"/>
  <c r="P79" i="82"/>
  <c r="P80" i="82"/>
  <c r="P65" i="70"/>
  <c r="P70" i="70"/>
  <c r="P71" i="70"/>
  <c r="P72" i="70"/>
  <c r="P73" i="70"/>
  <c r="P74" i="70"/>
  <c r="P75" i="70"/>
  <c r="P76" i="70"/>
  <c r="P77" i="70"/>
  <c r="P78" i="70"/>
  <c r="P79" i="70"/>
  <c r="P80" i="70"/>
  <c r="P81" i="70"/>
  <c r="P82" i="70"/>
  <c r="P83" i="70"/>
  <c r="P73" i="69"/>
  <c r="P85" i="69"/>
  <c r="P86" i="69"/>
  <c r="P87" i="69"/>
  <c r="P88" i="69"/>
  <c r="P89" i="69"/>
  <c r="P90" i="69"/>
  <c r="P91" i="69"/>
  <c r="P92" i="69"/>
  <c r="P93" i="69"/>
  <c r="P94" i="69"/>
  <c r="P95" i="69"/>
  <c r="P96" i="69"/>
  <c r="P97" i="69"/>
  <c r="P98" i="69"/>
  <c r="P99" i="69"/>
  <c r="P100" i="69"/>
  <c r="P88" i="98"/>
  <c r="P89" i="98"/>
  <c r="P90" i="98"/>
  <c r="P91" i="98"/>
  <c r="P92" i="98"/>
  <c r="P93" i="98"/>
  <c r="P94" i="98"/>
  <c r="P95" i="98"/>
  <c r="P96" i="98"/>
  <c r="P49" i="78"/>
  <c r="P73" i="78"/>
  <c r="P74" i="78"/>
  <c r="P75" i="78"/>
  <c r="P76" i="78"/>
  <c r="P77" i="78"/>
  <c r="P78" i="78"/>
  <c r="P49" i="79"/>
  <c r="P57" i="79"/>
  <c r="P58" i="79"/>
  <c r="P59" i="79"/>
  <c r="P60" i="79"/>
  <c r="P61" i="79"/>
  <c r="P62" i="79"/>
  <c r="P63" i="79"/>
  <c r="P64" i="79"/>
  <c r="P65" i="79"/>
  <c r="P66" i="79"/>
  <c r="P67" i="79"/>
  <c r="P68" i="79"/>
  <c r="P69" i="79"/>
  <c r="P70" i="79"/>
  <c r="P71" i="79"/>
  <c r="P72" i="79"/>
  <c r="P73" i="79"/>
  <c r="P74" i="79"/>
  <c r="P75" i="79"/>
  <c r="P76" i="79"/>
  <c r="P77" i="79"/>
  <c r="P78" i="79"/>
  <c r="P79" i="79"/>
  <c r="P80" i="79"/>
  <c r="P81" i="79"/>
  <c r="P82" i="79"/>
  <c r="P83" i="79"/>
  <c r="P84" i="79"/>
  <c r="N2" i="77"/>
  <c r="N3" i="77"/>
  <c r="N4" i="77"/>
  <c r="N5" i="77"/>
  <c r="N6" i="77"/>
  <c r="N7" i="77"/>
  <c r="N8" i="77"/>
  <c r="N9" i="77"/>
  <c r="N14" i="77"/>
  <c r="N15" i="77"/>
  <c r="N16" i="77"/>
  <c r="N19" i="77"/>
  <c r="O19" i="77" s="1"/>
  <c r="N20" i="77"/>
  <c r="N24" i="77"/>
  <c r="N31" i="77"/>
  <c r="N33" i="77"/>
  <c r="N34" i="77"/>
  <c r="N35" i="77"/>
  <c r="N36" i="77"/>
  <c r="N38" i="77"/>
  <c r="N39" i="77"/>
  <c r="N40" i="77"/>
  <c r="N41" i="77"/>
  <c r="N42" i="77"/>
  <c r="N43" i="77"/>
  <c r="N44" i="77"/>
  <c r="N45" i="77"/>
  <c r="N46" i="77"/>
  <c r="N47" i="77"/>
  <c r="N48" i="77"/>
  <c r="N49" i="77"/>
  <c r="N50" i="77"/>
  <c r="N51" i="77"/>
  <c r="N52" i="77"/>
  <c r="N53" i="77"/>
  <c r="N54" i="77"/>
  <c r="N55" i="77"/>
  <c r="N56" i="77"/>
  <c r="N57" i="77"/>
  <c r="N58" i="77"/>
  <c r="N59" i="77"/>
  <c r="N60" i="77"/>
  <c r="N61" i="77"/>
  <c r="N62" i="77"/>
  <c r="N63" i="77"/>
  <c r="N64" i="77"/>
  <c r="N65" i="77"/>
  <c r="N66" i="77"/>
  <c r="N67" i="77"/>
  <c r="N68" i="77"/>
  <c r="N69" i="77"/>
  <c r="N70" i="77"/>
  <c r="N71" i="77"/>
  <c r="N72" i="77"/>
  <c r="N73" i="77"/>
  <c r="N74" i="77"/>
  <c r="N75" i="77"/>
  <c r="N76" i="77"/>
  <c r="N77" i="77"/>
  <c r="N78" i="77"/>
  <c r="N79" i="77"/>
  <c r="N80" i="77"/>
  <c r="N81" i="77"/>
  <c r="L19" i="77"/>
  <c r="L19" i="91"/>
  <c r="N19" i="91"/>
  <c r="O19" i="91" s="1"/>
  <c r="L14" i="91"/>
  <c r="N14" i="91"/>
  <c r="O14" i="91" s="1"/>
  <c r="L13" i="89"/>
  <c r="N13" i="89"/>
  <c r="O13" i="89" s="1"/>
  <c r="L36" i="79"/>
  <c r="M36" i="79" s="1"/>
  <c r="N36" i="79"/>
  <c r="O36" i="79" s="1"/>
  <c r="L2" i="79"/>
  <c r="N2" i="79"/>
  <c r="L3" i="79"/>
  <c r="M3" i="79" s="1"/>
  <c r="N3" i="79"/>
  <c r="O3" i="79" s="1"/>
  <c r="L4" i="79"/>
  <c r="M4" i="79" s="1"/>
  <c r="N4" i="79"/>
  <c r="O4" i="79" s="1"/>
  <c r="L5" i="79"/>
  <c r="M5" i="79" s="1"/>
  <c r="N5" i="79"/>
  <c r="O5" i="79" s="1"/>
  <c r="L6" i="79"/>
  <c r="M6" i="79" s="1"/>
  <c r="N6" i="79"/>
  <c r="O6" i="79" s="1"/>
  <c r="L7" i="79"/>
  <c r="M7" i="79" s="1"/>
  <c r="L8" i="79"/>
  <c r="M8" i="79" s="1"/>
  <c r="L9" i="79"/>
  <c r="M9" i="79" s="1"/>
  <c r="L10" i="79"/>
  <c r="M10" i="79" s="1"/>
  <c r="N10" i="79"/>
  <c r="O10" i="79" s="1"/>
  <c r="L11" i="79"/>
  <c r="M11" i="79" s="1"/>
  <c r="N11" i="79"/>
  <c r="O11" i="79" s="1"/>
  <c r="L12" i="79"/>
  <c r="M12" i="79" s="1"/>
  <c r="N12" i="79"/>
  <c r="O12" i="79" s="1"/>
  <c r="L13" i="79"/>
  <c r="M13" i="79" s="1"/>
  <c r="L14" i="79"/>
  <c r="M14" i="79" s="1"/>
  <c r="L15" i="79"/>
  <c r="M15" i="79" s="1"/>
  <c r="N15" i="79"/>
  <c r="L16" i="79"/>
  <c r="M16" i="79" s="1"/>
  <c r="L17" i="79"/>
  <c r="M17" i="79" s="1"/>
  <c r="L18" i="79"/>
  <c r="M18" i="79" s="1"/>
  <c r="N18" i="79"/>
  <c r="O18" i="79" s="1"/>
  <c r="L19" i="79"/>
  <c r="M19" i="79" s="1"/>
  <c r="N19" i="79"/>
  <c r="O19" i="79" s="1"/>
  <c r="L20" i="79"/>
  <c r="M20" i="79" s="1"/>
  <c r="L21" i="79"/>
  <c r="M21" i="79" s="1"/>
  <c r="L22" i="79"/>
  <c r="M22" i="79" s="1"/>
  <c r="N22" i="79"/>
  <c r="O22" i="79" s="1"/>
  <c r="L23" i="79"/>
  <c r="M23" i="79" s="1"/>
  <c r="N23" i="79"/>
  <c r="O23" i="79" s="1"/>
  <c r="L24" i="79"/>
  <c r="M24" i="79" s="1"/>
  <c r="N24" i="79"/>
  <c r="O24" i="79" s="1"/>
  <c r="L25" i="79"/>
  <c r="M25" i="79" s="1"/>
  <c r="N25" i="79"/>
  <c r="O25" i="79" s="1"/>
  <c r="L26" i="79"/>
  <c r="M26" i="79" s="1"/>
  <c r="L27" i="79"/>
  <c r="M27" i="79" s="1"/>
  <c r="L28" i="79"/>
  <c r="M28" i="79" s="1"/>
  <c r="L29" i="79"/>
  <c r="M29" i="79" s="1"/>
  <c r="N29" i="79"/>
  <c r="O29" i="79" s="1"/>
  <c r="L30" i="79"/>
  <c r="M30" i="79" s="1"/>
  <c r="N30" i="79"/>
  <c r="O30" i="79" s="1"/>
  <c r="L31" i="79"/>
  <c r="M31" i="79" s="1"/>
  <c r="N31" i="79"/>
  <c r="O31" i="79" s="1"/>
  <c r="L32" i="79"/>
  <c r="M32" i="79" s="1"/>
  <c r="N32" i="79"/>
  <c r="O32" i="79" s="1"/>
  <c r="L33" i="79"/>
  <c r="M33" i="79" s="1"/>
  <c r="N33" i="79"/>
  <c r="O33" i="79" s="1"/>
  <c r="L34" i="79"/>
  <c r="M34" i="79" s="1"/>
  <c r="N34" i="79"/>
  <c r="L35" i="79"/>
  <c r="M35" i="79" s="1"/>
  <c r="L37" i="79"/>
  <c r="M37" i="79" s="1"/>
  <c r="L38" i="79"/>
  <c r="M38" i="79" s="1"/>
  <c r="N38" i="79"/>
  <c r="O38" i="79" s="1"/>
  <c r="AD47" i="2" l="1"/>
  <c r="AB47" i="2"/>
  <c r="M2" i="79"/>
  <c r="O2" i="79"/>
  <c r="P27" i="79"/>
  <c r="O15" i="79"/>
  <c r="P28" i="79"/>
  <c r="P20" i="79"/>
  <c r="P13" i="79"/>
  <c r="P17" i="79"/>
  <c r="P9" i="79"/>
  <c r="P37" i="79"/>
  <c r="P26" i="79"/>
  <c r="P16" i="79"/>
  <c r="P8" i="79"/>
  <c r="O34" i="79"/>
  <c r="AD167" i="2"/>
  <c r="P35" i="79"/>
  <c r="P21" i="79"/>
  <c r="P14" i="79"/>
  <c r="P7" i="79"/>
  <c r="M19" i="77"/>
  <c r="P19" i="77"/>
  <c r="N27" i="79"/>
  <c r="O27" i="79" s="1"/>
  <c r="N7" i="79"/>
  <c r="O7" i="79" s="1"/>
  <c r="P31" i="79"/>
  <c r="N16" i="79"/>
  <c r="O16" i="79" s="1"/>
  <c r="N14" i="79"/>
  <c r="O14" i="79" s="1"/>
  <c r="P23" i="79"/>
  <c r="P11" i="79"/>
  <c r="P4" i="79"/>
  <c r="P24" i="79"/>
  <c r="N20" i="79"/>
  <c r="O20" i="79" s="1"/>
  <c r="P15" i="79"/>
  <c r="N35" i="79"/>
  <c r="O35" i="79" s="1"/>
  <c r="N28" i="79"/>
  <c r="O28" i="79" s="1"/>
  <c r="M14" i="91"/>
  <c r="P14" i="91"/>
  <c r="P3" i="79"/>
  <c r="P38" i="79"/>
  <c r="P34" i="79"/>
  <c r="P30" i="79"/>
  <c r="P22" i="79"/>
  <c r="P18" i="79"/>
  <c r="P10" i="79"/>
  <c r="P6" i="79"/>
  <c r="N26" i="79"/>
  <c r="O26" i="79" s="1"/>
  <c r="M13" i="89"/>
  <c r="P13" i="89"/>
  <c r="M19" i="91"/>
  <c r="P19" i="91"/>
  <c r="P2" i="79"/>
  <c r="P33" i="79"/>
  <c r="P29" i="79"/>
  <c r="P25" i="79"/>
  <c r="P5" i="79"/>
  <c r="P19" i="79"/>
  <c r="N37" i="79"/>
  <c r="O37" i="79" s="1"/>
  <c r="N8" i="79"/>
  <c r="O8" i="79" s="1"/>
  <c r="P36" i="79"/>
  <c r="P32" i="79"/>
  <c r="P12" i="79"/>
  <c r="N21" i="79"/>
  <c r="O21" i="79" s="1"/>
  <c r="N17" i="79"/>
  <c r="O17" i="79" s="1"/>
  <c r="N13" i="79"/>
  <c r="O13" i="79" s="1"/>
  <c r="N9" i="79"/>
  <c r="O9" i="79" s="1"/>
  <c r="L31" i="74" l="1"/>
  <c r="N31" i="74"/>
  <c r="O31" i="74" s="1"/>
  <c r="L21" i="74"/>
  <c r="N21" i="74"/>
  <c r="O21" i="74" s="1"/>
  <c r="M21" i="74" l="1"/>
  <c r="P21" i="74"/>
  <c r="M31" i="74"/>
  <c r="P31" i="74"/>
  <c r="P62" i="99"/>
  <c r="P63" i="99"/>
  <c r="P64" i="99"/>
  <c r="P65" i="99"/>
  <c r="P66" i="99"/>
  <c r="P67" i="99"/>
  <c r="P68" i="99"/>
  <c r="P69" i="99"/>
  <c r="P70" i="99"/>
  <c r="P71" i="99"/>
  <c r="P72" i="99"/>
  <c r="P73" i="99"/>
  <c r="P74" i="99"/>
  <c r="P75" i="99"/>
  <c r="P76" i="99"/>
  <c r="P77" i="99"/>
  <c r="P78" i="99"/>
  <c r="P79" i="99"/>
  <c r="P80" i="99"/>
  <c r="P81" i="99"/>
  <c r="P82" i="99"/>
  <c r="L9" i="71" l="1"/>
  <c r="N9" i="71"/>
  <c r="O9" i="71" s="1"/>
  <c r="L10" i="71"/>
  <c r="N10" i="71"/>
  <c r="O10" i="71" s="1"/>
  <c r="L6" i="70"/>
  <c r="N6" i="70"/>
  <c r="O6" i="70" s="1"/>
  <c r="M10" i="71" l="1"/>
  <c r="P10" i="71"/>
  <c r="M6" i="70"/>
  <c r="P6" i="70"/>
  <c r="M9" i="71"/>
  <c r="P9" i="71"/>
  <c r="L18" i="98"/>
  <c r="N18" i="98"/>
  <c r="O18" i="98" s="1"/>
  <c r="L17" i="99"/>
  <c r="M17" i="99" l="1"/>
  <c r="P17" i="99"/>
  <c r="M18" i="98"/>
  <c r="P18" i="98"/>
  <c r="N17" i="99"/>
  <c r="O17" i="99" s="1"/>
  <c r="L5" i="98" l="1"/>
  <c r="N5" i="98"/>
  <c r="O5" i="98" l="1"/>
  <c r="M5" i="98"/>
  <c r="P5" i="98"/>
  <c r="L13" i="69"/>
  <c r="L8" i="98"/>
  <c r="N8" i="98"/>
  <c r="O8" i="98" s="1"/>
  <c r="L9" i="98"/>
  <c r="N9" i="98"/>
  <c r="O9" i="98" s="1"/>
  <c r="M13" i="69" l="1"/>
  <c r="P13" i="69"/>
  <c r="M9" i="98"/>
  <c r="P9" i="98"/>
  <c r="M8" i="98"/>
  <c r="P8" i="98"/>
  <c r="N13" i="69"/>
  <c r="O13" i="69" s="1"/>
  <c r="L27" i="98"/>
  <c r="L26" i="98"/>
  <c r="L3" i="98"/>
  <c r="N3" i="98"/>
  <c r="O3" i="98" s="1"/>
  <c r="M26" i="98" l="1"/>
  <c r="P26" i="98"/>
  <c r="M27" i="98"/>
  <c r="P27" i="98"/>
  <c r="M3" i="98"/>
  <c r="P3" i="98"/>
  <c r="N27" i="98"/>
  <c r="O27" i="98" s="1"/>
  <c r="N26" i="98"/>
  <c r="O26" i="98" s="1"/>
  <c r="AH195" i="2"/>
  <c r="AH193" i="2"/>
  <c r="F57" i="2"/>
  <c r="N21" i="92" l="1"/>
  <c r="L2" i="95" l="1"/>
  <c r="N2" i="95"/>
  <c r="O2" i="95" s="1"/>
  <c r="L3" i="95"/>
  <c r="P3" i="95" s="1"/>
  <c r="N3" i="95"/>
  <c r="O3" i="95" s="1"/>
  <c r="L4" i="95"/>
  <c r="P4" i="95" s="1"/>
  <c r="N4" i="95"/>
  <c r="O4" i="95" s="1"/>
  <c r="L5" i="95"/>
  <c r="P5" i="95" s="1"/>
  <c r="N5" i="95"/>
  <c r="O5" i="95" s="1"/>
  <c r="L6" i="95"/>
  <c r="P6" i="95" s="1"/>
  <c r="N6" i="95"/>
  <c r="O6" i="95" s="1"/>
  <c r="L7" i="95"/>
  <c r="P7" i="95" s="1"/>
  <c r="N7" i="95"/>
  <c r="O7" i="95" s="1"/>
  <c r="L8" i="95"/>
  <c r="P8" i="95" s="1"/>
  <c r="N8" i="95"/>
  <c r="O8" i="95" s="1"/>
  <c r="L10" i="95"/>
  <c r="P10" i="95" s="1"/>
  <c r="N10" i="95"/>
  <c r="O10" i="95" s="1"/>
  <c r="L11" i="95"/>
  <c r="P11" i="95" s="1"/>
  <c r="N11" i="95"/>
  <c r="O11" i="95" s="1"/>
  <c r="L12" i="95"/>
  <c r="P12" i="95" s="1"/>
  <c r="N12" i="95"/>
  <c r="O12" i="95" s="1"/>
  <c r="L13" i="95"/>
  <c r="P13" i="95" s="1"/>
  <c r="N13" i="95"/>
  <c r="O13" i="95" s="1"/>
  <c r="L14" i="95"/>
  <c r="P14" i="95" s="1"/>
  <c r="N14" i="95"/>
  <c r="O14" i="95" s="1"/>
  <c r="L15" i="95"/>
  <c r="P15" i="95" s="1"/>
  <c r="L16" i="95"/>
  <c r="P16" i="95" s="1"/>
  <c r="L17" i="95"/>
  <c r="P17" i="95" s="1"/>
  <c r="L18" i="95"/>
  <c r="P18" i="95" s="1"/>
  <c r="L19" i="95"/>
  <c r="N19" i="95" s="1"/>
  <c r="O19" i="95" s="1"/>
  <c r="L20" i="95"/>
  <c r="P20" i="95" s="1"/>
  <c r="L21" i="95"/>
  <c r="P21" i="95" s="1"/>
  <c r="N21" i="95"/>
  <c r="O21" i="95" s="1"/>
  <c r="L22" i="95"/>
  <c r="P22" i="95" s="1"/>
  <c r="L23" i="95"/>
  <c r="P23" i="95" s="1"/>
  <c r="L24" i="95"/>
  <c r="P24" i="95" s="1"/>
  <c r="L25" i="95"/>
  <c r="P25" i="95" s="1"/>
  <c r="L26" i="95"/>
  <c r="P26" i="95" s="1"/>
  <c r="L27" i="95"/>
  <c r="P27" i="95" s="1"/>
  <c r="N27" i="95"/>
  <c r="O27" i="95" s="1"/>
  <c r="L28" i="95"/>
  <c r="P28" i="95" s="1"/>
  <c r="N28" i="95"/>
  <c r="O28" i="95" s="1"/>
  <c r="L29" i="95"/>
  <c r="P29" i="95" s="1"/>
  <c r="N29" i="95"/>
  <c r="O29" i="95" s="1"/>
  <c r="L30" i="95"/>
  <c r="P30" i="95" s="1"/>
  <c r="N30" i="95"/>
  <c r="O30" i="95" s="1"/>
  <c r="L31" i="95"/>
  <c r="P31" i="95" s="1"/>
  <c r="N31" i="95"/>
  <c r="O31" i="95" s="1"/>
  <c r="L32" i="95"/>
  <c r="P32" i="95" s="1"/>
  <c r="N32" i="95"/>
  <c r="O32" i="95" s="1"/>
  <c r="L33" i="95"/>
  <c r="P33" i="95" s="1"/>
  <c r="N33" i="95"/>
  <c r="O33" i="95" s="1"/>
  <c r="L34" i="95"/>
  <c r="N34" i="95" s="1"/>
  <c r="L35" i="95"/>
  <c r="N35" i="95"/>
  <c r="O35" i="95" s="1"/>
  <c r="L36" i="95"/>
  <c r="N36" i="95"/>
  <c r="O36" i="95" s="1"/>
  <c r="L37" i="95"/>
  <c r="N37" i="95"/>
  <c r="O37" i="95" s="1"/>
  <c r="L38" i="95"/>
  <c r="N38" i="95"/>
  <c r="O38" i="95" s="1"/>
  <c r="L39" i="95"/>
  <c r="N39" i="95"/>
  <c r="O39" i="95" s="1"/>
  <c r="L40" i="95"/>
  <c r="M40" i="95" s="1"/>
  <c r="N40" i="95"/>
  <c r="O40" i="95" s="1"/>
  <c r="L41" i="95"/>
  <c r="N41" i="95"/>
  <c r="O41" i="95" s="1"/>
  <c r="L42" i="95"/>
  <c r="N42" i="95"/>
  <c r="O42" i="95" s="1"/>
  <c r="L43" i="95"/>
  <c r="N43" i="95"/>
  <c r="O43" i="95" s="1"/>
  <c r="L44" i="95"/>
  <c r="N44" i="95"/>
  <c r="O44" i="95" s="1"/>
  <c r="L45" i="95"/>
  <c r="M45" i="95" s="1"/>
  <c r="N45" i="95"/>
  <c r="O45" i="95" s="1"/>
  <c r="L46" i="95"/>
  <c r="M46" i="95" s="1"/>
  <c r="N46" i="95"/>
  <c r="O46" i="95" s="1"/>
  <c r="L47" i="95"/>
  <c r="M47" i="95" s="1"/>
  <c r="N47" i="95"/>
  <c r="O47" i="95" s="1"/>
  <c r="L48" i="95"/>
  <c r="M48" i="95" s="1"/>
  <c r="N48" i="95"/>
  <c r="O48" i="95" s="1"/>
  <c r="L49" i="95"/>
  <c r="M49" i="95" s="1"/>
  <c r="N49" i="95"/>
  <c r="O49" i="95" s="1"/>
  <c r="M43" i="95" l="1"/>
  <c r="P43" i="95"/>
  <c r="M41" i="95"/>
  <c r="P41" i="95"/>
  <c r="M39" i="95"/>
  <c r="P39" i="95"/>
  <c r="N26" i="95"/>
  <c r="O26" i="95" s="1"/>
  <c r="N24" i="95"/>
  <c r="O24" i="95" s="1"/>
  <c r="N22" i="95"/>
  <c r="O22" i="95" s="1"/>
  <c r="N20" i="95"/>
  <c r="O20" i="95" s="1"/>
  <c r="N18" i="95"/>
  <c r="O18" i="95" s="1"/>
  <c r="N16" i="95"/>
  <c r="O16" i="95" s="1"/>
  <c r="M44" i="95"/>
  <c r="P44" i="95"/>
  <c r="M42" i="95"/>
  <c r="P42" i="95"/>
  <c r="N25" i="95"/>
  <c r="O25" i="95" s="1"/>
  <c r="N23" i="95"/>
  <c r="O23" i="95" s="1"/>
  <c r="N17" i="95"/>
  <c r="O17" i="95" s="1"/>
  <c r="N15" i="95"/>
  <c r="O15" i="95" s="1"/>
  <c r="O34" i="95"/>
  <c r="M36" i="95"/>
  <c r="P36" i="95"/>
  <c r="M34" i="95"/>
  <c r="P34" i="95"/>
  <c r="M37" i="95"/>
  <c r="P37" i="95"/>
  <c r="M35" i="95"/>
  <c r="P35" i="95"/>
  <c r="M38" i="95"/>
  <c r="P38" i="95"/>
  <c r="M32" i="95"/>
  <c r="M30" i="95"/>
  <c r="M28" i="95"/>
  <c r="M26" i="95"/>
  <c r="M24" i="95"/>
  <c r="M22" i="95"/>
  <c r="M20" i="95"/>
  <c r="M18" i="95"/>
  <c r="M16" i="95"/>
  <c r="M14" i="95"/>
  <c r="M12" i="95"/>
  <c r="M10" i="95"/>
  <c r="M7" i="95"/>
  <c r="M5" i="95"/>
  <c r="M3" i="95"/>
  <c r="M33" i="95"/>
  <c r="M31" i="95"/>
  <c r="M29" i="95"/>
  <c r="M27" i="95"/>
  <c r="M25" i="95"/>
  <c r="M23" i="95"/>
  <c r="M21" i="95"/>
  <c r="M19" i="95"/>
  <c r="M17" i="95"/>
  <c r="M15" i="95"/>
  <c r="M13" i="95"/>
  <c r="M11" i="95"/>
  <c r="M8" i="95"/>
  <c r="M6" i="95"/>
  <c r="M4" i="95"/>
  <c r="M2" i="95"/>
  <c r="P2" i="95"/>
  <c r="L30" i="88"/>
  <c r="N30" i="88"/>
  <c r="O30" i="88" s="1"/>
  <c r="M30" i="88" l="1"/>
  <c r="P30" i="88"/>
  <c r="L3" i="67"/>
  <c r="L4" i="67"/>
  <c r="L5" i="67"/>
  <c r="L6" i="67"/>
  <c r="T6" i="2" s="1"/>
  <c r="L7" i="67"/>
  <c r="L8" i="67"/>
  <c r="L9" i="67"/>
  <c r="L10" i="67"/>
  <c r="T10" i="2" s="1"/>
  <c r="L11" i="67"/>
  <c r="L12" i="67"/>
  <c r="T12" i="2" s="1"/>
  <c r="L13" i="67"/>
  <c r="L14" i="67"/>
  <c r="L15" i="67"/>
  <c r="L16" i="67"/>
  <c r="T16" i="2" s="1"/>
  <c r="L17" i="67"/>
  <c r="L18" i="67"/>
  <c r="T18" i="2" s="1"/>
  <c r="L19" i="67"/>
  <c r="L20" i="67"/>
  <c r="L22" i="67"/>
  <c r="L24" i="67"/>
  <c r="L27" i="67"/>
  <c r="T28" i="2" s="1"/>
  <c r="L31" i="67"/>
  <c r="T30" i="2" s="1"/>
  <c r="L32" i="67"/>
  <c r="L34" i="67"/>
  <c r="T33" i="2" s="1"/>
  <c r="L35" i="67"/>
  <c r="L36" i="67"/>
  <c r="L37" i="67"/>
  <c r="L38" i="67"/>
  <c r="L39" i="67"/>
  <c r="L40" i="67"/>
  <c r="L41" i="67"/>
  <c r="L42" i="67"/>
  <c r="L43" i="67"/>
  <c r="L44" i="67"/>
  <c r="L45" i="67"/>
  <c r="L51" i="67"/>
  <c r="T50" i="2" s="1"/>
  <c r="L52" i="67"/>
  <c r="L53" i="67"/>
  <c r="L54" i="67"/>
  <c r="L55" i="67"/>
  <c r="L56" i="67"/>
  <c r="L57" i="67"/>
  <c r="L58" i="67"/>
  <c r="L59" i="67"/>
  <c r="L60" i="67"/>
  <c r="L61" i="67"/>
  <c r="L62" i="67"/>
  <c r="L63" i="67"/>
  <c r="L65" i="67"/>
  <c r="L66" i="67"/>
  <c r="L67" i="67"/>
  <c r="L69" i="67"/>
  <c r="T68" i="2" s="1"/>
  <c r="L71" i="67"/>
  <c r="L72" i="67"/>
  <c r="L74" i="67"/>
  <c r="L75" i="67"/>
  <c r="L76" i="67"/>
  <c r="L77" i="67"/>
  <c r="L78" i="67"/>
  <c r="L79" i="67"/>
  <c r="L80" i="67"/>
  <c r="L81" i="67"/>
  <c r="L82" i="67"/>
  <c r="L83" i="67"/>
  <c r="L84" i="67"/>
  <c r="L85" i="67"/>
  <c r="L86" i="67"/>
  <c r="L87" i="67"/>
  <c r="L88" i="67"/>
  <c r="L89" i="67"/>
  <c r="L90" i="67"/>
  <c r="L91" i="67"/>
  <c r="L92" i="67"/>
  <c r="L93" i="67"/>
  <c r="L94" i="67"/>
  <c r="L97" i="67"/>
  <c r="L98" i="67"/>
  <c r="L99" i="67"/>
  <c r="L100" i="67"/>
  <c r="L101" i="67"/>
  <c r="L102" i="67"/>
  <c r="L104" i="67"/>
  <c r="L105" i="67"/>
  <c r="L106" i="67"/>
  <c r="L107" i="67"/>
  <c r="L108" i="67"/>
  <c r="L109" i="67"/>
  <c r="L110" i="67"/>
  <c r="L111" i="67"/>
  <c r="L112" i="67"/>
  <c r="L113" i="67"/>
  <c r="L114" i="67"/>
  <c r="L115" i="67"/>
  <c r="L116" i="67"/>
  <c r="L117" i="67"/>
  <c r="L118" i="67"/>
  <c r="L119" i="67"/>
  <c r="L120" i="67"/>
  <c r="L121" i="67"/>
  <c r="L122" i="67"/>
  <c r="L123" i="67"/>
  <c r="L124" i="67"/>
  <c r="L125" i="67"/>
  <c r="L126" i="67"/>
  <c r="L127" i="67"/>
  <c r="L128" i="67"/>
  <c r="L129" i="67"/>
  <c r="L130" i="67"/>
  <c r="L131" i="67"/>
  <c r="L132" i="67"/>
  <c r="L133" i="67"/>
  <c r="L134" i="67"/>
  <c r="L135" i="67"/>
  <c r="L136" i="67"/>
  <c r="L137" i="67"/>
  <c r="L138" i="67"/>
  <c r="L140" i="67"/>
  <c r="T139" i="2" s="1"/>
  <c r="L141" i="67"/>
  <c r="L142" i="67"/>
  <c r="L143" i="67"/>
  <c r="L144" i="67"/>
  <c r="L145" i="67"/>
  <c r="L146" i="67"/>
  <c r="L147" i="67"/>
  <c r="L148" i="67"/>
  <c r="L150" i="67"/>
  <c r="L151" i="67"/>
  <c r="L152" i="67"/>
  <c r="L153" i="67"/>
  <c r="L154" i="67"/>
  <c r="L155" i="67"/>
  <c r="L156" i="67"/>
  <c r="L157" i="67"/>
  <c r="L158" i="67"/>
  <c r="L159" i="67"/>
  <c r="L160" i="67"/>
  <c r="L161" i="67"/>
  <c r="L162" i="67"/>
  <c r="L163" i="67"/>
  <c r="L164" i="67"/>
  <c r="L165" i="67"/>
  <c r="L166" i="67"/>
  <c r="L167" i="67"/>
  <c r="L168" i="67"/>
  <c r="L169" i="67"/>
  <c r="L170" i="67"/>
  <c r="L171" i="67"/>
  <c r="L172" i="67"/>
  <c r="L173" i="67"/>
  <c r="L174" i="67"/>
  <c r="L176" i="67"/>
  <c r="L177" i="67"/>
  <c r="L180" i="67"/>
  <c r="L181" i="67"/>
  <c r="L182" i="67"/>
  <c r="L183" i="67"/>
  <c r="L184" i="67"/>
  <c r="L185" i="67"/>
  <c r="L186" i="67"/>
  <c r="L187" i="67"/>
  <c r="L188" i="67"/>
  <c r="L189" i="67"/>
  <c r="L190" i="67"/>
  <c r="L191" i="67"/>
  <c r="L192" i="67"/>
  <c r="L193" i="67"/>
  <c r="L194" i="67"/>
  <c r="L195" i="67"/>
  <c r="L196" i="67"/>
  <c r="L2" i="67"/>
  <c r="T2" i="2" s="1"/>
  <c r="T26" i="2" l="1"/>
  <c r="T23" i="2"/>
  <c r="T179" i="2"/>
  <c r="T178" i="2"/>
  <c r="T189" i="2"/>
  <c r="T181" i="2"/>
  <c r="T170" i="2"/>
  <c r="T166" i="2"/>
  <c r="T193" i="2"/>
  <c r="T185" i="2"/>
  <c r="T151" i="2"/>
  <c r="T146" i="2"/>
  <c r="T137" i="2"/>
  <c r="T133" i="2"/>
  <c r="T129" i="2"/>
  <c r="T125" i="2"/>
  <c r="T121" i="2"/>
  <c r="T117" i="2"/>
  <c r="T113" i="2"/>
  <c r="T109" i="2"/>
  <c r="T105" i="2"/>
  <c r="T175" i="2"/>
  <c r="T48" i="2"/>
  <c r="T49" i="2"/>
  <c r="T142" i="2"/>
  <c r="T149" i="2"/>
  <c r="T103" i="2"/>
  <c r="T73" i="2"/>
  <c r="T21" i="2"/>
  <c r="T70" i="2"/>
  <c r="T64" i="2"/>
  <c r="T96" i="2"/>
  <c r="T100" i="2"/>
  <c r="T95" i="2"/>
  <c r="T90" i="2"/>
  <c r="T79" i="2"/>
  <c r="T69" i="2"/>
  <c r="T59" i="2"/>
  <c r="T34" i="2"/>
  <c r="T86" i="2"/>
  <c r="T63" i="2"/>
  <c r="T51" i="2"/>
  <c r="T38" i="2"/>
  <c r="T62" i="2"/>
  <c r="T32" i="2"/>
  <c r="T66" i="2"/>
  <c r="T57" i="2"/>
  <c r="T44" i="2"/>
  <c r="T31" i="2"/>
  <c r="T75" i="2"/>
  <c r="T173" i="2"/>
  <c r="T169" i="2"/>
  <c r="T145" i="2"/>
  <c r="T141" i="2"/>
  <c r="T136" i="2"/>
  <c r="T132" i="2"/>
  <c r="T104" i="2"/>
  <c r="T93" i="2"/>
  <c r="T89" i="2"/>
  <c r="T85" i="2"/>
  <c r="T180" i="2"/>
  <c r="T164" i="2"/>
  <c r="T157" i="2"/>
  <c r="T131" i="2"/>
  <c r="T123" i="2"/>
  <c r="T184" i="2"/>
  <c r="T147" i="2"/>
  <c r="T134" i="2"/>
  <c r="T130" i="2"/>
  <c r="T118" i="2"/>
  <c r="T114" i="2"/>
  <c r="T101" i="2"/>
  <c r="T87" i="2"/>
  <c r="T76" i="2"/>
  <c r="T55" i="2"/>
  <c r="T14" i="2"/>
  <c r="T155" i="2"/>
  <c r="T94" i="2"/>
  <c r="T45" i="2"/>
  <c r="T81" i="2"/>
  <c r="T83" i="2"/>
  <c r="T42" i="2"/>
  <c r="T154" i="2"/>
  <c r="T67" i="2"/>
  <c r="T187" i="2"/>
  <c r="T177" i="2"/>
  <c r="T172" i="2"/>
  <c r="T153" i="2"/>
  <c r="T148" i="2"/>
  <c r="T144" i="2"/>
  <c r="T140" i="2"/>
  <c r="T119" i="2"/>
  <c r="T107" i="2"/>
  <c r="T102" i="2"/>
  <c r="T176" i="2"/>
  <c r="T171" i="2"/>
  <c r="T122" i="2"/>
  <c r="T71" i="2"/>
  <c r="T35" i="2"/>
  <c r="T174" i="2"/>
  <c r="T162" i="2"/>
  <c r="T196" i="2"/>
  <c r="T188" i="2"/>
  <c r="T165" i="2"/>
  <c r="T161" i="2"/>
  <c r="T158" i="2"/>
  <c r="T150" i="2"/>
  <c r="T128" i="2"/>
  <c r="T124" i="2"/>
  <c r="T120" i="2"/>
  <c r="T116" i="2"/>
  <c r="T112" i="2"/>
  <c r="T108" i="2"/>
  <c r="T99" i="2"/>
  <c r="T82" i="2"/>
  <c r="T78" i="2"/>
  <c r="T74" i="2"/>
  <c r="T58" i="2"/>
  <c r="T54" i="2"/>
  <c r="T41" i="2"/>
  <c r="T37" i="2"/>
  <c r="T22" i="2"/>
  <c r="T17" i="2"/>
  <c r="T13" i="2"/>
  <c r="T9" i="2"/>
  <c r="T5" i="2"/>
  <c r="T195" i="2"/>
  <c r="T183" i="2"/>
  <c r="T168" i="2"/>
  <c r="T160" i="2"/>
  <c r="T135" i="2"/>
  <c r="T127" i="2"/>
  <c r="T115" i="2"/>
  <c r="T111" i="2"/>
  <c r="T98" i="2"/>
  <c r="T92" i="2"/>
  <c r="T88" i="2"/>
  <c r="T77" i="2"/>
  <c r="T72" i="2"/>
  <c r="T61" i="2"/>
  <c r="T53" i="2"/>
  <c r="T40" i="2"/>
  <c r="T36" i="2"/>
  <c r="T20" i="2"/>
  <c r="T8" i="2"/>
  <c r="T4" i="2"/>
  <c r="T24" i="2"/>
  <c r="T192" i="2"/>
  <c r="T191" i="2"/>
  <c r="T194" i="2"/>
  <c r="T190" i="2"/>
  <c r="T186" i="2"/>
  <c r="T182" i="2"/>
  <c r="T167" i="2"/>
  <c r="T163" i="2"/>
  <c r="T159" i="2"/>
  <c r="T156" i="2"/>
  <c r="T152" i="2"/>
  <c r="T143" i="2"/>
  <c r="T138" i="2"/>
  <c r="T126" i="2"/>
  <c r="T110" i="2"/>
  <c r="T106" i="2"/>
  <c r="T97" i="2"/>
  <c r="T91" i="2"/>
  <c r="T84" i="2"/>
  <c r="T80" i="2"/>
  <c r="T65" i="2"/>
  <c r="T60" i="2"/>
  <c r="T56" i="2"/>
  <c r="T52" i="2"/>
  <c r="T43" i="2"/>
  <c r="T39" i="2"/>
  <c r="T27" i="2"/>
  <c r="T19" i="2"/>
  <c r="T15" i="2"/>
  <c r="T11" i="2"/>
  <c r="T7" i="2"/>
  <c r="T3" i="2"/>
  <c r="L28" i="81"/>
  <c r="N28" i="81"/>
  <c r="O28" i="81" s="1"/>
  <c r="M28" i="81" l="1"/>
  <c r="P28" i="81"/>
  <c r="L20" i="81"/>
  <c r="P20" i="81" s="1"/>
  <c r="N20" i="81"/>
  <c r="O20" i="81" s="1"/>
  <c r="M20" i="81" l="1"/>
  <c r="L39" i="76"/>
  <c r="N39" i="76"/>
  <c r="O39" i="76" s="1"/>
  <c r="M39" i="76" l="1"/>
  <c r="P39" i="76"/>
  <c r="L11" i="71"/>
  <c r="N11" i="71"/>
  <c r="O11" i="71" s="1"/>
  <c r="L23" i="99"/>
  <c r="N23" i="99"/>
  <c r="O23" i="99" s="1"/>
  <c r="M23" i="99" l="1"/>
  <c r="P23" i="99"/>
  <c r="M11" i="71"/>
  <c r="P11" i="71"/>
  <c r="AC193" i="2"/>
  <c r="AC182" i="2"/>
  <c r="AC177" i="2"/>
  <c r="AC165" i="2"/>
  <c r="AC150" i="2"/>
  <c r="AC138" i="2"/>
  <c r="AC120" i="2"/>
  <c r="AC115" i="2"/>
  <c r="AC83" i="2"/>
  <c r="AC58" i="2"/>
  <c r="AC14" i="2"/>
  <c r="L22" i="72" l="1"/>
  <c r="P22" i="72" s="1"/>
  <c r="N22" i="72"/>
  <c r="M22" i="72" l="1"/>
  <c r="O22" i="72"/>
  <c r="L34" i="71"/>
  <c r="N34" i="71"/>
  <c r="O34" i="71" s="1"/>
  <c r="L38" i="71"/>
  <c r="N38" i="71"/>
  <c r="O38" i="71" s="1"/>
  <c r="L29" i="71"/>
  <c r="N29" i="71"/>
  <c r="O29" i="71" s="1"/>
  <c r="L32" i="71"/>
  <c r="L25" i="71"/>
  <c r="N25" i="71"/>
  <c r="O25" i="71" s="1"/>
  <c r="L23" i="71"/>
  <c r="L18" i="71"/>
  <c r="N18" i="71"/>
  <c r="O18" i="71" s="1"/>
  <c r="M32" i="71" l="1"/>
  <c r="P32" i="71"/>
  <c r="M38" i="71"/>
  <c r="P38" i="71"/>
  <c r="M29" i="71"/>
  <c r="P29" i="71"/>
  <c r="M34" i="71"/>
  <c r="P34" i="71"/>
  <c r="M25" i="71"/>
  <c r="P25" i="71"/>
  <c r="M18" i="71"/>
  <c r="P18" i="71"/>
  <c r="M23" i="71"/>
  <c r="P23" i="71"/>
  <c r="N32" i="71"/>
  <c r="O32" i="71" s="1"/>
  <c r="N23" i="71"/>
  <c r="O23" i="71" s="1"/>
  <c r="L31" i="72"/>
  <c r="L56" i="98"/>
  <c r="N56" i="98"/>
  <c r="O56" i="98" s="1"/>
  <c r="M31" i="72" l="1"/>
  <c r="P31" i="72"/>
  <c r="M56" i="98"/>
  <c r="P56" i="98"/>
  <c r="N31" i="72"/>
  <c r="O31" i="72" s="1"/>
  <c r="L82" i="91"/>
  <c r="M82" i="91" s="1"/>
  <c r="L83" i="91"/>
  <c r="M83" i="91" s="1"/>
  <c r="L84" i="91"/>
  <c r="M84" i="91" s="1"/>
  <c r="L85" i="91"/>
  <c r="M85" i="91" s="1"/>
  <c r="L86" i="91"/>
  <c r="M86" i="91" s="1"/>
  <c r="L87" i="91"/>
  <c r="M87" i="91" s="1"/>
  <c r="L88" i="91"/>
  <c r="M88" i="91" s="1"/>
  <c r="L89" i="91"/>
  <c r="M89" i="91" s="1"/>
  <c r="L90" i="91"/>
  <c r="M90" i="91" s="1"/>
  <c r="L91" i="91"/>
  <c r="M91" i="91" s="1"/>
  <c r="L92" i="91"/>
  <c r="M92" i="91" s="1"/>
  <c r="L93" i="91"/>
  <c r="M93" i="91" s="1"/>
  <c r="L94" i="91"/>
  <c r="M94" i="91" s="1"/>
  <c r="L95" i="91"/>
  <c r="M95" i="91" s="1"/>
  <c r="L96" i="91"/>
  <c r="M96" i="91" s="1"/>
  <c r="L97" i="91"/>
  <c r="M97" i="91" s="1"/>
  <c r="L98" i="91"/>
  <c r="M98" i="91" s="1"/>
  <c r="L99" i="91"/>
  <c r="M99" i="91" s="1"/>
  <c r="L100" i="91"/>
  <c r="M100" i="91" s="1"/>
  <c r="L101" i="91"/>
  <c r="M101" i="91" s="1"/>
  <c r="L102" i="91"/>
  <c r="M102" i="91" s="1"/>
  <c r="L103" i="91"/>
  <c r="M103" i="91" s="1"/>
  <c r="N82" i="91"/>
  <c r="O82" i="91" s="1"/>
  <c r="N83" i="91"/>
  <c r="O83" i="91" s="1"/>
  <c r="N84" i="91"/>
  <c r="O84" i="91" s="1"/>
  <c r="N85" i="91"/>
  <c r="O85" i="91" s="1"/>
  <c r="N86" i="91"/>
  <c r="O86" i="91" s="1"/>
  <c r="N87" i="91"/>
  <c r="O87" i="91" s="1"/>
  <c r="N88" i="91"/>
  <c r="O88" i="91" s="1"/>
  <c r="N89" i="91"/>
  <c r="O89" i="91" s="1"/>
  <c r="N90" i="91"/>
  <c r="O90" i="91" s="1"/>
  <c r="N91" i="91"/>
  <c r="O91" i="91" s="1"/>
  <c r="N92" i="91"/>
  <c r="O92" i="91" s="1"/>
  <c r="N93" i="91"/>
  <c r="O93" i="91" s="1"/>
  <c r="N94" i="91"/>
  <c r="O94" i="91" s="1"/>
  <c r="N95" i="91"/>
  <c r="O95" i="91" s="1"/>
  <c r="N96" i="91"/>
  <c r="O96" i="91" s="1"/>
  <c r="N97" i="91"/>
  <c r="O97" i="91" s="1"/>
  <c r="N98" i="91"/>
  <c r="O98" i="91" s="1"/>
  <c r="N99" i="91"/>
  <c r="O99" i="91" s="1"/>
  <c r="N100" i="91"/>
  <c r="O100" i="91" s="1"/>
  <c r="N101" i="91"/>
  <c r="O101" i="91" s="1"/>
  <c r="N102" i="91"/>
  <c r="O102" i="91" s="1"/>
  <c r="N103" i="91"/>
  <c r="O103" i="91" s="1"/>
  <c r="L78" i="90" l="1"/>
  <c r="M78" i="90" s="1"/>
  <c r="L79" i="90"/>
  <c r="M79" i="90" s="1"/>
  <c r="L80" i="90"/>
  <c r="M80" i="90" s="1"/>
  <c r="L81" i="90"/>
  <c r="M81" i="90" s="1"/>
  <c r="L82" i="90"/>
  <c r="M82" i="90" s="1"/>
  <c r="L83" i="90"/>
  <c r="M83" i="90" s="1"/>
  <c r="L84" i="90"/>
  <c r="M84" i="90" s="1"/>
  <c r="N78" i="90"/>
  <c r="O78" i="90" s="1"/>
  <c r="N79" i="90"/>
  <c r="O79" i="90" s="1"/>
  <c r="N80" i="90"/>
  <c r="O80" i="90" s="1"/>
  <c r="N81" i="90"/>
  <c r="O81" i="90" s="1"/>
  <c r="N82" i="90"/>
  <c r="O82" i="90" s="1"/>
  <c r="N83" i="90"/>
  <c r="O83" i="90" s="1"/>
  <c r="N84" i="90"/>
  <c r="O84" i="90" s="1"/>
  <c r="L2" i="80" l="1"/>
  <c r="N2" i="80"/>
  <c r="O2" i="80" s="1"/>
  <c r="L3" i="80"/>
  <c r="P3" i="80" s="1"/>
  <c r="N3" i="80"/>
  <c r="O3" i="80" s="1"/>
  <c r="L4" i="80"/>
  <c r="P4" i="80" s="1"/>
  <c r="N4" i="80"/>
  <c r="O4" i="80" s="1"/>
  <c r="L5" i="80"/>
  <c r="P5" i="80" s="1"/>
  <c r="N5" i="80"/>
  <c r="O5" i="80" s="1"/>
  <c r="L6" i="80"/>
  <c r="P6" i="80" s="1"/>
  <c r="N6" i="80"/>
  <c r="L7" i="80"/>
  <c r="P7" i="80" s="1"/>
  <c r="N7" i="80"/>
  <c r="O7" i="80" s="1"/>
  <c r="L8" i="80"/>
  <c r="P8" i="80" s="1"/>
  <c r="N8" i="80"/>
  <c r="O8" i="80" s="1"/>
  <c r="L9" i="80"/>
  <c r="P9" i="80" s="1"/>
  <c r="N9" i="80"/>
  <c r="O9" i="80" s="1"/>
  <c r="L10" i="80"/>
  <c r="P10" i="80" s="1"/>
  <c r="N10" i="80"/>
  <c r="O10" i="80" s="1"/>
  <c r="L11" i="80"/>
  <c r="P11" i="80" s="1"/>
  <c r="N11" i="80"/>
  <c r="O11" i="80" s="1"/>
  <c r="L12" i="80"/>
  <c r="N12" i="80" s="1"/>
  <c r="O12" i="80" s="1"/>
  <c r="L13" i="80"/>
  <c r="P13" i="80" s="1"/>
  <c r="N13" i="80"/>
  <c r="O13" i="80" s="1"/>
  <c r="L14" i="80"/>
  <c r="P14" i="80" s="1"/>
  <c r="N14" i="80"/>
  <c r="O14" i="80" s="1"/>
  <c r="L15" i="80"/>
  <c r="N15" i="80"/>
  <c r="O15" i="80" s="1"/>
  <c r="L16" i="80"/>
  <c r="P16" i="80" s="1"/>
  <c r="L17" i="80"/>
  <c r="L18" i="80"/>
  <c r="L19" i="80"/>
  <c r="L20" i="80"/>
  <c r="P20" i="80" s="1"/>
  <c r="L21" i="80"/>
  <c r="P21" i="80" s="1"/>
  <c r="L22" i="80"/>
  <c r="L23" i="80"/>
  <c r="P23" i="80" s="1"/>
  <c r="L24" i="80"/>
  <c r="P24" i="80" s="1"/>
  <c r="L25" i="80"/>
  <c r="P25" i="80" s="1"/>
  <c r="N25" i="80"/>
  <c r="O25" i="80" s="1"/>
  <c r="L26" i="80"/>
  <c r="P26" i="80" s="1"/>
  <c r="N26" i="80"/>
  <c r="L27" i="80"/>
  <c r="P27" i="80" s="1"/>
  <c r="N27" i="80"/>
  <c r="O27" i="80" s="1"/>
  <c r="L28" i="80"/>
  <c r="L29" i="80"/>
  <c r="L30" i="80"/>
  <c r="P30" i="80" s="1"/>
  <c r="L31" i="80"/>
  <c r="P31" i="80" s="1"/>
  <c r="L32" i="80"/>
  <c r="P32" i="80" s="1"/>
  <c r="N32" i="80"/>
  <c r="O32" i="80" s="1"/>
  <c r="L33" i="80"/>
  <c r="P33" i="80" s="1"/>
  <c r="N33" i="80"/>
  <c r="O33" i="80" s="1"/>
  <c r="L34" i="80"/>
  <c r="L35" i="80"/>
  <c r="P35" i="80" s="1"/>
  <c r="L36" i="80"/>
  <c r="N36" i="80"/>
  <c r="O36" i="80" s="1"/>
  <c r="L37" i="80"/>
  <c r="N37" i="80"/>
  <c r="O37" i="80" s="1"/>
  <c r="L38" i="80"/>
  <c r="N38" i="80"/>
  <c r="O38" i="80" s="1"/>
  <c r="L39" i="80"/>
  <c r="N39" i="80"/>
  <c r="O39" i="80" s="1"/>
  <c r="L40" i="80"/>
  <c r="N40" i="80"/>
  <c r="O40" i="80" s="1"/>
  <c r="L41" i="80"/>
  <c r="N41" i="80"/>
  <c r="O41" i="80" s="1"/>
  <c r="L42" i="80"/>
  <c r="N42" i="80"/>
  <c r="O42" i="80" s="1"/>
  <c r="L43" i="80"/>
  <c r="N43" i="80"/>
  <c r="O43" i="80" s="1"/>
  <c r="L44" i="80"/>
  <c r="N44" i="80"/>
  <c r="O44" i="80" s="1"/>
  <c r="L45" i="80"/>
  <c r="M45" i="80" s="1"/>
  <c r="N45" i="80"/>
  <c r="O45" i="80" s="1"/>
  <c r="L46" i="80"/>
  <c r="M46" i="80" s="1"/>
  <c r="N46" i="80"/>
  <c r="O46" i="80" s="1"/>
  <c r="L47" i="80"/>
  <c r="M47" i="80" s="1"/>
  <c r="N47" i="80"/>
  <c r="O47" i="80" s="1"/>
  <c r="L48" i="80"/>
  <c r="M48" i="80" s="1"/>
  <c r="N48" i="80"/>
  <c r="O48" i="80" s="1"/>
  <c r="L49" i="80"/>
  <c r="M49" i="80" s="1"/>
  <c r="N49" i="80"/>
  <c r="O49" i="80" s="1"/>
  <c r="L50" i="80"/>
  <c r="M50" i="80" s="1"/>
  <c r="N50" i="80"/>
  <c r="O50" i="80" s="1"/>
  <c r="L51" i="80"/>
  <c r="M51" i="80" s="1"/>
  <c r="N51" i="80"/>
  <c r="O51" i="80" s="1"/>
  <c r="L52" i="80"/>
  <c r="M52" i="80" s="1"/>
  <c r="N52" i="80"/>
  <c r="O52" i="80" s="1"/>
  <c r="L53" i="80"/>
  <c r="M53" i="80" s="1"/>
  <c r="N53" i="80"/>
  <c r="O53" i="80" s="1"/>
  <c r="L54" i="80"/>
  <c r="M54" i="80" s="1"/>
  <c r="N54" i="80"/>
  <c r="O54" i="80" s="1"/>
  <c r="L55" i="80"/>
  <c r="M55" i="80" s="1"/>
  <c r="N55" i="80"/>
  <c r="O55" i="80" s="1"/>
  <c r="L56" i="80"/>
  <c r="M56" i="80" s="1"/>
  <c r="N56" i="80"/>
  <c r="O56" i="80" s="1"/>
  <c r="L57" i="80"/>
  <c r="M57" i="80" s="1"/>
  <c r="N57" i="80"/>
  <c r="O57" i="80" s="1"/>
  <c r="L58" i="80"/>
  <c r="M58" i="80" s="1"/>
  <c r="N58" i="80"/>
  <c r="O58" i="80" s="1"/>
  <c r="L59" i="80"/>
  <c r="M59" i="80" s="1"/>
  <c r="N59" i="80"/>
  <c r="O59" i="80" s="1"/>
  <c r="L60" i="80"/>
  <c r="M60" i="80" s="1"/>
  <c r="N60" i="80"/>
  <c r="O60" i="80" s="1"/>
  <c r="L61" i="80"/>
  <c r="M61" i="80" s="1"/>
  <c r="N61" i="80"/>
  <c r="O61" i="80" s="1"/>
  <c r="L62" i="80"/>
  <c r="M62" i="80" s="1"/>
  <c r="N62" i="80"/>
  <c r="O62" i="80" s="1"/>
  <c r="L63" i="80"/>
  <c r="M63" i="80" s="1"/>
  <c r="N63" i="80"/>
  <c r="O63" i="80" s="1"/>
  <c r="L64" i="80"/>
  <c r="M64" i="80" s="1"/>
  <c r="N64" i="80"/>
  <c r="O64" i="80" s="1"/>
  <c r="L65" i="80"/>
  <c r="M65" i="80" s="1"/>
  <c r="N65" i="80"/>
  <c r="O65" i="80" s="1"/>
  <c r="L66" i="80"/>
  <c r="M66" i="80" s="1"/>
  <c r="N66" i="80"/>
  <c r="O66" i="80" s="1"/>
  <c r="L67" i="80"/>
  <c r="M67" i="80" s="1"/>
  <c r="N67" i="80"/>
  <c r="O67" i="80" s="1"/>
  <c r="L68" i="80"/>
  <c r="M68" i="80" s="1"/>
  <c r="N68" i="80"/>
  <c r="O68" i="80" s="1"/>
  <c r="L69" i="80"/>
  <c r="M69" i="80" s="1"/>
  <c r="N69" i="80"/>
  <c r="O69" i="80" s="1"/>
  <c r="L70" i="80"/>
  <c r="M70" i="80" s="1"/>
  <c r="N70" i="80"/>
  <c r="O70" i="80" s="1"/>
  <c r="L71" i="80"/>
  <c r="M71" i="80" s="1"/>
  <c r="N71" i="80"/>
  <c r="O71" i="80" s="1"/>
  <c r="L72" i="80"/>
  <c r="M72" i="80" s="1"/>
  <c r="N72" i="80"/>
  <c r="O72" i="80" s="1"/>
  <c r="L73" i="80"/>
  <c r="M73" i="80" s="1"/>
  <c r="N73" i="80"/>
  <c r="O73" i="80" s="1"/>
  <c r="L74" i="80"/>
  <c r="M74" i="80" s="1"/>
  <c r="N74" i="80"/>
  <c r="O74" i="80" s="1"/>
  <c r="L75" i="80"/>
  <c r="M75" i="80" s="1"/>
  <c r="N75" i="80"/>
  <c r="O75" i="80" s="1"/>
  <c r="L76" i="80"/>
  <c r="M76" i="80" s="1"/>
  <c r="N76" i="80"/>
  <c r="O76" i="80" s="1"/>
  <c r="L77" i="80"/>
  <c r="M77" i="80" s="1"/>
  <c r="N77" i="80"/>
  <c r="O77" i="80" s="1"/>
  <c r="N21" i="80" l="1"/>
  <c r="O21" i="80" s="1"/>
  <c r="N24" i="80"/>
  <c r="O24" i="80" s="1"/>
  <c r="N23" i="80"/>
  <c r="O23" i="80" s="1"/>
  <c r="M37" i="80"/>
  <c r="P37" i="80"/>
  <c r="M29" i="80"/>
  <c r="P29" i="80"/>
  <c r="M22" i="80"/>
  <c r="P22" i="80"/>
  <c r="M19" i="80"/>
  <c r="P19" i="80"/>
  <c r="M44" i="80"/>
  <c r="P44" i="80"/>
  <c r="M42" i="80"/>
  <c r="P42" i="80"/>
  <c r="M40" i="80"/>
  <c r="P40" i="80"/>
  <c r="M38" i="80"/>
  <c r="P38" i="80"/>
  <c r="M36" i="80"/>
  <c r="P36" i="80"/>
  <c r="M28" i="80"/>
  <c r="P28" i="80"/>
  <c r="N18" i="80"/>
  <c r="O18" i="80" s="1"/>
  <c r="P18" i="80"/>
  <c r="M15" i="80"/>
  <c r="P15" i="80"/>
  <c r="M43" i="80"/>
  <c r="P43" i="80"/>
  <c r="M41" i="80"/>
  <c r="P41" i="80"/>
  <c r="M39" i="80"/>
  <c r="P39" i="80"/>
  <c r="M34" i="80"/>
  <c r="P34" i="80"/>
  <c r="M17" i="80"/>
  <c r="P17" i="80"/>
  <c r="M12" i="80"/>
  <c r="P12" i="80"/>
  <c r="N19" i="80"/>
  <c r="O19" i="80" s="1"/>
  <c r="N35" i="80"/>
  <c r="O35" i="80" s="1"/>
  <c r="M33" i="80"/>
  <c r="M25" i="80"/>
  <c r="M23" i="80"/>
  <c r="M27" i="80"/>
  <c r="M21" i="80"/>
  <c r="N34" i="80"/>
  <c r="N28" i="80"/>
  <c r="O28" i="80" s="1"/>
  <c r="O26" i="80"/>
  <c r="N22" i="80"/>
  <c r="O22" i="80" s="1"/>
  <c r="M20" i="80"/>
  <c r="N17" i="80"/>
  <c r="O17" i="80" s="1"/>
  <c r="M13" i="80"/>
  <c r="M11" i="80"/>
  <c r="M9" i="80"/>
  <c r="M7" i="80"/>
  <c r="M5" i="80"/>
  <c r="M3" i="80"/>
  <c r="M30" i="80"/>
  <c r="M32" i="80"/>
  <c r="M26" i="80"/>
  <c r="M24" i="80"/>
  <c r="M31" i="80"/>
  <c r="N29" i="80"/>
  <c r="O29" i="80" s="1"/>
  <c r="M16" i="80"/>
  <c r="M14" i="80"/>
  <c r="M10" i="80"/>
  <c r="M8" i="80"/>
  <c r="M6" i="80"/>
  <c r="M4" i="80"/>
  <c r="M2" i="80"/>
  <c r="P2" i="80"/>
  <c r="M18" i="80"/>
  <c r="O6" i="80"/>
  <c r="N31" i="80"/>
  <c r="O31" i="80" s="1"/>
  <c r="N30" i="80"/>
  <c r="O30" i="80" s="1"/>
  <c r="N16" i="80"/>
  <c r="N20" i="80"/>
  <c r="O20" i="80" s="1"/>
  <c r="M35" i="80"/>
  <c r="L51" i="79"/>
  <c r="L52" i="79"/>
  <c r="P52" i="79" s="1"/>
  <c r="L53" i="79"/>
  <c r="P53" i="79" s="1"/>
  <c r="L54" i="79"/>
  <c r="P54" i="79" s="1"/>
  <c r="L55" i="79"/>
  <c r="P55" i="79" s="1"/>
  <c r="L56" i="79"/>
  <c r="P56" i="79" s="1"/>
  <c r="L57" i="79"/>
  <c r="L58" i="79"/>
  <c r="L59" i="79"/>
  <c r="L60" i="79"/>
  <c r="L61" i="79"/>
  <c r="L62" i="79"/>
  <c r="L63" i="79"/>
  <c r="L64" i="79"/>
  <c r="L65" i="79"/>
  <c r="L66" i="79"/>
  <c r="L67" i="79"/>
  <c r="L68" i="79"/>
  <c r="L69" i="79"/>
  <c r="L70" i="79"/>
  <c r="L71" i="79"/>
  <c r="L72" i="79"/>
  <c r="L73" i="79"/>
  <c r="L74" i="79"/>
  <c r="L75" i="79"/>
  <c r="L76" i="79"/>
  <c r="L77" i="79"/>
  <c r="L82" i="79"/>
  <c r="M82" i="79" s="1"/>
  <c r="L83" i="79"/>
  <c r="M83" i="79" s="1"/>
  <c r="L84" i="79"/>
  <c r="M84" i="79" s="1"/>
  <c r="N82" i="79"/>
  <c r="O82" i="79" s="1"/>
  <c r="N83" i="79"/>
  <c r="O83" i="79" s="1"/>
  <c r="N84" i="79"/>
  <c r="O84" i="79" s="1"/>
  <c r="O34" i="80" l="1"/>
  <c r="P51" i="79"/>
  <c r="O16" i="80"/>
  <c r="L17" i="77"/>
  <c r="L12" i="77"/>
  <c r="P12" i="77" s="1"/>
  <c r="L13" i="77"/>
  <c r="L14" i="77"/>
  <c r="P14" i="77" s="1"/>
  <c r="L15" i="77"/>
  <c r="P15" i="77" s="1"/>
  <c r="L16" i="77"/>
  <c r="P16" i="77" s="1"/>
  <c r="L18" i="77"/>
  <c r="L20" i="77"/>
  <c r="P20" i="77" s="1"/>
  <c r="L21" i="77"/>
  <c r="L22" i="77"/>
  <c r="L23" i="77"/>
  <c r="L24" i="77"/>
  <c r="P24" i="77" s="1"/>
  <c r="L25" i="77"/>
  <c r="L26" i="77"/>
  <c r="L27" i="77"/>
  <c r="L28" i="77"/>
  <c r="L29" i="77"/>
  <c r="P29" i="77" s="1"/>
  <c r="L30" i="77"/>
  <c r="L11" i="77"/>
  <c r="L10" i="77"/>
  <c r="L8" i="77"/>
  <c r="P8" i="77" s="1"/>
  <c r="L7" i="77"/>
  <c r="P7" i="77" s="1"/>
  <c r="L5" i="77"/>
  <c r="P5" i="77" s="1"/>
  <c r="L6" i="77"/>
  <c r="P6" i="77" s="1"/>
  <c r="L4" i="77"/>
  <c r="P4" i="77" s="1"/>
  <c r="L3" i="77"/>
  <c r="P3" i="77" s="1"/>
  <c r="L2" i="77"/>
  <c r="L9" i="77"/>
  <c r="P9" i="77" s="1"/>
  <c r="P25" i="77" l="1"/>
  <c r="N25" i="77"/>
  <c r="N26" i="77"/>
  <c r="P26" i="77"/>
  <c r="N28" i="77"/>
  <c r="P28" i="77"/>
  <c r="N27" i="77"/>
  <c r="P27" i="77"/>
  <c r="N23" i="77"/>
  <c r="P23" i="77"/>
  <c r="N13" i="77"/>
  <c r="P13" i="77"/>
  <c r="M30" i="77"/>
  <c r="P30" i="77"/>
  <c r="N30" i="77"/>
  <c r="N11" i="77"/>
  <c r="P11" i="77"/>
  <c r="P18" i="77"/>
  <c r="N18" i="77"/>
  <c r="N22" i="77"/>
  <c r="P22" i="77"/>
  <c r="N17" i="77"/>
  <c r="O17" i="77" s="1"/>
  <c r="P17" i="77"/>
  <c r="M21" i="77"/>
  <c r="P21" i="77"/>
  <c r="N21" i="77"/>
  <c r="M10" i="77"/>
  <c r="P10" i="77"/>
  <c r="N10" i="77"/>
  <c r="M12" i="77"/>
  <c r="N12" i="77"/>
  <c r="M29" i="77"/>
  <c r="N29" i="77"/>
  <c r="M3" i="77"/>
  <c r="M7" i="77"/>
  <c r="M26" i="77"/>
  <c r="M22" i="77"/>
  <c r="M16" i="77"/>
  <c r="M4" i="77"/>
  <c r="M8" i="77"/>
  <c r="M25" i="77"/>
  <c r="M15" i="77"/>
  <c r="M9" i="77"/>
  <c r="M6" i="77"/>
  <c r="M28" i="77"/>
  <c r="M24" i="77"/>
  <c r="M20" i="77"/>
  <c r="M14" i="77"/>
  <c r="M17" i="77"/>
  <c r="M2" i="77"/>
  <c r="P2" i="77"/>
  <c r="M5" i="77"/>
  <c r="M11" i="77"/>
  <c r="M27" i="77"/>
  <c r="M23" i="77"/>
  <c r="M18" i="77"/>
  <c r="M13" i="77"/>
  <c r="L81" i="76"/>
  <c r="M81" i="76" s="1"/>
  <c r="L82" i="76"/>
  <c r="M82" i="76" s="1"/>
  <c r="L83" i="76"/>
  <c r="M83" i="76" s="1"/>
  <c r="L84" i="76"/>
  <c r="M84" i="76" s="1"/>
  <c r="L85" i="76"/>
  <c r="L86" i="76"/>
  <c r="M86" i="76" s="1"/>
  <c r="L87" i="76"/>
  <c r="M87" i="76" s="1"/>
  <c r="L88" i="76"/>
  <c r="M88" i="76" s="1"/>
  <c r="L89" i="76"/>
  <c r="M89" i="76" s="1"/>
  <c r="L90" i="76"/>
  <c r="M90" i="76" s="1"/>
  <c r="L91" i="76"/>
  <c r="M91" i="76" s="1"/>
  <c r="L92" i="76"/>
  <c r="M92" i="76" s="1"/>
  <c r="M85" i="76"/>
  <c r="N81" i="76"/>
  <c r="O81" i="76" s="1"/>
  <c r="N82" i="76"/>
  <c r="O82" i="76" s="1"/>
  <c r="N83" i="76"/>
  <c r="O83" i="76" s="1"/>
  <c r="N84" i="76"/>
  <c r="O84" i="76" s="1"/>
  <c r="N85" i="76"/>
  <c r="O85" i="76" s="1"/>
  <c r="N86" i="76"/>
  <c r="O86" i="76" s="1"/>
  <c r="N87" i="76"/>
  <c r="O87" i="76" s="1"/>
  <c r="N88" i="76"/>
  <c r="O88" i="76" s="1"/>
  <c r="N89" i="76"/>
  <c r="O89" i="76" s="1"/>
  <c r="N90" i="76"/>
  <c r="O90" i="76" s="1"/>
  <c r="N91" i="76"/>
  <c r="O91" i="76" s="1"/>
  <c r="N92" i="76"/>
  <c r="O92" i="76" s="1"/>
  <c r="L13" i="70" l="1"/>
  <c r="N13" i="70"/>
  <c r="O13" i="70" s="1"/>
  <c r="L54" i="69"/>
  <c r="N54" i="69"/>
  <c r="O54" i="69" s="1"/>
  <c r="L73" i="98"/>
  <c r="N73" i="98"/>
  <c r="O73" i="98" s="1"/>
  <c r="L32" i="98"/>
  <c r="N32" i="98"/>
  <c r="L94" i="71"/>
  <c r="M94" i="71" s="1"/>
  <c r="L95" i="71"/>
  <c r="M95" i="71" s="1"/>
  <c r="L96" i="71"/>
  <c r="M96" i="71" s="1"/>
  <c r="L97" i="71"/>
  <c r="M97" i="71" s="1"/>
  <c r="L98" i="71"/>
  <c r="M98" i="71" s="1"/>
  <c r="L99" i="71"/>
  <c r="M99" i="71" s="1"/>
  <c r="L100" i="71"/>
  <c r="M100" i="71" s="1"/>
  <c r="L101" i="71"/>
  <c r="M101" i="71" s="1"/>
  <c r="L102" i="71"/>
  <c r="M102" i="71" s="1"/>
  <c r="L103" i="71"/>
  <c r="M103" i="71" s="1"/>
  <c r="L104" i="71"/>
  <c r="M104" i="71" s="1"/>
  <c r="L105" i="71"/>
  <c r="M105" i="71" s="1"/>
  <c r="L106" i="71"/>
  <c r="M106" i="71" s="1"/>
  <c r="N94" i="71"/>
  <c r="O94" i="71" s="1"/>
  <c r="N95" i="71"/>
  <c r="O95" i="71" s="1"/>
  <c r="N96" i="71"/>
  <c r="O96" i="71" s="1"/>
  <c r="N97" i="71"/>
  <c r="O97" i="71" s="1"/>
  <c r="N98" i="71"/>
  <c r="O98" i="71" s="1"/>
  <c r="N99" i="71"/>
  <c r="O99" i="71" s="1"/>
  <c r="N100" i="71"/>
  <c r="O100" i="71" s="1"/>
  <c r="N101" i="71"/>
  <c r="O101" i="71" s="1"/>
  <c r="N102" i="71"/>
  <c r="O102" i="71" s="1"/>
  <c r="N103" i="71"/>
  <c r="O103" i="71" s="1"/>
  <c r="N104" i="71"/>
  <c r="O104" i="71" s="1"/>
  <c r="N105" i="71"/>
  <c r="O105" i="71" s="1"/>
  <c r="N106" i="71"/>
  <c r="O106" i="71" s="1"/>
  <c r="M54" i="69" l="1"/>
  <c r="P54" i="69"/>
  <c r="M73" i="98"/>
  <c r="P73" i="98"/>
  <c r="M32" i="98"/>
  <c r="P32" i="98"/>
  <c r="M13" i="70"/>
  <c r="P13" i="70"/>
  <c r="O32" i="98"/>
  <c r="L7" i="70"/>
  <c r="N7" i="70"/>
  <c r="O7" i="70" l="1"/>
  <c r="M7" i="70"/>
  <c r="P7" i="70"/>
  <c r="AH14" i="2"/>
  <c r="AH83" i="2"/>
  <c r="AH138" i="2"/>
  <c r="AH150" i="2"/>
  <c r="AH165" i="2"/>
  <c r="AF2" i="2"/>
  <c r="AF3" i="2"/>
  <c r="AF4" i="2"/>
  <c r="AF5" i="2"/>
  <c r="AF6" i="2"/>
  <c r="AF7" i="2"/>
  <c r="AF8" i="2"/>
  <c r="AF9" i="2"/>
  <c r="AF10" i="2"/>
  <c r="AF11" i="2"/>
  <c r="AF12" i="2"/>
  <c r="AF13" i="2"/>
  <c r="AF14" i="2"/>
  <c r="AF15" i="2"/>
  <c r="AF16" i="2"/>
  <c r="AF17" i="2"/>
  <c r="AF18" i="2"/>
  <c r="AF19" i="2"/>
  <c r="AF20" i="2"/>
  <c r="AF22" i="2"/>
  <c r="AF24" i="2"/>
  <c r="AF27" i="2"/>
  <c r="AF31" i="2"/>
  <c r="AF32" i="2"/>
  <c r="AF34" i="2"/>
  <c r="AF35" i="2"/>
  <c r="AF36" i="2"/>
  <c r="AF37" i="2"/>
  <c r="AF38" i="2"/>
  <c r="AF39" i="2"/>
  <c r="AF40" i="2"/>
  <c r="AF41" i="2"/>
  <c r="AF42" i="2"/>
  <c r="AF43" i="2"/>
  <c r="AF44" i="2"/>
  <c r="AF45" i="2"/>
  <c r="AF51" i="2"/>
  <c r="AF52" i="2"/>
  <c r="AF53" i="2"/>
  <c r="AF54" i="2"/>
  <c r="AF55" i="2"/>
  <c r="AF56" i="2"/>
  <c r="AF57" i="2"/>
  <c r="AF58" i="2"/>
  <c r="AF59" i="2"/>
  <c r="AF60" i="2"/>
  <c r="AF61" i="2"/>
  <c r="AF62" i="2"/>
  <c r="AF63" i="2"/>
  <c r="AF65" i="2"/>
  <c r="AF66" i="2"/>
  <c r="AF67" i="2"/>
  <c r="AF69" i="2"/>
  <c r="AF71" i="2"/>
  <c r="AF72" i="2"/>
  <c r="AF74" i="2"/>
  <c r="AF75" i="2"/>
  <c r="AF76" i="2"/>
  <c r="AF77" i="2"/>
  <c r="AF78" i="2"/>
  <c r="AF79" i="2"/>
  <c r="AF80" i="2"/>
  <c r="AF81" i="2"/>
  <c r="AF82" i="2"/>
  <c r="AF83" i="2"/>
  <c r="AF84" i="2"/>
  <c r="AF85" i="2"/>
  <c r="AF86" i="2"/>
  <c r="AF87" i="2"/>
  <c r="AF88" i="2"/>
  <c r="AF89" i="2"/>
  <c r="AF90" i="2"/>
  <c r="AF91" i="2"/>
  <c r="AF92" i="2"/>
  <c r="AF93" i="2"/>
  <c r="AF94" i="2"/>
  <c r="AF97" i="2"/>
  <c r="AF98" i="2"/>
  <c r="AF99" i="2"/>
  <c r="AF100" i="2"/>
  <c r="AF101" i="2"/>
  <c r="AF102"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40" i="2"/>
  <c r="AF141" i="2"/>
  <c r="AF142" i="2"/>
  <c r="AF143" i="2"/>
  <c r="AF144" i="2"/>
  <c r="AF145" i="2"/>
  <c r="AF146" i="2"/>
  <c r="AF147" i="2"/>
  <c r="AF148"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6" i="2"/>
  <c r="AF177" i="2"/>
  <c r="AF180" i="2"/>
  <c r="AF181" i="2"/>
  <c r="AF182" i="2"/>
  <c r="AF183" i="2"/>
  <c r="AF184" i="2"/>
  <c r="AF185" i="2"/>
  <c r="AF186" i="2"/>
  <c r="AF187" i="2"/>
  <c r="AF188" i="2"/>
  <c r="AF189" i="2"/>
  <c r="AF190" i="2"/>
  <c r="AF191" i="2"/>
  <c r="AF192" i="2"/>
  <c r="AF193" i="2"/>
  <c r="AF194" i="2"/>
  <c r="AF195" i="2"/>
  <c r="AF196" i="2"/>
  <c r="AE2" i="2"/>
  <c r="AI2" i="2" s="1"/>
  <c r="AE3" i="2"/>
  <c r="AI3" i="2" s="1"/>
  <c r="AE4" i="2"/>
  <c r="AI4" i="2" s="1"/>
  <c r="AE5" i="2"/>
  <c r="AE6" i="2"/>
  <c r="AI6" i="2" s="1"/>
  <c r="AE7" i="2"/>
  <c r="AI7" i="2" s="1"/>
  <c r="AE8" i="2"/>
  <c r="AI8" i="2" s="1"/>
  <c r="AE9" i="2"/>
  <c r="AE10" i="2"/>
  <c r="AI10" i="2" s="1"/>
  <c r="AE11" i="2"/>
  <c r="AI11" i="2" s="1"/>
  <c r="AE12" i="2"/>
  <c r="AI12" i="2" s="1"/>
  <c r="AE13" i="2"/>
  <c r="AE14" i="2"/>
  <c r="AI14" i="2" s="1"/>
  <c r="AE15" i="2"/>
  <c r="AI15" i="2" s="1"/>
  <c r="AE16" i="2"/>
  <c r="AI16" i="2" s="1"/>
  <c r="AE17" i="2"/>
  <c r="AE18" i="2"/>
  <c r="AI18" i="2" s="1"/>
  <c r="AE19" i="2"/>
  <c r="AI19" i="2" s="1"/>
  <c r="AE20" i="2"/>
  <c r="AI20" i="2" s="1"/>
  <c r="AE22" i="2"/>
  <c r="AE24" i="2"/>
  <c r="AI24" i="2" s="1"/>
  <c r="AE27" i="2"/>
  <c r="AI27" i="2" s="1"/>
  <c r="AE31" i="2"/>
  <c r="AI31" i="2" s="1"/>
  <c r="AE32" i="2"/>
  <c r="AE34" i="2"/>
  <c r="AI34" i="2" s="1"/>
  <c r="AE35" i="2"/>
  <c r="AI35" i="2" s="1"/>
  <c r="AE36" i="2"/>
  <c r="AI36" i="2" s="1"/>
  <c r="AE37" i="2"/>
  <c r="AE38" i="2"/>
  <c r="AI38" i="2" s="1"/>
  <c r="AE39" i="2"/>
  <c r="AI39" i="2" s="1"/>
  <c r="AE40" i="2"/>
  <c r="AI40" i="2" s="1"/>
  <c r="AE41" i="2"/>
  <c r="AE42" i="2"/>
  <c r="AI42" i="2" s="1"/>
  <c r="AE43" i="2"/>
  <c r="AI43" i="2" s="1"/>
  <c r="AE44" i="2"/>
  <c r="AI44" i="2" s="1"/>
  <c r="AE45" i="2"/>
  <c r="AE51" i="2"/>
  <c r="AI51" i="2" s="1"/>
  <c r="AE52" i="2"/>
  <c r="AI52" i="2" s="1"/>
  <c r="AE53" i="2"/>
  <c r="AI53" i="2" s="1"/>
  <c r="AE54" i="2"/>
  <c r="AE55" i="2"/>
  <c r="AI55" i="2" s="1"/>
  <c r="AE56" i="2"/>
  <c r="AI56" i="2" s="1"/>
  <c r="AE57" i="2"/>
  <c r="AI57" i="2" s="1"/>
  <c r="AE58" i="2"/>
  <c r="AE59" i="2"/>
  <c r="AI59" i="2" s="1"/>
  <c r="AE60" i="2"/>
  <c r="AI60" i="2" s="1"/>
  <c r="AE61" i="2"/>
  <c r="AI61" i="2" s="1"/>
  <c r="AE62" i="2"/>
  <c r="AE63" i="2"/>
  <c r="AI63" i="2" s="1"/>
  <c r="AE65" i="2"/>
  <c r="AI65" i="2" s="1"/>
  <c r="AE66" i="2"/>
  <c r="AI66" i="2" s="1"/>
  <c r="AE67" i="2"/>
  <c r="AE69" i="2"/>
  <c r="AI69" i="2" s="1"/>
  <c r="AE71" i="2"/>
  <c r="AI71" i="2" s="1"/>
  <c r="AE72" i="2"/>
  <c r="AI72" i="2" s="1"/>
  <c r="AE74" i="2"/>
  <c r="AE75" i="2"/>
  <c r="AI75" i="2" s="1"/>
  <c r="AE76" i="2"/>
  <c r="AI76" i="2" s="1"/>
  <c r="AE77" i="2"/>
  <c r="AI77" i="2" s="1"/>
  <c r="AE78" i="2"/>
  <c r="AE79" i="2"/>
  <c r="AI79" i="2" s="1"/>
  <c r="AE80" i="2"/>
  <c r="AI80" i="2" s="1"/>
  <c r="AE81" i="2"/>
  <c r="AI81" i="2" s="1"/>
  <c r="AE82" i="2"/>
  <c r="AE83" i="2"/>
  <c r="AI83" i="2" s="1"/>
  <c r="AE84" i="2"/>
  <c r="AI84" i="2" s="1"/>
  <c r="AE85" i="2"/>
  <c r="AE86" i="2"/>
  <c r="AI86" i="2" s="1"/>
  <c r="AE87" i="2"/>
  <c r="AI87" i="2" s="1"/>
  <c r="AE88" i="2"/>
  <c r="AI88" i="2" s="1"/>
  <c r="AE89" i="2"/>
  <c r="AE90" i="2"/>
  <c r="AI90" i="2" s="1"/>
  <c r="AE91" i="2"/>
  <c r="AI91" i="2" s="1"/>
  <c r="AE92" i="2"/>
  <c r="AI92" i="2" s="1"/>
  <c r="AE93" i="2"/>
  <c r="AE94" i="2"/>
  <c r="AI94" i="2" s="1"/>
  <c r="AE97" i="2"/>
  <c r="AI97" i="2" s="1"/>
  <c r="AE98" i="2"/>
  <c r="AI98" i="2" s="1"/>
  <c r="AE99" i="2"/>
  <c r="AE100" i="2"/>
  <c r="AI100" i="2" s="1"/>
  <c r="AE101" i="2"/>
  <c r="AI101" i="2" s="1"/>
  <c r="AE102" i="2"/>
  <c r="AI102" i="2" s="1"/>
  <c r="AE104" i="2"/>
  <c r="AE105" i="2"/>
  <c r="AI105" i="2" s="1"/>
  <c r="AE106" i="2"/>
  <c r="AI106" i="2" s="1"/>
  <c r="AE107" i="2"/>
  <c r="AI107" i="2" s="1"/>
  <c r="AE108" i="2"/>
  <c r="AE109" i="2"/>
  <c r="AI109" i="2" s="1"/>
  <c r="AE110" i="2"/>
  <c r="AI110" i="2" s="1"/>
  <c r="AE111" i="2"/>
  <c r="AI111" i="2" s="1"/>
  <c r="AE112" i="2"/>
  <c r="AE113" i="2"/>
  <c r="AI113" i="2" s="1"/>
  <c r="AE114" i="2"/>
  <c r="AI114" i="2" s="1"/>
  <c r="AE115" i="2"/>
  <c r="AI115" i="2" s="1"/>
  <c r="AE116" i="2"/>
  <c r="AE117" i="2"/>
  <c r="AI117" i="2" s="1"/>
  <c r="AE118" i="2"/>
  <c r="AI118" i="2" s="1"/>
  <c r="AE119" i="2"/>
  <c r="AI119" i="2" s="1"/>
  <c r="AE120" i="2"/>
  <c r="AE121" i="2"/>
  <c r="AI121" i="2" s="1"/>
  <c r="AE122" i="2"/>
  <c r="AI122" i="2" s="1"/>
  <c r="AE123" i="2"/>
  <c r="AI123" i="2" s="1"/>
  <c r="AE124" i="2"/>
  <c r="AE125" i="2"/>
  <c r="AI125" i="2" s="1"/>
  <c r="AE126" i="2"/>
  <c r="AI126" i="2" s="1"/>
  <c r="AE127" i="2"/>
  <c r="AI127" i="2" s="1"/>
  <c r="AE128" i="2"/>
  <c r="AE129" i="2"/>
  <c r="AI129" i="2" s="1"/>
  <c r="AE130" i="2"/>
  <c r="AI130" i="2" s="1"/>
  <c r="AE131" i="2"/>
  <c r="AI131" i="2" s="1"/>
  <c r="AE132" i="2"/>
  <c r="AE133" i="2"/>
  <c r="AI133" i="2" s="1"/>
  <c r="AE134" i="2"/>
  <c r="AI134" i="2" s="1"/>
  <c r="AE135" i="2"/>
  <c r="AI135" i="2" s="1"/>
  <c r="AE136" i="2"/>
  <c r="AE137" i="2"/>
  <c r="AI137" i="2" s="1"/>
  <c r="AE138" i="2"/>
  <c r="AI138" i="2" s="1"/>
  <c r="AE140" i="2"/>
  <c r="AI140" i="2" s="1"/>
  <c r="AE141" i="2"/>
  <c r="AE142" i="2"/>
  <c r="AI142" i="2" s="1"/>
  <c r="AE143" i="2"/>
  <c r="AI143" i="2" s="1"/>
  <c r="AE144" i="2"/>
  <c r="AI144" i="2" s="1"/>
  <c r="AE145" i="2"/>
  <c r="AE146" i="2"/>
  <c r="AI146" i="2" s="1"/>
  <c r="AE147" i="2"/>
  <c r="AI147" i="2" s="1"/>
  <c r="AE148" i="2"/>
  <c r="AI148" i="2" s="1"/>
  <c r="AE150" i="2"/>
  <c r="AE151" i="2"/>
  <c r="AI151" i="2" s="1"/>
  <c r="AE152" i="2"/>
  <c r="AI152" i="2" s="1"/>
  <c r="AE153" i="2"/>
  <c r="AI153" i="2" s="1"/>
  <c r="AE154" i="2"/>
  <c r="AE155" i="2"/>
  <c r="AI155" i="2" s="1"/>
  <c r="AE156" i="2"/>
  <c r="AI156" i="2" s="1"/>
  <c r="AE157" i="2"/>
  <c r="AI157" i="2" s="1"/>
  <c r="AE158" i="2"/>
  <c r="AE159" i="2"/>
  <c r="AI159" i="2" s="1"/>
  <c r="AE160" i="2"/>
  <c r="AI160" i="2" s="1"/>
  <c r="AE161" i="2"/>
  <c r="AE162" i="2"/>
  <c r="AI162" i="2" s="1"/>
  <c r="AE163" i="2"/>
  <c r="AI163" i="2" s="1"/>
  <c r="AE164" i="2"/>
  <c r="AI164" i="2" s="1"/>
  <c r="AE165" i="2"/>
  <c r="AE166" i="2"/>
  <c r="AI166" i="2" s="1"/>
  <c r="AE167" i="2"/>
  <c r="AI167" i="2" s="1"/>
  <c r="AE168" i="2"/>
  <c r="AI168" i="2" s="1"/>
  <c r="AE169" i="2"/>
  <c r="AE170" i="2"/>
  <c r="AI170" i="2" s="1"/>
  <c r="AE171" i="2"/>
  <c r="AI171" i="2" s="1"/>
  <c r="AE172" i="2"/>
  <c r="AI172" i="2" s="1"/>
  <c r="AE173" i="2"/>
  <c r="AE174" i="2"/>
  <c r="AI174" i="2" s="1"/>
  <c r="AE176" i="2"/>
  <c r="AI176" i="2" s="1"/>
  <c r="AE177" i="2"/>
  <c r="AI177" i="2" s="1"/>
  <c r="AE180" i="2"/>
  <c r="AE181" i="2"/>
  <c r="AI181" i="2" s="1"/>
  <c r="AE182" i="2"/>
  <c r="AI182" i="2" s="1"/>
  <c r="AE183" i="2"/>
  <c r="AI183" i="2" s="1"/>
  <c r="AE184" i="2"/>
  <c r="AE185" i="2"/>
  <c r="AI185" i="2" s="1"/>
  <c r="AE186" i="2"/>
  <c r="AI186" i="2" s="1"/>
  <c r="AE187" i="2"/>
  <c r="AI187" i="2" s="1"/>
  <c r="AE188" i="2"/>
  <c r="AE189" i="2"/>
  <c r="AI189" i="2" s="1"/>
  <c r="AE190" i="2"/>
  <c r="AI190" i="2" s="1"/>
  <c r="AE191" i="2"/>
  <c r="AI191" i="2" s="1"/>
  <c r="AE192" i="2"/>
  <c r="AE193" i="2"/>
  <c r="AI193" i="2" s="1"/>
  <c r="AE194" i="2"/>
  <c r="AI194" i="2" s="1"/>
  <c r="AE195" i="2"/>
  <c r="AI195" i="2" s="1"/>
  <c r="AE196" i="2"/>
  <c r="AI196" i="2" s="1"/>
  <c r="AB14" i="2"/>
  <c r="AB83" i="2"/>
  <c r="AB138" i="2"/>
  <c r="AB150" i="2"/>
  <c r="AB165" i="2"/>
  <c r="AB167" i="2"/>
  <c r="AB195" i="2"/>
  <c r="AA2" i="2"/>
  <c r="AA3" i="2"/>
  <c r="AA4" i="2"/>
  <c r="AA5" i="2"/>
  <c r="AA6" i="2"/>
  <c r="AA7" i="2"/>
  <c r="AA8" i="2"/>
  <c r="AA9" i="2"/>
  <c r="AA10" i="2"/>
  <c r="AA11" i="2"/>
  <c r="AA12" i="2"/>
  <c r="AA13" i="2"/>
  <c r="AA14" i="2"/>
  <c r="AA15" i="2"/>
  <c r="AA16" i="2"/>
  <c r="AA17" i="2"/>
  <c r="AA18" i="2"/>
  <c r="AA19" i="2"/>
  <c r="AA20" i="2"/>
  <c r="AA22" i="2"/>
  <c r="AA24" i="2"/>
  <c r="AA27" i="2"/>
  <c r="AA31" i="2"/>
  <c r="AA32" i="2"/>
  <c r="AA34" i="2"/>
  <c r="AA35" i="2"/>
  <c r="AA36" i="2"/>
  <c r="AA37" i="2"/>
  <c r="AA38" i="2"/>
  <c r="AA39" i="2"/>
  <c r="AA40" i="2"/>
  <c r="AA41" i="2"/>
  <c r="AA42" i="2"/>
  <c r="AA43" i="2"/>
  <c r="AA44" i="2"/>
  <c r="AA45" i="2"/>
  <c r="AA51" i="2"/>
  <c r="AA52" i="2"/>
  <c r="AA53" i="2"/>
  <c r="AA54" i="2"/>
  <c r="AA55" i="2"/>
  <c r="AA56" i="2"/>
  <c r="AA57" i="2"/>
  <c r="AA58" i="2"/>
  <c r="AA59" i="2"/>
  <c r="AA60" i="2"/>
  <c r="AA61" i="2"/>
  <c r="AA62" i="2"/>
  <c r="AA63" i="2"/>
  <c r="AA65" i="2"/>
  <c r="AA66" i="2"/>
  <c r="AA67" i="2"/>
  <c r="AA69" i="2"/>
  <c r="AA71" i="2"/>
  <c r="AA72" i="2"/>
  <c r="AA74" i="2"/>
  <c r="AA75" i="2"/>
  <c r="AA76" i="2"/>
  <c r="AA77" i="2"/>
  <c r="AA78" i="2"/>
  <c r="AA79" i="2"/>
  <c r="AA80" i="2"/>
  <c r="AA81" i="2"/>
  <c r="AA82" i="2"/>
  <c r="AA83" i="2"/>
  <c r="AA84" i="2"/>
  <c r="AA85" i="2"/>
  <c r="AA86" i="2"/>
  <c r="AA87" i="2"/>
  <c r="AA88" i="2"/>
  <c r="AA89" i="2"/>
  <c r="AA90" i="2"/>
  <c r="AA91" i="2"/>
  <c r="AA92" i="2"/>
  <c r="AA93" i="2"/>
  <c r="AA94" i="2"/>
  <c r="AA97" i="2"/>
  <c r="AA98" i="2"/>
  <c r="AA99" i="2"/>
  <c r="AA100" i="2"/>
  <c r="AA101" i="2"/>
  <c r="AA102"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40" i="2"/>
  <c r="AA141" i="2"/>
  <c r="AA142" i="2"/>
  <c r="AA143" i="2"/>
  <c r="AA144" i="2"/>
  <c r="AA145" i="2"/>
  <c r="AA146" i="2"/>
  <c r="AA147" i="2"/>
  <c r="AA148"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6" i="2"/>
  <c r="AA177" i="2"/>
  <c r="AA180" i="2"/>
  <c r="AA181" i="2"/>
  <c r="AA182" i="2"/>
  <c r="AA183" i="2"/>
  <c r="AA184" i="2"/>
  <c r="AA185" i="2"/>
  <c r="AA186" i="2"/>
  <c r="AA187" i="2"/>
  <c r="AA188" i="2"/>
  <c r="AA189" i="2"/>
  <c r="AA190" i="2"/>
  <c r="AA191" i="2"/>
  <c r="AA192" i="2"/>
  <c r="AA193" i="2"/>
  <c r="AA194" i="2"/>
  <c r="AA195" i="2"/>
  <c r="AA196" i="2"/>
  <c r="Z2" i="2"/>
  <c r="Z3" i="2"/>
  <c r="Z4" i="2"/>
  <c r="Z5" i="2"/>
  <c r="Z6" i="2"/>
  <c r="Z7" i="2"/>
  <c r="Z8" i="2"/>
  <c r="Z9" i="2"/>
  <c r="Z10" i="2"/>
  <c r="Z11" i="2"/>
  <c r="Z12" i="2"/>
  <c r="Z13" i="2"/>
  <c r="Z14" i="2"/>
  <c r="Z15" i="2"/>
  <c r="Z16" i="2"/>
  <c r="Z17" i="2"/>
  <c r="Z18" i="2"/>
  <c r="Z19" i="2"/>
  <c r="Z20" i="2"/>
  <c r="Z22" i="2"/>
  <c r="Z24" i="2"/>
  <c r="Z27" i="2"/>
  <c r="Z31" i="2"/>
  <c r="Z32" i="2"/>
  <c r="Z34" i="2"/>
  <c r="Z35" i="2"/>
  <c r="Z36" i="2"/>
  <c r="Z37" i="2"/>
  <c r="Z38" i="2"/>
  <c r="Z39" i="2"/>
  <c r="Z40" i="2"/>
  <c r="Z41" i="2"/>
  <c r="Z42" i="2"/>
  <c r="Z43" i="2"/>
  <c r="Z44" i="2"/>
  <c r="Z45" i="2"/>
  <c r="Z51" i="2"/>
  <c r="Z52" i="2"/>
  <c r="Z53" i="2"/>
  <c r="Z54" i="2"/>
  <c r="Z55" i="2"/>
  <c r="Z56" i="2"/>
  <c r="Z57" i="2"/>
  <c r="Z58" i="2"/>
  <c r="Z59" i="2"/>
  <c r="Z60" i="2"/>
  <c r="Z61" i="2"/>
  <c r="Z62" i="2"/>
  <c r="Z63" i="2"/>
  <c r="Z65" i="2"/>
  <c r="Z66" i="2"/>
  <c r="Z67" i="2"/>
  <c r="Z69" i="2"/>
  <c r="Z71" i="2"/>
  <c r="Z72" i="2"/>
  <c r="Z74" i="2"/>
  <c r="Z75" i="2"/>
  <c r="Z76" i="2"/>
  <c r="Z77" i="2"/>
  <c r="Z78" i="2"/>
  <c r="Z79" i="2"/>
  <c r="Z80" i="2"/>
  <c r="Z81" i="2"/>
  <c r="Z82" i="2"/>
  <c r="Z83" i="2"/>
  <c r="Z84" i="2"/>
  <c r="Z85" i="2"/>
  <c r="Z86" i="2"/>
  <c r="Z87" i="2"/>
  <c r="Z88" i="2"/>
  <c r="Z89" i="2"/>
  <c r="Z90" i="2"/>
  <c r="Z91" i="2"/>
  <c r="Z92" i="2"/>
  <c r="Z93" i="2"/>
  <c r="Z94" i="2"/>
  <c r="Z97" i="2"/>
  <c r="Z98" i="2"/>
  <c r="Z99" i="2"/>
  <c r="Z100" i="2"/>
  <c r="Z101" i="2"/>
  <c r="Z102"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40" i="2"/>
  <c r="Z141" i="2"/>
  <c r="Z142" i="2"/>
  <c r="Z143" i="2"/>
  <c r="Z144" i="2"/>
  <c r="Z145" i="2"/>
  <c r="Z146" i="2"/>
  <c r="Z147" i="2"/>
  <c r="Z148"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6" i="2"/>
  <c r="Z177" i="2"/>
  <c r="Z180" i="2"/>
  <c r="Z181" i="2"/>
  <c r="Z182" i="2"/>
  <c r="Z183" i="2"/>
  <c r="Z184" i="2"/>
  <c r="Z185" i="2"/>
  <c r="Z186" i="2"/>
  <c r="Z187" i="2"/>
  <c r="Z188" i="2"/>
  <c r="Z189" i="2"/>
  <c r="Z190" i="2"/>
  <c r="Z191" i="2"/>
  <c r="Z192" i="2"/>
  <c r="Z193" i="2"/>
  <c r="Z194" i="2"/>
  <c r="Z195" i="2"/>
  <c r="Z196" i="2"/>
  <c r="S14" i="35" l="1"/>
  <c r="AG192" i="2"/>
  <c r="AI192" i="2"/>
  <c r="AG188" i="2"/>
  <c r="AI188" i="2"/>
  <c r="AG184" i="2"/>
  <c r="AI184" i="2"/>
  <c r="AG180" i="2"/>
  <c r="AI180" i="2"/>
  <c r="AG173" i="2"/>
  <c r="AI173" i="2"/>
  <c r="AG169" i="2"/>
  <c r="AI169" i="2"/>
  <c r="AG165" i="2"/>
  <c r="AI165" i="2"/>
  <c r="AG161" i="2"/>
  <c r="AI161" i="2"/>
  <c r="AG158" i="2"/>
  <c r="AI158" i="2"/>
  <c r="AG154" i="2"/>
  <c r="AI154" i="2"/>
  <c r="AG150" i="2"/>
  <c r="AI150" i="2"/>
  <c r="AG145" i="2"/>
  <c r="AI145" i="2"/>
  <c r="AG141" i="2"/>
  <c r="AI141" i="2"/>
  <c r="AG136" i="2"/>
  <c r="AI136" i="2"/>
  <c r="AG132" i="2"/>
  <c r="AI132" i="2"/>
  <c r="AG128" i="2"/>
  <c r="AI128" i="2"/>
  <c r="AG124" i="2"/>
  <c r="AI124" i="2"/>
  <c r="AG120" i="2"/>
  <c r="AI120" i="2"/>
  <c r="AG116" i="2"/>
  <c r="AI116" i="2"/>
  <c r="AG112" i="2"/>
  <c r="AI112" i="2"/>
  <c r="AG108" i="2"/>
  <c r="AI108" i="2"/>
  <c r="AG104" i="2"/>
  <c r="AI104" i="2"/>
  <c r="AG99" i="2"/>
  <c r="AI99" i="2"/>
  <c r="AG93" i="2"/>
  <c r="AI93" i="2"/>
  <c r="AG89" i="2"/>
  <c r="AI89" i="2"/>
  <c r="AG85" i="2"/>
  <c r="AI85" i="2"/>
  <c r="AG82" i="2"/>
  <c r="AI82" i="2"/>
  <c r="AG78" i="2"/>
  <c r="AI78" i="2"/>
  <c r="AG74" i="2"/>
  <c r="AI74" i="2"/>
  <c r="AG67" i="2"/>
  <c r="AI67" i="2"/>
  <c r="AG62" i="2"/>
  <c r="AI62" i="2"/>
  <c r="AG58" i="2"/>
  <c r="AI58" i="2"/>
  <c r="AG54" i="2"/>
  <c r="AI54" i="2"/>
  <c r="AG45" i="2"/>
  <c r="AI45" i="2"/>
  <c r="AG41" i="2"/>
  <c r="AI41" i="2"/>
  <c r="AG37" i="2"/>
  <c r="AI37" i="2"/>
  <c r="AG32" i="2"/>
  <c r="AI32" i="2"/>
  <c r="AG22" i="2"/>
  <c r="AI22" i="2"/>
  <c r="AG17" i="2"/>
  <c r="AI17" i="2"/>
  <c r="AG13" i="2"/>
  <c r="AI13" i="2"/>
  <c r="AG9" i="2"/>
  <c r="AI9" i="2"/>
  <c r="AG5" i="2"/>
  <c r="AI5" i="2"/>
  <c r="AG196" i="2"/>
  <c r="AG191" i="2"/>
  <c r="AG186" i="2"/>
  <c r="AG181" i="2"/>
  <c r="AG172" i="2"/>
  <c r="AG167" i="2"/>
  <c r="AG162" i="2"/>
  <c r="AG157" i="2"/>
  <c r="AG152" i="2"/>
  <c r="AG146" i="2"/>
  <c r="AG140" i="2"/>
  <c r="AG134" i="2"/>
  <c r="AG129" i="2"/>
  <c r="AG123" i="2"/>
  <c r="AG118" i="2"/>
  <c r="AG113" i="2"/>
  <c r="AG107" i="2"/>
  <c r="AG101" i="2"/>
  <c r="AG94" i="2"/>
  <c r="AG88" i="2"/>
  <c r="AG84" i="2"/>
  <c r="AG79" i="2"/>
  <c r="AG72" i="2"/>
  <c r="AG65" i="2"/>
  <c r="AG59" i="2"/>
  <c r="AG53" i="2"/>
  <c r="AG43" i="2"/>
  <c r="AG38" i="2"/>
  <c r="AG31" i="2"/>
  <c r="AG19" i="2"/>
  <c r="AG14" i="2"/>
  <c r="AG8" i="2"/>
  <c r="AG3" i="2"/>
  <c r="AG195" i="2"/>
  <c r="AG190" i="2"/>
  <c r="AG185" i="2"/>
  <c r="AG177" i="2"/>
  <c r="AG171" i="2"/>
  <c r="AG166" i="2"/>
  <c r="AG160" i="2"/>
  <c r="AG156" i="2"/>
  <c r="AG151" i="2"/>
  <c r="AG144" i="2"/>
  <c r="AG138" i="2"/>
  <c r="AG133" i="2"/>
  <c r="AG127" i="2"/>
  <c r="AG122" i="2"/>
  <c r="AG117" i="2"/>
  <c r="AG111" i="2"/>
  <c r="AG106" i="2"/>
  <c r="AG100" i="2"/>
  <c r="AG92" i="2"/>
  <c r="AG87" i="2"/>
  <c r="AG83" i="2"/>
  <c r="AG77" i="2"/>
  <c r="AG71" i="2"/>
  <c r="AG63" i="2"/>
  <c r="AG57" i="2"/>
  <c r="AG52" i="2"/>
  <c r="AG42" i="2"/>
  <c r="AG36" i="2"/>
  <c r="AG27" i="2"/>
  <c r="AG18" i="2"/>
  <c r="AG12" i="2"/>
  <c r="AG7" i="2"/>
  <c r="AG2" i="2"/>
  <c r="AG194" i="2"/>
  <c r="AG189" i="2"/>
  <c r="AG183" i="2"/>
  <c r="AG176" i="2"/>
  <c r="AG170" i="2"/>
  <c r="AG164" i="2"/>
  <c r="AG159" i="2"/>
  <c r="AG155" i="2"/>
  <c r="AG148" i="2"/>
  <c r="AG143" i="2"/>
  <c r="AG137" i="2"/>
  <c r="AG131" i="2"/>
  <c r="AG126" i="2"/>
  <c r="AG121" i="2"/>
  <c r="AG115" i="2"/>
  <c r="AG110" i="2"/>
  <c r="AG105" i="2"/>
  <c r="AG98" i="2"/>
  <c r="AG91" i="2"/>
  <c r="AG86" i="2"/>
  <c r="AG81" i="2"/>
  <c r="AG76" i="2"/>
  <c r="AG69" i="2"/>
  <c r="AG61" i="2"/>
  <c r="AG56" i="2"/>
  <c r="AG51" i="2"/>
  <c r="AG40" i="2"/>
  <c r="AG35" i="2"/>
  <c r="AG24" i="2"/>
  <c r="AG16" i="2"/>
  <c r="AG11" i="2"/>
  <c r="AG6" i="2"/>
  <c r="AG193" i="2"/>
  <c r="AG187" i="2"/>
  <c r="AG182" i="2"/>
  <c r="AG174" i="2"/>
  <c r="AG168" i="2"/>
  <c r="AG163" i="2"/>
  <c r="AG153" i="2"/>
  <c r="AG147" i="2"/>
  <c r="AG142" i="2"/>
  <c r="AG135" i="2"/>
  <c r="AG130" i="2"/>
  <c r="AG125" i="2"/>
  <c r="AG119" i="2"/>
  <c r="AG114" i="2"/>
  <c r="AG109" i="2"/>
  <c r="AG102" i="2"/>
  <c r="AG97" i="2"/>
  <c r="AG90" i="2"/>
  <c r="AG80" i="2"/>
  <c r="AG75" i="2"/>
  <c r="AG66" i="2"/>
  <c r="AG60" i="2"/>
  <c r="AG55" i="2"/>
  <c r="AG44" i="2"/>
  <c r="AG39" i="2"/>
  <c r="AG34" i="2"/>
  <c r="AG20" i="2"/>
  <c r="AG15" i="2"/>
  <c r="AG10" i="2"/>
  <c r="AG4" i="2"/>
  <c r="Y2" i="2"/>
  <c r="Y3" i="2"/>
  <c r="Y4" i="2"/>
  <c r="Y5" i="2"/>
  <c r="Y6" i="2"/>
  <c r="Y7" i="2"/>
  <c r="Y8" i="2"/>
  <c r="Y9" i="2"/>
  <c r="Y10" i="2"/>
  <c r="Y11" i="2"/>
  <c r="Y12" i="2"/>
  <c r="Y13" i="2"/>
  <c r="Y14" i="2"/>
  <c r="Y15" i="2"/>
  <c r="Y16" i="2"/>
  <c r="Y17" i="2"/>
  <c r="Y18" i="2"/>
  <c r="Y19" i="2"/>
  <c r="Y20" i="2"/>
  <c r="Y22" i="2"/>
  <c r="Y24" i="2"/>
  <c r="Y27" i="2"/>
  <c r="Y31" i="2"/>
  <c r="Y32" i="2"/>
  <c r="Y34" i="2"/>
  <c r="Y35" i="2"/>
  <c r="Y36" i="2"/>
  <c r="Y37" i="2"/>
  <c r="Y38" i="2"/>
  <c r="Y39" i="2"/>
  <c r="Y40" i="2"/>
  <c r="Y41" i="2"/>
  <c r="Y42" i="2"/>
  <c r="Y43" i="2"/>
  <c r="Y44" i="2"/>
  <c r="Y45" i="2"/>
  <c r="Y51" i="2"/>
  <c r="Y52" i="2"/>
  <c r="Y53" i="2"/>
  <c r="Y54" i="2"/>
  <c r="Y55" i="2"/>
  <c r="Y56" i="2"/>
  <c r="Y57" i="2"/>
  <c r="Y58" i="2"/>
  <c r="Y59" i="2"/>
  <c r="Y60" i="2"/>
  <c r="Y61" i="2"/>
  <c r="Y62" i="2"/>
  <c r="Y63" i="2"/>
  <c r="Y65" i="2"/>
  <c r="Y66" i="2"/>
  <c r="Y67" i="2"/>
  <c r="Y69" i="2"/>
  <c r="Y71" i="2"/>
  <c r="Y72" i="2"/>
  <c r="Y74" i="2"/>
  <c r="Y75" i="2"/>
  <c r="Y76" i="2"/>
  <c r="Y77" i="2"/>
  <c r="Y78" i="2"/>
  <c r="Y79" i="2"/>
  <c r="Y80" i="2"/>
  <c r="Y81" i="2"/>
  <c r="Y82" i="2"/>
  <c r="Y83" i="2"/>
  <c r="Y84" i="2"/>
  <c r="Y85" i="2"/>
  <c r="Y86" i="2"/>
  <c r="Y87" i="2"/>
  <c r="Y88" i="2"/>
  <c r="Y89" i="2"/>
  <c r="Y90" i="2"/>
  <c r="Y91" i="2"/>
  <c r="Y92" i="2"/>
  <c r="Y93" i="2"/>
  <c r="Y94" i="2"/>
  <c r="Y97" i="2"/>
  <c r="Y98" i="2"/>
  <c r="Y99" i="2"/>
  <c r="Y100" i="2"/>
  <c r="Y101" i="2"/>
  <c r="Y102"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40" i="2"/>
  <c r="Y141" i="2"/>
  <c r="Y142" i="2"/>
  <c r="Y143" i="2"/>
  <c r="Y144" i="2"/>
  <c r="Y145" i="2"/>
  <c r="Y146" i="2"/>
  <c r="Y147" i="2"/>
  <c r="Y148"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6" i="2"/>
  <c r="Y177" i="2"/>
  <c r="Y180" i="2"/>
  <c r="Y181" i="2"/>
  <c r="Y182" i="2"/>
  <c r="Y183" i="2"/>
  <c r="Y184" i="2"/>
  <c r="Y185" i="2"/>
  <c r="Y186" i="2"/>
  <c r="Y187" i="2"/>
  <c r="Y188" i="2"/>
  <c r="Y189" i="2"/>
  <c r="Y190" i="2"/>
  <c r="Y191" i="2"/>
  <c r="Y192" i="2"/>
  <c r="Y193" i="2"/>
  <c r="Y194" i="2"/>
  <c r="Y195" i="2"/>
  <c r="Y196" i="2"/>
  <c r="X2" i="2"/>
  <c r="X3" i="2"/>
  <c r="X4" i="2"/>
  <c r="X5" i="2"/>
  <c r="X6" i="2"/>
  <c r="X7" i="2"/>
  <c r="X8" i="2"/>
  <c r="X9" i="2"/>
  <c r="X10" i="2"/>
  <c r="X11" i="2"/>
  <c r="X12" i="2"/>
  <c r="X13" i="2"/>
  <c r="X14" i="2"/>
  <c r="X15" i="2"/>
  <c r="X16" i="2"/>
  <c r="X17" i="2"/>
  <c r="X18" i="2"/>
  <c r="X19" i="2"/>
  <c r="X20" i="2"/>
  <c r="X22" i="2"/>
  <c r="X24" i="2"/>
  <c r="X27" i="2"/>
  <c r="X31" i="2"/>
  <c r="X32" i="2"/>
  <c r="X34" i="2"/>
  <c r="X35" i="2"/>
  <c r="X36" i="2"/>
  <c r="X37" i="2"/>
  <c r="X38" i="2"/>
  <c r="X39" i="2"/>
  <c r="X40" i="2"/>
  <c r="X41" i="2"/>
  <c r="X42" i="2"/>
  <c r="X43" i="2"/>
  <c r="X44" i="2"/>
  <c r="X45" i="2"/>
  <c r="X51" i="2"/>
  <c r="X52" i="2"/>
  <c r="X53" i="2"/>
  <c r="X54" i="2"/>
  <c r="X55" i="2"/>
  <c r="X56" i="2"/>
  <c r="X57" i="2"/>
  <c r="X58" i="2"/>
  <c r="X59" i="2"/>
  <c r="X60" i="2"/>
  <c r="X61" i="2"/>
  <c r="X62" i="2"/>
  <c r="X63" i="2"/>
  <c r="X65" i="2"/>
  <c r="X66" i="2"/>
  <c r="X67" i="2"/>
  <c r="X69" i="2"/>
  <c r="X71" i="2"/>
  <c r="X72" i="2"/>
  <c r="X74" i="2"/>
  <c r="X75" i="2"/>
  <c r="X76" i="2"/>
  <c r="X77" i="2"/>
  <c r="X78" i="2"/>
  <c r="X79" i="2"/>
  <c r="X80" i="2"/>
  <c r="X81" i="2"/>
  <c r="X82" i="2"/>
  <c r="X83" i="2"/>
  <c r="X84" i="2"/>
  <c r="X85" i="2"/>
  <c r="X86" i="2"/>
  <c r="X87" i="2"/>
  <c r="X88" i="2"/>
  <c r="X89" i="2"/>
  <c r="X90" i="2"/>
  <c r="X91" i="2"/>
  <c r="X92" i="2"/>
  <c r="X93" i="2"/>
  <c r="X94" i="2"/>
  <c r="X97" i="2"/>
  <c r="X98" i="2"/>
  <c r="X99" i="2"/>
  <c r="X100" i="2"/>
  <c r="X101" i="2"/>
  <c r="X102"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40" i="2"/>
  <c r="X141" i="2"/>
  <c r="X142" i="2"/>
  <c r="X143" i="2"/>
  <c r="X144" i="2"/>
  <c r="X145" i="2"/>
  <c r="X146" i="2"/>
  <c r="X147" i="2"/>
  <c r="X148"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6" i="2"/>
  <c r="X177" i="2"/>
  <c r="X180" i="2"/>
  <c r="X181" i="2"/>
  <c r="X182" i="2"/>
  <c r="X183" i="2"/>
  <c r="X184" i="2"/>
  <c r="X185" i="2"/>
  <c r="X186" i="2"/>
  <c r="X187" i="2"/>
  <c r="X188" i="2"/>
  <c r="X189" i="2"/>
  <c r="X190" i="2"/>
  <c r="X191" i="2"/>
  <c r="X192" i="2"/>
  <c r="X193" i="2"/>
  <c r="X194" i="2"/>
  <c r="X195" i="2"/>
  <c r="X196" i="2"/>
  <c r="W2" i="2"/>
  <c r="W3" i="2"/>
  <c r="W4" i="2"/>
  <c r="W5" i="2"/>
  <c r="W6" i="2"/>
  <c r="W7" i="2"/>
  <c r="W8" i="2"/>
  <c r="W9" i="2"/>
  <c r="W10" i="2"/>
  <c r="W11" i="2"/>
  <c r="W12" i="2"/>
  <c r="W13" i="2"/>
  <c r="W14" i="2"/>
  <c r="W15" i="2"/>
  <c r="W16" i="2"/>
  <c r="W17" i="2"/>
  <c r="W18" i="2"/>
  <c r="W19" i="2"/>
  <c r="W20" i="2"/>
  <c r="W22" i="2"/>
  <c r="W24" i="2"/>
  <c r="W27" i="2"/>
  <c r="W31" i="2"/>
  <c r="W32" i="2"/>
  <c r="W34" i="2"/>
  <c r="W35" i="2"/>
  <c r="W36" i="2"/>
  <c r="W37" i="2"/>
  <c r="W38" i="2"/>
  <c r="W39" i="2"/>
  <c r="W40" i="2"/>
  <c r="W41" i="2"/>
  <c r="W42" i="2"/>
  <c r="W43" i="2"/>
  <c r="W44" i="2"/>
  <c r="W45" i="2"/>
  <c r="W51" i="2"/>
  <c r="W52" i="2"/>
  <c r="W53" i="2"/>
  <c r="W54" i="2"/>
  <c r="W55" i="2"/>
  <c r="W56" i="2"/>
  <c r="W57" i="2"/>
  <c r="W58" i="2"/>
  <c r="W59" i="2"/>
  <c r="W60" i="2"/>
  <c r="W61" i="2"/>
  <c r="W62" i="2"/>
  <c r="W63" i="2"/>
  <c r="W65" i="2"/>
  <c r="W66" i="2"/>
  <c r="W67" i="2"/>
  <c r="W69" i="2"/>
  <c r="W71" i="2"/>
  <c r="W72" i="2"/>
  <c r="W74" i="2"/>
  <c r="W75" i="2"/>
  <c r="W76" i="2"/>
  <c r="W77" i="2"/>
  <c r="W78" i="2"/>
  <c r="W79" i="2"/>
  <c r="W80" i="2"/>
  <c r="W81" i="2"/>
  <c r="W82" i="2"/>
  <c r="W83" i="2"/>
  <c r="W84" i="2"/>
  <c r="W85" i="2"/>
  <c r="W86" i="2"/>
  <c r="W87" i="2"/>
  <c r="W88" i="2"/>
  <c r="W89" i="2"/>
  <c r="W90" i="2"/>
  <c r="W91" i="2"/>
  <c r="W92" i="2"/>
  <c r="W93" i="2"/>
  <c r="W94" i="2"/>
  <c r="W97" i="2"/>
  <c r="W98" i="2"/>
  <c r="W99" i="2"/>
  <c r="W100" i="2"/>
  <c r="W101" i="2"/>
  <c r="W102"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40" i="2"/>
  <c r="W141" i="2"/>
  <c r="W142" i="2"/>
  <c r="W143" i="2"/>
  <c r="W144" i="2"/>
  <c r="W145" i="2"/>
  <c r="W146" i="2"/>
  <c r="W147" i="2"/>
  <c r="W148"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6" i="2"/>
  <c r="W177" i="2"/>
  <c r="W180" i="2"/>
  <c r="W181" i="2"/>
  <c r="W182" i="2"/>
  <c r="W183" i="2"/>
  <c r="W184" i="2"/>
  <c r="W185" i="2"/>
  <c r="W186" i="2"/>
  <c r="W187" i="2"/>
  <c r="W188" i="2"/>
  <c r="W189" i="2"/>
  <c r="W190" i="2"/>
  <c r="W191" i="2"/>
  <c r="W192" i="2"/>
  <c r="W193" i="2"/>
  <c r="W194" i="2"/>
  <c r="W195" i="2"/>
  <c r="W196" i="2"/>
  <c r="U2" i="2"/>
  <c r="U3" i="2"/>
  <c r="U4" i="2"/>
  <c r="U5" i="2"/>
  <c r="U6" i="2"/>
  <c r="U7" i="2"/>
  <c r="U8" i="2"/>
  <c r="U9" i="2"/>
  <c r="U10" i="2"/>
  <c r="U11" i="2"/>
  <c r="U12" i="2"/>
  <c r="U13" i="2"/>
  <c r="U14" i="2"/>
  <c r="U15" i="2"/>
  <c r="U16" i="2"/>
  <c r="U17" i="2"/>
  <c r="U18" i="2"/>
  <c r="U19" i="2"/>
  <c r="U20" i="2"/>
  <c r="U22" i="2"/>
  <c r="U24" i="2"/>
  <c r="U27" i="2"/>
  <c r="U31" i="2"/>
  <c r="U32" i="2"/>
  <c r="U34" i="2"/>
  <c r="U35" i="2"/>
  <c r="U36" i="2"/>
  <c r="U37" i="2"/>
  <c r="U38" i="2"/>
  <c r="U39" i="2"/>
  <c r="U40" i="2"/>
  <c r="U41" i="2"/>
  <c r="U42" i="2"/>
  <c r="U43" i="2"/>
  <c r="U44" i="2"/>
  <c r="U45" i="2"/>
  <c r="U51" i="2"/>
  <c r="U52" i="2"/>
  <c r="U53" i="2"/>
  <c r="U54" i="2"/>
  <c r="U55" i="2"/>
  <c r="U56" i="2"/>
  <c r="U57" i="2"/>
  <c r="U58" i="2"/>
  <c r="U59" i="2"/>
  <c r="U60" i="2"/>
  <c r="U61" i="2"/>
  <c r="U62" i="2"/>
  <c r="U63" i="2"/>
  <c r="U65" i="2"/>
  <c r="U66" i="2"/>
  <c r="U67" i="2"/>
  <c r="U69" i="2"/>
  <c r="U71" i="2"/>
  <c r="U72" i="2"/>
  <c r="U74" i="2"/>
  <c r="U75" i="2"/>
  <c r="U76" i="2"/>
  <c r="U77" i="2"/>
  <c r="U78" i="2"/>
  <c r="U79" i="2"/>
  <c r="U80" i="2"/>
  <c r="U81" i="2"/>
  <c r="U82" i="2"/>
  <c r="U83" i="2"/>
  <c r="U84" i="2"/>
  <c r="U85" i="2"/>
  <c r="U86" i="2"/>
  <c r="U87" i="2"/>
  <c r="U88" i="2"/>
  <c r="U89" i="2"/>
  <c r="U90" i="2"/>
  <c r="U91" i="2"/>
  <c r="U92" i="2"/>
  <c r="U93" i="2"/>
  <c r="U94" i="2"/>
  <c r="U97" i="2"/>
  <c r="U98" i="2"/>
  <c r="U99" i="2"/>
  <c r="U100" i="2"/>
  <c r="U101" i="2"/>
  <c r="U102"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40" i="2"/>
  <c r="U141" i="2"/>
  <c r="U142" i="2"/>
  <c r="U143" i="2"/>
  <c r="U144" i="2"/>
  <c r="U145" i="2"/>
  <c r="U146" i="2"/>
  <c r="U147" i="2"/>
  <c r="U148"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6" i="2"/>
  <c r="U177" i="2"/>
  <c r="U180" i="2"/>
  <c r="U181" i="2"/>
  <c r="U182" i="2"/>
  <c r="U183" i="2"/>
  <c r="U184" i="2"/>
  <c r="U185" i="2"/>
  <c r="U186" i="2"/>
  <c r="U187" i="2"/>
  <c r="U188" i="2"/>
  <c r="U189" i="2"/>
  <c r="U190" i="2"/>
  <c r="U191" i="2"/>
  <c r="U192" i="2"/>
  <c r="U193" i="2"/>
  <c r="U194" i="2"/>
  <c r="U195" i="2"/>
  <c r="U196" i="2"/>
  <c r="R14" i="2"/>
  <c r="S14" i="2" s="1"/>
  <c r="R83" i="2"/>
  <c r="S83" i="2" s="1"/>
  <c r="R138" i="2"/>
  <c r="S138" i="2" s="1"/>
  <c r="I139" i="67" s="1"/>
  <c r="R150" i="2"/>
  <c r="S150" i="2" s="1"/>
  <c r="R165" i="2"/>
  <c r="S165" i="2" s="1"/>
  <c r="R195" i="2"/>
  <c r="S195" i="2" s="1"/>
  <c r="Q2" i="2"/>
  <c r="Q3" i="2"/>
  <c r="Q4" i="2"/>
  <c r="Q5" i="2"/>
  <c r="Q6" i="2"/>
  <c r="Q7" i="2"/>
  <c r="Q8" i="2"/>
  <c r="Q9" i="2"/>
  <c r="Q10" i="2"/>
  <c r="Q11" i="2"/>
  <c r="Q12" i="2"/>
  <c r="Q13" i="2"/>
  <c r="Q14" i="2"/>
  <c r="Q15" i="2"/>
  <c r="Q16" i="2"/>
  <c r="Q17" i="2"/>
  <c r="Q18" i="2"/>
  <c r="Q19" i="2"/>
  <c r="Q20" i="2"/>
  <c r="Q22" i="2"/>
  <c r="Q24" i="2"/>
  <c r="Q27" i="2"/>
  <c r="Q31" i="2"/>
  <c r="Q32" i="2"/>
  <c r="Q34" i="2"/>
  <c r="Q35" i="2"/>
  <c r="Q36" i="2"/>
  <c r="Q37" i="2"/>
  <c r="Q38" i="2"/>
  <c r="Q39" i="2"/>
  <c r="Q40" i="2"/>
  <c r="Q41" i="2"/>
  <c r="Q42" i="2"/>
  <c r="Q43" i="2"/>
  <c r="Q44" i="2"/>
  <c r="Q45" i="2"/>
  <c r="Q51" i="2"/>
  <c r="Q52" i="2"/>
  <c r="Q53" i="2"/>
  <c r="Q54" i="2"/>
  <c r="Q55" i="2"/>
  <c r="Q56" i="2"/>
  <c r="Q57" i="2"/>
  <c r="Q58" i="2"/>
  <c r="Q59" i="2"/>
  <c r="Q60" i="2"/>
  <c r="Q61" i="2"/>
  <c r="Q62" i="2"/>
  <c r="Q63" i="2"/>
  <c r="Q65" i="2"/>
  <c r="Q66" i="2"/>
  <c r="Q67" i="2"/>
  <c r="Q69" i="2"/>
  <c r="Q71" i="2"/>
  <c r="Q72" i="2"/>
  <c r="Q74" i="2"/>
  <c r="Q75" i="2"/>
  <c r="Q76" i="2"/>
  <c r="Q78" i="2"/>
  <c r="Q79" i="2"/>
  <c r="Q80" i="2"/>
  <c r="Q81" i="2"/>
  <c r="Q82" i="2"/>
  <c r="Q83" i="2"/>
  <c r="Q85" i="2"/>
  <c r="Q86" i="2"/>
  <c r="Q87" i="2"/>
  <c r="Q88" i="2"/>
  <c r="Q89" i="2"/>
  <c r="Q90" i="2"/>
  <c r="Q91" i="2"/>
  <c r="Q92" i="2"/>
  <c r="Q93" i="2"/>
  <c r="Q94" i="2"/>
  <c r="Q97" i="2"/>
  <c r="Q98" i="2"/>
  <c r="Q99" i="2"/>
  <c r="Q100" i="2"/>
  <c r="Q101" i="2"/>
  <c r="Q102"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7" i="2"/>
  <c r="Q138" i="2"/>
  <c r="Q140" i="2"/>
  <c r="Q141" i="2"/>
  <c r="Q142" i="2"/>
  <c r="Q143" i="2"/>
  <c r="Q144" i="2"/>
  <c r="Q145" i="2"/>
  <c r="Q146" i="2"/>
  <c r="Q147" i="2"/>
  <c r="Q148"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6" i="2"/>
  <c r="Q177" i="2"/>
  <c r="Q180" i="2"/>
  <c r="Q181" i="2"/>
  <c r="Q182" i="2"/>
  <c r="Q183" i="2"/>
  <c r="Q184" i="2"/>
  <c r="Q185" i="2"/>
  <c r="Q186" i="2"/>
  <c r="Q187" i="2"/>
  <c r="Q188" i="2"/>
  <c r="Q189" i="2"/>
  <c r="Q190" i="2"/>
  <c r="Q191" i="2"/>
  <c r="Q192" i="2"/>
  <c r="Q193" i="2"/>
  <c r="Q194" i="2"/>
  <c r="Q195" i="2"/>
  <c r="Q196" i="2"/>
  <c r="P2" i="2"/>
  <c r="P3" i="2"/>
  <c r="P4" i="2"/>
  <c r="P5" i="2"/>
  <c r="P6" i="2"/>
  <c r="P7" i="2"/>
  <c r="P8" i="2"/>
  <c r="P9" i="2"/>
  <c r="P10" i="2"/>
  <c r="P11" i="2"/>
  <c r="P12" i="2"/>
  <c r="P13" i="2"/>
  <c r="P14" i="2"/>
  <c r="P15" i="2"/>
  <c r="P16" i="2"/>
  <c r="P17" i="2"/>
  <c r="P18" i="2"/>
  <c r="P19" i="2"/>
  <c r="P20" i="2"/>
  <c r="P27" i="2"/>
  <c r="P31" i="2"/>
  <c r="P32" i="2"/>
  <c r="P34" i="2"/>
  <c r="P35" i="2"/>
  <c r="P36" i="2"/>
  <c r="P37" i="2"/>
  <c r="P38" i="2"/>
  <c r="P39" i="2"/>
  <c r="P40" i="2"/>
  <c r="P41" i="2"/>
  <c r="P42" i="2"/>
  <c r="P43" i="2"/>
  <c r="P44" i="2"/>
  <c r="P45" i="2"/>
  <c r="P51" i="2"/>
  <c r="P52" i="2"/>
  <c r="P53" i="2"/>
  <c r="P54" i="2"/>
  <c r="P55" i="2"/>
  <c r="P56" i="2"/>
  <c r="P57" i="2"/>
  <c r="P58" i="2"/>
  <c r="P59" i="2"/>
  <c r="P60" i="2"/>
  <c r="P61" i="2"/>
  <c r="P62" i="2"/>
  <c r="P63" i="2"/>
  <c r="P65" i="2"/>
  <c r="P66" i="2"/>
  <c r="P67" i="2"/>
  <c r="P69" i="2"/>
  <c r="P71" i="2"/>
  <c r="P72" i="2"/>
  <c r="P74" i="2"/>
  <c r="P75" i="2"/>
  <c r="P76" i="2"/>
  <c r="P77" i="2"/>
  <c r="P78" i="2"/>
  <c r="P79" i="2"/>
  <c r="P80" i="2"/>
  <c r="P81" i="2"/>
  <c r="P82" i="2"/>
  <c r="P83" i="2"/>
  <c r="P84" i="2"/>
  <c r="P85" i="2"/>
  <c r="P86" i="2"/>
  <c r="P87" i="2"/>
  <c r="P88" i="2"/>
  <c r="P89" i="2"/>
  <c r="P90" i="2"/>
  <c r="P91" i="2"/>
  <c r="P92" i="2"/>
  <c r="P93" i="2"/>
  <c r="P94" i="2"/>
  <c r="P97" i="2"/>
  <c r="P98" i="2"/>
  <c r="P99" i="2"/>
  <c r="P100" i="2"/>
  <c r="P101" i="2"/>
  <c r="P102"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40" i="2"/>
  <c r="P141" i="2"/>
  <c r="P142" i="2"/>
  <c r="P143" i="2"/>
  <c r="P144" i="2"/>
  <c r="P145" i="2"/>
  <c r="P146" i="2"/>
  <c r="P147" i="2"/>
  <c r="P148"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6" i="2"/>
  <c r="P177" i="2"/>
  <c r="P180" i="2"/>
  <c r="P181" i="2"/>
  <c r="P182" i="2"/>
  <c r="P183" i="2"/>
  <c r="P184" i="2"/>
  <c r="P185" i="2"/>
  <c r="P186" i="2"/>
  <c r="P187" i="2"/>
  <c r="P188" i="2"/>
  <c r="P189" i="2"/>
  <c r="P190" i="2"/>
  <c r="P191" i="2"/>
  <c r="P192" i="2"/>
  <c r="P193" i="2"/>
  <c r="P194" i="2"/>
  <c r="P195" i="2"/>
  <c r="P196" i="2"/>
  <c r="O4" i="2"/>
  <c r="O5" i="2"/>
  <c r="O6" i="2"/>
  <c r="O13" i="2"/>
  <c r="O14" i="2"/>
  <c r="O20" i="2"/>
  <c r="O43" i="2"/>
  <c r="O54" i="2"/>
  <c r="O55" i="2"/>
  <c r="O56" i="2"/>
  <c r="O60" i="2"/>
  <c r="O61" i="2"/>
  <c r="O62" i="2"/>
  <c r="O63" i="2"/>
  <c r="O65" i="2"/>
  <c r="O67" i="2"/>
  <c r="O83" i="2"/>
  <c r="O102" i="2"/>
  <c r="O115" i="2"/>
  <c r="O116" i="2"/>
  <c r="O120" i="2"/>
  <c r="O137" i="2"/>
  <c r="O138" i="2"/>
  <c r="O140" i="2"/>
  <c r="O148" i="2"/>
  <c r="O150" i="2"/>
  <c r="O152" i="2"/>
  <c r="O157" i="2"/>
  <c r="O159" i="2"/>
  <c r="O160" i="2"/>
  <c r="O162" i="2"/>
  <c r="O163" i="2"/>
  <c r="O165" i="2"/>
  <c r="O167" i="2"/>
  <c r="O168" i="2"/>
  <c r="O170" i="2"/>
  <c r="O172" i="2"/>
  <c r="O173" i="2"/>
  <c r="O174" i="2"/>
  <c r="O181" i="2"/>
  <c r="O190" i="2"/>
  <c r="O193" i="2"/>
  <c r="O195" i="2"/>
  <c r="O3" i="2"/>
  <c r="N14" i="2"/>
  <c r="N83" i="2"/>
  <c r="N138" i="2"/>
  <c r="N150" i="2"/>
  <c r="N155" i="2"/>
  <c r="N156" i="2"/>
  <c r="N165" i="2"/>
  <c r="N173" i="2"/>
  <c r="N177" i="2"/>
  <c r="N184" i="2"/>
  <c r="N195" i="2"/>
  <c r="M2" i="2"/>
  <c r="M3" i="2"/>
  <c r="M4" i="2"/>
  <c r="M5" i="2"/>
  <c r="M6" i="2"/>
  <c r="M7" i="2"/>
  <c r="M8" i="2"/>
  <c r="M9" i="2"/>
  <c r="M10" i="2"/>
  <c r="M11" i="2"/>
  <c r="M12" i="2"/>
  <c r="M13" i="2"/>
  <c r="M14" i="2"/>
  <c r="M15" i="2"/>
  <c r="M16" i="2"/>
  <c r="M17" i="2"/>
  <c r="M18" i="2"/>
  <c r="M19" i="2"/>
  <c r="M20" i="2"/>
  <c r="M22" i="2"/>
  <c r="M24" i="2"/>
  <c r="M27" i="2"/>
  <c r="M31" i="2"/>
  <c r="M32" i="2"/>
  <c r="M34" i="2"/>
  <c r="M35" i="2"/>
  <c r="M36" i="2"/>
  <c r="M37" i="2"/>
  <c r="M38" i="2"/>
  <c r="M39" i="2"/>
  <c r="M40" i="2"/>
  <c r="M41" i="2"/>
  <c r="M42" i="2"/>
  <c r="M43" i="2"/>
  <c r="M44" i="2"/>
  <c r="M45" i="2"/>
  <c r="M51" i="2"/>
  <c r="M52" i="2"/>
  <c r="M53" i="2"/>
  <c r="M54" i="2"/>
  <c r="M55" i="2"/>
  <c r="M56" i="2"/>
  <c r="M57" i="2"/>
  <c r="M58" i="2"/>
  <c r="M59" i="2"/>
  <c r="M60" i="2"/>
  <c r="M61" i="2"/>
  <c r="M62" i="2"/>
  <c r="M63" i="2"/>
  <c r="M65" i="2"/>
  <c r="M66" i="2"/>
  <c r="M67" i="2"/>
  <c r="M69" i="2"/>
  <c r="M71" i="2"/>
  <c r="M72" i="2"/>
  <c r="M74" i="2"/>
  <c r="M75" i="2"/>
  <c r="M76" i="2"/>
  <c r="M77" i="2"/>
  <c r="M78" i="2"/>
  <c r="M79" i="2"/>
  <c r="M80" i="2"/>
  <c r="M81" i="2"/>
  <c r="M82" i="2"/>
  <c r="M83" i="2"/>
  <c r="M84" i="2"/>
  <c r="M85" i="2"/>
  <c r="M86" i="2"/>
  <c r="M87" i="2"/>
  <c r="M88" i="2"/>
  <c r="M89" i="2"/>
  <c r="M90" i="2"/>
  <c r="M91" i="2"/>
  <c r="M92" i="2"/>
  <c r="M93" i="2"/>
  <c r="M94" i="2"/>
  <c r="M97" i="2"/>
  <c r="M98" i="2"/>
  <c r="M99" i="2"/>
  <c r="M100" i="2"/>
  <c r="M101" i="2"/>
  <c r="M102"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40" i="2"/>
  <c r="M141" i="2"/>
  <c r="M142" i="2"/>
  <c r="M143" i="2"/>
  <c r="M144" i="2"/>
  <c r="M145" i="2"/>
  <c r="M146" i="2"/>
  <c r="M147" i="2"/>
  <c r="M148"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6" i="2"/>
  <c r="M177" i="2"/>
  <c r="M180" i="2"/>
  <c r="M181" i="2"/>
  <c r="M182" i="2"/>
  <c r="M183" i="2"/>
  <c r="M184" i="2"/>
  <c r="M185" i="2"/>
  <c r="M186" i="2"/>
  <c r="M187" i="2"/>
  <c r="M188" i="2"/>
  <c r="M189" i="2"/>
  <c r="M190" i="2"/>
  <c r="M191" i="2"/>
  <c r="M192" i="2"/>
  <c r="M193" i="2"/>
  <c r="M194" i="2"/>
  <c r="M195" i="2"/>
  <c r="M196" i="2"/>
  <c r="L2" i="2"/>
  <c r="L3" i="2"/>
  <c r="L4" i="2"/>
  <c r="L5" i="2"/>
  <c r="L6" i="2"/>
  <c r="L7" i="2"/>
  <c r="L8" i="2"/>
  <c r="L9" i="2"/>
  <c r="L10" i="2"/>
  <c r="L11" i="2"/>
  <c r="L12" i="2"/>
  <c r="L13" i="2"/>
  <c r="L14" i="2"/>
  <c r="L15" i="2"/>
  <c r="L16" i="2"/>
  <c r="L17" i="2"/>
  <c r="L18" i="2"/>
  <c r="L19" i="2"/>
  <c r="L20" i="2"/>
  <c r="L22" i="2"/>
  <c r="L24" i="2"/>
  <c r="L27" i="2"/>
  <c r="L31" i="2"/>
  <c r="L32" i="2"/>
  <c r="L34" i="2"/>
  <c r="L35" i="2"/>
  <c r="L36" i="2"/>
  <c r="L37" i="2"/>
  <c r="L38" i="2"/>
  <c r="L39" i="2"/>
  <c r="L40" i="2"/>
  <c r="L41" i="2"/>
  <c r="L42" i="2"/>
  <c r="L43" i="2"/>
  <c r="L44" i="2"/>
  <c r="L45" i="2"/>
  <c r="L51" i="2"/>
  <c r="L52" i="2"/>
  <c r="L53" i="2"/>
  <c r="L54" i="2"/>
  <c r="L55" i="2"/>
  <c r="L56" i="2"/>
  <c r="L57" i="2"/>
  <c r="L58" i="2"/>
  <c r="L59" i="2"/>
  <c r="L60" i="2"/>
  <c r="L61" i="2"/>
  <c r="L62" i="2"/>
  <c r="L63" i="2"/>
  <c r="L65" i="2"/>
  <c r="L66" i="2"/>
  <c r="L67" i="2"/>
  <c r="L69" i="2"/>
  <c r="L71" i="2"/>
  <c r="L72" i="2"/>
  <c r="L74" i="2"/>
  <c r="L75" i="2"/>
  <c r="L76" i="2"/>
  <c r="L77" i="2"/>
  <c r="L78" i="2"/>
  <c r="L79" i="2"/>
  <c r="L80" i="2"/>
  <c r="L81" i="2"/>
  <c r="L82" i="2"/>
  <c r="L83" i="2"/>
  <c r="L84" i="2"/>
  <c r="L85" i="2"/>
  <c r="L86" i="2"/>
  <c r="L87" i="2"/>
  <c r="L88" i="2"/>
  <c r="L89" i="2"/>
  <c r="L90" i="2"/>
  <c r="L91" i="2"/>
  <c r="L92" i="2"/>
  <c r="L93" i="2"/>
  <c r="L94" i="2"/>
  <c r="L97" i="2"/>
  <c r="L98" i="2"/>
  <c r="L99" i="2"/>
  <c r="L100" i="2"/>
  <c r="L101" i="2"/>
  <c r="L102"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40" i="2"/>
  <c r="L141" i="2"/>
  <c r="L142" i="2"/>
  <c r="L143" i="2"/>
  <c r="L144" i="2"/>
  <c r="L145" i="2"/>
  <c r="L146" i="2"/>
  <c r="L147" i="2"/>
  <c r="L148"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6" i="2"/>
  <c r="L177" i="2"/>
  <c r="L180" i="2"/>
  <c r="L181" i="2"/>
  <c r="L182" i="2"/>
  <c r="L183" i="2"/>
  <c r="L184" i="2"/>
  <c r="L185" i="2"/>
  <c r="L186" i="2"/>
  <c r="L187" i="2"/>
  <c r="L188" i="2"/>
  <c r="L189" i="2"/>
  <c r="L190" i="2"/>
  <c r="L191" i="2"/>
  <c r="L192" i="2"/>
  <c r="L193" i="2"/>
  <c r="L194" i="2"/>
  <c r="L195" i="2"/>
  <c r="L196" i="2"/>
  <c r="K2" i="2"/>
  <c r="K3" i="2"/>
  <c r="K4" i="2"/>
  <c r="K5" i="2"/>
  <c r="K6" i="2"/>
  <c r="K7" i="2"/>
  <c r="K8" i="2"/>
  <c r="K9" i="2"/>
  <c r="K10" i="2"/>
  <c r="K11" i="2"/>
  <c r="K12" i="2"/>
  <c r="K13" i="2"/>
  <c r="K14" i="2"/>
  <c r="K15" i="2"/>
  <c r="K16" i="2"/>
  <c r="K17" i="2"/>
  <c r="K18" i="2"/>
  <c r="K19" i="2"/>
  <c r="K20" i="2"/>
  <c r="K22" i="2"/>
  <c r="K24" i="2"/>
  <c r="K27" i="2"/>
  <c r="K31" i="2"/>
  <c r="K32" i="2"/>
  <c r="K34" i="2"/>
  <c r="K35" i="2"/>
  <c r="K36" i="2"/>
  <c r="K37" i="2"/>
  <c r="K38" i="2"/>
  <c r="K39" i="2"/>
  <c r="K40" i="2"/>
  <c r="K41" i="2"/>
  <c r="K42" i="2"/>
  <c r="K43" i="2"/>
  <c r="K44" i="2"/>
  <c r="K45" i="2"/>
  <c r="K51" i="2"/>
  <c r="K52" i="2"/>
  <c r="K53" i="2"/>
  <c r="K54" i="2"/>
  <c r="K55" i="2"/>
  <c r="K56" i="2"/>
  <c r="K57" i="2"/>
  <c r="K58" i="2"/>
  <c r="K59" i="2"/>
  <c r="K60" i="2"/>
  <c r="K61" i="2"/>
  <c r="K62" i="2"/>
  <c r="K63" i="2"/>
  <c r="K65" i="2"/>
  <c r="K66" i="2"/>
  <c r="K67" i="2"/>
  <c r="K69" i="2"/>
  <c r="K71" i="2"/>
  <c r="K72" i="2"/>
  <c r="K74" i="2"/>
  <c r="K75" i="2"/>
  <c r="K76" i="2"/>
  <c r="K77" i="2"/>
  <c r="K78" i="2"/>
  <c r="K79" i="2"/>
  <c r="K80" i="2"/>
  <c r="K81" i="2"/>
  <c r="K82" i="2"/>
  <c r="K83" i="2"/>
  <c r="K84" i="2"/>
  <c r="K85" i="2"/>
  <c r="K86" i="2"/>
  <c r="K87" i="2"/>
  <c r="K88" i="2"/>
  <c r="K89" i="2"/>
  <c r="K90" i="2"/>
  <c r="K91" i="2"/>
  <c r="K92" i="2"/>
  <c r="K93" i="2"/>
  <c r="K94" i="2"/>
  <c r="K97" i="2"/>
  <c r="K98" i="2"/>
  <c r="K99" i="2"/>
  <c r="K100" i="2"/>
  <c r="K101" i="2"/>
  <c r="K102"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40" i="2"/>
  <c r="K141" i="2"/>
  <c r="K142" i="2"/>
  <c r="K143" i="2"/>
  <c r="K144" i="2"/>
  <c r="K145" i="2"/>
  <c r="K146" i="2"/>
  <c r="K147" i="2"/>
  <c r="K148"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6" i="2"/>
  <c r="K177" i="2"/>
  <c r="K180" i="2"/>
  <c r="K181" i="2"/>
  <c r="K182" i="2"/>
  <c r="K183" i="2"/>
  <c r="K184" i="2"/>
  <c r="K185" i="2"/>
  <c r="K186" i="2"/>
  <c r="K187" i="2"/>
  <c r="K188" i="2"/>
  <c r="K189" i="2"/>
  <c r="K190" i="2"/>
  <c r="K191" i="2"/>
  <c r="K192" i="2"/>
  <c r="K193" i="2"/>
  <c r="K194" i="2"/>
  <c r="K195" i="2"/>
  <c r="K196" i="2"/>
  <c r="S11" i="35" l="1"/>
  <c r="G11" i="66"/>
  <c r="S29" i="35"/>
  <c r="G29" i="35"/>
  <c r="I29" i="35"/>
  <c r="H29" i="35"/>
  <c r="G14" i="35"/>
  <c r="I14" i="35"/>
  <c r="H14" i="35"/>
  <c r="G11" i="35"/>
  <c r="I11" i="35"/>
  <c r="H11" i="35"/>
  <c r="I2" i="2"/>
  <c r="I3" i="2"/>
  <c r="I4" i="2"/>
  <c r="I5" i="2"/>
  <c r="I6" i="2"/>
  <c r="I7" i="2"/>
  <c r="I8" i="2"/>
  <c r="I9" i="2"/>
  <c r="I10" i="2"/>
  <c r="I11" i="2"/>
  <c r="I12" i="2"/>
  <c r="I13" i="2"/>
  <c r="I14" i="2"/>
  <c r="I15" i="2"/>
  <c r="I16" i="2"/>
  <c r="I17" i="2"/>
  <c r="I18" i="2"/>
  <c r="I19" i="2"/>
  <c r="I20" i="2"/>
  <c r="I22" i="2"/>
  <c r="I24" i="2"/>
  <c r="I27" i="2"/>
  <c r="I31" i="2"/>
  <c r="I32" i="2"/>
  <c r="I34" i="2"/>
  <c r="I35" i="2"/>
  <c r="I36" i="2"/>
  <c r="I37" i="2"/>
  <c r="I38" i="2"/>
  <c r="I39" i="2"/>
  <c r="I40" i="2"/>
  <c r="I41" i="2"/>
  <c r="I42" i="2"/>
  <c r="I43" i="2"/>
  <c r="I44" i="2"/>
  <c r="I45" i="2"/>
  <c r="I51" i="2"/>
  <c r="I52" i="2"/>
  <c r="I53" i="2"/>
  <c r="I54" i="2"/>
  <c r="I55" i="2"/>
  <c r="I56" i="2"/>
  <c r="I57" i="2"/>
  <c r="I58" i="2"/>
  <c r="I59" i="2"/>
  <c r="I60" i="2"/>
  <c r="I61" i="2"/>
  <c r="I62" i="2"/>
  <c r="I63" i="2"/>
  <c r="I65" i="2"/>
  <c r="I66" i="2"/>
  <c r="I67" i="2"/>
  <c r="I69" i="2"/>
  <c r="I71" i="2"/>
  <c r="I72" i="2"/>
  <c r="I74" i="2"/>
  <c r="I75" i="2"/>
  <c r="I76" i="2"/>
  <c r="I77" i="2"/>
  <c r="I78" i="2"/>
  <c r="I79" i="2"/>
  <c r="I80" i="2"/>
  <c r="I81" i="2"/>
  <c r="I82" i="2"/>
  <c r="I83" i="2"/>
  <c r="I84" i="2"/>
  <c r="I85" i="2"/>
  <c r="I86" i="2"/>
  <c r="I87" i="2"/>
  <c r="I88" i="2"/>
  <c r="I89" i="2"/>
  <c r="I90" i="2"/>
  <c r="I91" i="2"/>
  <c r="I92" i="2"/>
  <c r="I93" i="2"/>
  <c r="I94" i="2"/>
  <c r="I97" i="2"/>
  <c r="I98" i="2"/>
  <c r="I99" i="2"/>
  <c r="I100" i="2"/>
  <c r="I101" i="2"/>
  <c r="I102"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40" i="2"/>
  <c r="I141" i="2"/>
  <c r="I142" i="2"/>
  <c r="I143" i="2"/>
  <c r="I144" i="2"/>
  <c r="I145" i="2"/>
  <c r="I146" i="2"/>
  <c r="I147" i="2"/>
  <c r="I148"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6" i="2"/>
  <c r="I177" i="2"/>
  <c r="I180" i="2"/>
  <c r="I181" i="2"/>
  <c r="I182" i="2"/>
  <c r="I183" i="2"/>
  <c r="I184" i="2"/>
  <c r="I185" i="2"/>
  <c r="I186" i="2"/>
  <c r="I187" i="2"/>
  <c r="I188" i="2"/>
  <c r="I189" i="2"/>
  <c r="I190" i="2"/>
  <c r="I191" i="2"/>
  <c r="I192" i="2"/>
  <c r="I193" i="2"/>
  <c r="I194" i="2"/>
  <c r="I195" i="2"/>
  <c r="I196" i="2"/>
  <c r="H2" i="2"/>
  <c r="H3" i="2"/>
  <c r="H4" i="2"/>
  <c r="H5" i="2"/>
  <c r="H6" i="2"/>
  <c r="H7" i="2"/>
  <c r="H8" i="2"/>
  <c r="H9" i="2"/>
  <c r="H10" i="2"/>
  <c r="H11" i="2"/>
  <c r="H12" i="2"/>
  <c r="H13" i="2"/>
  <c r="H14" i="2"/>
  <c r="H15" i="2"/>
  <c r="H16" i="2"/>
  <c r="H17" i="2"/>
  <c r="H18" i="2"/>
  <c r="H19" i="2"/>
  <c r="H20" i="2"/>
  <c r="H22" i="2"/>
  <c r="H24" i="2"/>
  <c r="H27" i="2"/>
  <c r="H31" i="2"/>
  <c r="H32" i="2"/>
  <c r="H34" i="2"/>
  <c r="H35" i="2"/>
  <c r="H36" i="2"/>
  <c r="H37" i="2"/>
  <c r="H38" i="2"/>
  <c r="H39" i="2"/>
  <c r="H40" i="2"/>
  <c r="H41" i="2"/>
  <c r="H42" i="2"/>
  <c r="H43" i="2"/>
  <c r="H44" i="2"/>
  <c r="H45" i="2"/>
  <c r="H51" i="2"/>
  <c r="H52" i="2"/>
  <c r="H53" i="2"/>
  <c r="H54" i="2"/>
  <c r="H55" i="2"/>
  <c r="H56" i="2"/>
  <c r="H57" i="2"/>
  <c r="H58" i="2"/>
  <c r="H59" i="2"/>
  <c r="H60" i="2"/>
  <c r="H61" i="2"/>
  <c r="H62" i="2"/>
  <c r="H63" i="2"/>
  <c r="H65" i="2"/>
  <c r="H66" i="2"/>
  <c r="H67" i="2"/>
  <c r="H69" i="2"/>
  <c r="H71" i="2"/>
  <c r="H72" i="2"/>
  <c r="H74" i="2"/>
  <c r="H75" i="2"/>
  <c r="H76" i="2"/>
  <c r="H77" i="2"/>
  <c r="H78" i="2"/>
  <c r="H79" i="2"/>
  <c r="H80" i="2"/>
  <c r="H81" i="2"/>
  <c r="H82" i="2"/>
  <c r="H83" i="2"/>
  <c r="H84" i="2"/>
  <c r="H85" i="2"/>
  <c r="H86" i="2"/>
  <c r="H87" i="2"/>
  <c r="H88" i="2"/>
  <c r="H89" i="2"/>
  <c r="H90" i="2"/>
  <c r="H91" i="2"/>
  <c r="H92" i="2"/>
  <c r="H93" i="2"/>
  <c r="H94" i="2"/>
  <c r="H97" i="2"/>
  <c r="H98" i="2"/>
  <c r="H99" i="2"/>
  <c r="H100" i="2"/>
  <c r="H101" i="2"/>
  <c r="H102"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40" i="2"/>
  <c r="H141" i="2"/>
  <c r="H142" i="2"/>
  <c r="H143" i="2"/>
  <c r="H144" i="2"/>
  <c r="H145" i="2"/>
  <c r="H146" i="2"/>
  <c r="H147" i="2"/>
  <c r="H148"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6" i="2"/>
  <c r="H177" i="2"/>
  <c r="H180" i="2"/>
  <c r="H181" i="2"/>
  <c r="H182" i="2"/>
  <c r="H183" i="2"/>
  <c r="H184" i="2"/>
  <c r="H185" i="2"/>
  <c r="H186" i="2"/>
  <c r="H187" i="2"/>
  <c r="H188" i="2"/>
  <c r="H189" i="2"/>
  <c r="H190" i="2"/>
  <c r="H191" i="2"/>
  <c r="H192" i="2"/>
  <c r="H193" i="2"/>
  <c r="H194" i="2"/>
  <c r="H195" i="2"/>
  <c r="H196" i="2"/>
  <c r="G2" i="2"/>
  <c r="G3" i="2"/>
  <c r="G4" i="2"/>
  <c r="G5" i="2"/>
  <c r="G6" i="2"/>
  <c r="G7" i="2"/>
  <c r="G8" i="2"/>
  <c r="G9" i="2"/>
  <c r="G10" i="2"/>
  <c r="G11" i="2"/>
  <c r="G12" i="2"/>
  <c r="G13" i="2"/>
  <c r="G14" i="2"/>
  <c r="G15" i="2"/>
  <c r="G16" i="2"/>
  <c r="G17" i="2"/>
  <c r="G18" i="2"/>
  <c r="G19" i="2"/>
  <c r="G20" i="2"/>
  <c r="G22" i="2"/>
  <c r="G24" i="2"/>
  <c r="G27" i="2"/>
  <c r="G31" i="2"/>
  <c r="G32" i="2"/>
  <c r="G34" i="2"/>
  <c r="G35" i="2"/>
  <c r="G36" i="2"/>
  <c r="G37" i="2"/>
  <c r="G38" i="2"/>
  <c r="G39" i="2"/>
  <c r="G40" i="2"/>
  <c r="G41" i="2"/>
  <c r="G42" i="2"/>
  <c r="G43" i="2"/>
  <c r="G44" i="2"/>
  <c r="G45" i="2"/>
  <c r="G51" i="2"/>
  <c r="G52" i="2"/>
  <c r="G53" i="2"/>
  <c r="G54" i="2"/>
  <c r="G55" i="2"/>
  <c r="G56" i="2"/>
  <c r="G57" i="2"/>
  <c r="G58" i="2"/>
  <c r="G59" i="2"/>
  <c r="G60" i="2"/>
  <c r="G61" i="2"/>
  <c r="G62" i="2"/>
  <c r="G63" i="2"/>
  <c r="G65" i="2"/>
  <c r="G66" i="2"/>
  <c r="G67" i="2"/>
  <c r="G69" i="2"/>
  <c r="G71" i="2"/>
  <c r="G72" i="2"/>
  <c r="G74" i="2"/>
  <c r="G75" i="2"/>
  <c r="G76" i="2"/>
  <c r="G77" i="2"/>
  <c r="G78" i="2"/>
  <c r="G79" i="2"/>
  <c r="G80" i="2"/>
  <c r="G81" i="2"/>
  <c r="G82" i="2"/>
  <c r="G83" i="2"/>
  <c r="G84" i="2"/>
  <c r="G85" i="2"/>
  <c r="G86" i="2"/>
  <c r="G87" i="2"/>
  <c r="G88" i="2"/>
  <c r="G89" i="2"/>
  <c r="G90" i="2"/>
  <c r="G91" i="2"/>
  <c r="G92" i="2"/>
  <c r="G93" i="2"/>
  <c r="G94" i="2"/>
  <c r="G97" i="2"/>
  <c r="G98" i="2"/>
  <c r="G99" i="2"/>
  <c r="G100" i="2"/>
  <c r="G101" i="2"/>
  <c r="G102"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40" i="2"/>
  <c r="G141" i="2"/>
  <c r="G142" i="2"/>
  <c r="G143" i="2"/>
  <c r="G144" i="2"/>
  <c r="G145" i="2"/>
  <c r="G146" i="2"/>
  <c r="G147" i="2"/>
  <c r="G148"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6" i="2"/>
  <c r="G177" i="2"/>
  <c r="G180" i="2"/>
  <c r="G181" i="2"/>
  <c r="G182" i="2"/>
  <c r="G183" i="2"/>
  <c r="G184" i="2"/>
  <c r="G185" i="2"/>
  <c r="G186" i="2"/>
  <c r="G187" i="2"/>
  <c r="G188" i="2"/>
  <c r="G189" i="2"/>
  <c r="G190" i="2"/>
  <c r="G191" i="2"/>
  <c r="G192" i="2"/>
  <c r="G193" i="2"/>
  <c r="G194" i="2"/>
  <c r="G195" i="2"/>
  <c r="G196" i="2"/>
  <c r="F2" i="2"/>
  <c r="V2" i="2" s="1"/>
  <c r="F3" i="2"/>
  <c r="V3" i="2" s="1"/>
  <c r="F4" i="2"/>
  <c r="F5" i="2"/>
  <c r="V5" i="2" s="1"/>
  <c r="F6" i="2"/>
  <c r="V6" i="2" s="1"/>
  <c r="F7" i="2"/>
  <c r="V7" i="2" s="1"/>
  <c r="F8" i="2"/>
  <c r="V8" i="2" s="1"/>
  <c r="F9" i="2"/>
  <c r="F10" i="2"/>
  <c r="V10" i="2" s="1"/>
  <c r="F11" i="2"/>
  <c r="F12" i="2"/>
  <c r="F13" i="2"/>
  <c r="V13" i="2" s="1"/>
  <c r="F14" i="2"/>
  <c r="V14" i="2" s="1"/>
  <c r="F15" i="2"/>
  <c r="V15" i="2" s="1"/>
  <c r="F16" i="2"/>
  <c r="V16" i="2" s="1"/>
  <c r="F17" i="2"/>
  <c r="V17" i="2" s="1"/>
  <c r="F18" i="2"/>
  <c r="V18" i="2" s="1"/>
  <c r="F19" i="2"/>
  <c r="V19" i="2" s="1"/>
  <c r="F20" i="2"/>
  <c r="V20" i="2" s="1"/>
  <c r="F22" i="2"/>
  <c r="V22" i="2" s="1"/>
  <c r="F24" i="2"/>
  <c r="V24" i="2" s="1"/>
  <c r="F27" i="2"/>
  <c r="F31" i="2"/>
  <c r="V31" i="2" s="1"/>
  <c r="F32" i="2"/>
  <c r="V32" i="2" s="1"/>
  <c r="F34" i="2"/>
  <c r="V34" i="2" s="1"/>
  <c r="F35" i="2"/>
  <c r="V35" i="2" s="1"/>
  <c r="F36" i="2"/>
  <c r="V36" i="2" s="1"/>
  <c r="F37" i="2"/>
  <c r="V37" i="2" s="1"/>
  <c r="F38" i="2"/>
  <c r="V38" i="2" s="1"/>
  <c r="F39" i="2"/>
  <c r="V39" i="2" s="1"/>
  <c r="F40" i="2"/>
  <c r="V40" i="2" s="1"/>
  <c r="F41" i="2"/>
  <c r="V41" i="2" s="1"/>
  <c r="F42" i="2"/>
  <c r="V42" i="2" s="1"/>
  <c r="F43" i="2"/>
  <c r="V43" i="2" s="1"/>
  <c r="F44" i="2"/>
  <c r="V44" i="2" s="1"/>
  <c r="F45" i="2"/>
  <c r="V45" i="2" s="1"/>
  <c r="F51" i="2"/>
  <c r="V51" i="2" s="1"/>
  <c r="F52" i="2"/>
  <c r="V52" i="2" s="1"/>
  <c r="F53" i="2"/>
  <c r="V53" i="2" s="1"/>
  <c r="F54" i="2"/>
  <c r="V54" i="2" s="1"/>
  <c r="F55" i="2"/>
  <c r="V55" i="2" s="1"/>
  <c r="F56" i="2"/>
  <c r="V56" i="2" s="1"/>
  <c r="V57" i="2"/>
  <c r="F58" i="2"/>
  <c r="V58" i="2" s="1"/>
  <c r="F59" i="2"/>
  <c r="V59" i="2" s="1"/>
  <c r="F60" i="2"/>
  <c r="V60" i="2" s="1"/>
  <c r="F61" i="2"/>
  <c r="V61" i="2" s="1"/>
  <c r="F62" i="2"/>
  <c r="V62" i="2" s="1"/>
  <c r="F63" i="2"/>
  <c r="V63" i="2" s="1"/>
  <c r="F65" i="2"/>
  <c r="V65" i="2" s="1"/>
  <c r="F66" i="2"/>
  <c r="V66" i="2" s="1"/>
  <c r="F67" i="2"/>
  <c r="V67" i="2" s="1"/>
  <c r="E21" i="35" s="1"/>
  <c r="F69" i="2"/>
  <c r="V69" i="2" s="1"/>
  <c r="F71" i="2"/>
  <c r="V71" i="2" s="1"/>
  <c r="F72" i="2"/>
  <c r="V72" i="2" s="1"/>
  <c r="F74" i="2"/>
  <c r="V74" i="2" s="1"/>
  <c r="F75" i="2"/>
  <c r="V75" i="2" s="1"/>
  <c r="F76" i="2"/>
  <c r="V76" i="2" s="1"/>
  <c r="F77" i="2"/>
  <c r="V77" i="2" s="1"/>
  <c r="F78" i="2"/>
  <c r="V78" i="2" s="1"/>
  <c r="F79" i="2"/>
  <c r="V79" i="2" s="1"/>
  <c r="F80" i="2"/>
  <c r="V80" i="2" s="1"/>
  <c r="F81" i="2"/>
  <c r="V81" i="2" s="1"/>
  <c r="F82" i="2"/>
  <c r="V82" i="2" s="1"/>
  <c r="F83" i="2"/>
  <c r="V83" i="2" s="1"/>
  <c r="F84" i="2"/>
  <c r="V84" i="2" s="1"/>
  <c r="F85" i="2"/>
  <c r="V85" i="2" s="1"/>
  <c r="F86" i="2"/>
  <c r="V86" i="2" s="1"/>
  <c r="F87" i="2"/>
  <c r="V87" i="2" s="1"/>
  <c r="F88" i="2"/>
  <c r="V88" i="2" s="1"/>
  <c r="F89" i="2"/>
  <c r="V89" i="2" s="1"/>
  <c r="F90" i="2"/>
  <c r="V90" i="2" s="1"/>
  <c r="F91" i="2"/>
  <c r="V91" i="2" s="1"/>
  <c r="F92" i="2"/>
  <c r="V92" i="2" s="1"/>
  <c r="F93" i="2"/>
  <c r="V93" i="2" s="1"/>
  <c r="F94" i="2"/>
  <c r="V94" i="2" s="1"/>
  <c r="F97" i="2"/>
  <c r="V97" i="2" s="1"/>
  <c r="F98" i="2"/>
  <c r="V98" i="2" s="1"/>
  <c r="F99" i="2"/>
  <c r="V99" i="2" s="1"/>
  <c r="F100" i="2"/>
  <c r="V100" i="2" s="1"/>
  <c r="F101" i="2"/>
  <c r="V101" i="2" s="1"/>
  <c r="F102" i="2"/>
  <c r="V102" i="2" s="1"/>
  <c r="F104" i="2"/>
  <c r="V104" i="2" s="1"/>
  <c r="F105" i="2"/>
  <c r="V105" i="2" s="1"/>
  <c r="F106" i="2"/>
  <c r="V106" i="2" s="1"/>
  <c r="F107" i="2"/>
  <c r="V107" i="2" s="1"/>
  <c r="F108" i="2"/>
  <c r="V108" i="2" s="1"/>
  <c r="F109" i="2"/>
  <c r="V109" i="2" s="1"/>
  <c r="F110" i="2"/>
  <c r="V110" i="2" s="1"/>
  <c r="F111" i="2"/>
  <c r="V111" i="2" s="1"/>
  <c r="F112" i="2"/>
  <c r="V112" i="2" s="1"/>
  <c r="F113" i="2"/>
  <c r="V113" i="2" s="1"/>
  <c r="F114" i="2"/>
  <c r="V114" i="2" s="1"/>
  <c r="F115" i="2"/>
  <c r="V115" i="2" s="1"/>
  <c r="F116" i="2"/>
  <c r="V116" i="2" s="1"/>
  <c r="F117" i="2"/>
  <c r="V117" i="2" s="1"/>
  <c r="F118" i="2"/>
  <c r="V118" i="2" s="1"/>
  <c r="F119" i="2"/>
  <c r="V119" i="2" s="1"/>
  <c r="F120" i="2"/>
  <c r="V120" i="2" s="1"/>
  <c r="F121" i="2"/>
  <c r="V121" i="2" s="1"/>
  <c r="F122" i="2"/>
  <c r="V122" i="2" s="1"/>
  <c r="F123" i="2"/>
  <c r="V123" i="2" s="1"/>
  <c r="F124" i="2"/>
  <c r="V124" i="2" s="1"/>
  <c r="F125" i="2"/>
  <c r="V125" i="2" s="1"/>
  <c r="F126" i="2"/>
  <c r="V126" i="2" s="1"/>
  <c r="F127" i="2"/>
  <c r="V127" i="2" s="1"/>
  <c r="F128" i="2"/>
  <c r="V128" i="2" s="1"/>
  <c r="F129" i="2"/>
  <c r="V129" i="2" s="1"/>
  <c r="F130" i="2"/>
  <c r="V130" i="2" s="1"/>
  <c r="F131" i="2"/>
  <c r="V131" i="2" s="1"/>
  <c r="F132" i="2"/>
  <c r="V132" i="2" s="1"/>
  <c r="F133" i="2"/>
  <c r="V133" i="2" s="1"/>
  <c r="F134" i="2"/>
  <c r="V134" i="2" s="1"/>
  <c r="F135" i="2"/>
  <c r="V135" i="2" s="1"/>
  <c r="F136" i="2"/>
  <c r="V136" i="2" s="1"/>
  <c r="F137" i="2"/>
  <c r="V137" i="2" s="1"/>
  <c r="F138" i="2"/>
  <c r="V138" i="2" s="1"/>
  <c r="F140" i="2"/>
  <c r="V140" i="2" s="1"/>
  <c r="F141" i="2"/>
  <c r="V141" i="2" s="1"/>
  <c r="F142" i="2"/>
  <c r="V142" i="2" s="1"/>
  <c r="F143" i="2"/>
  <c r="V143" i="2" s="1"/>
  <c r="F144" i="2"/>
  <c r="V144" i="2" s="1"/>
  <c r="F145" i="2"/>
  <c r="V145" i="2" s="1"/>
  <c r="F146" i="2"/>
  <c r="V146" i="2" s="1"/>
  <c r="F147" i="2"/>
  <c r="V147" i="2" s="1"/>
  <c r="F148" i="2"/>
  <c r="V148" i="2" s="1"/>
  <c r="F150" i="2"/>
  <c r="V150" i="2" s="1"/>
  <c r="F151" i="2"/>
  <c r="V151" i="2" s="1"/>
  <c r="F152" i="2"/>
  <c r="V152" i="2" s="1"/>
  <c r="F153" i="2"/>
  <c r="V153" i="2" s="1"/>
  <c r="F154" i="2"/>
  <c r="V154" i="2" s="1"/>
  <c r="F155" i="2"/>
  <c r="V155" i="2" s="1"/>
  <c r="F156" i="2"/>
  <c r="V156" i="2" s="1"/>
  <c r="F157" i="2"/>
  <c r="V157" i="2" s="1"/>
  <c r="F158" i="2"/>
  <c r="V158" i="2" s="1"/>
  <c r="F159" i="2"/>
  <c r="V159" i="2" s="1"/>
  <c r="F160" i="2"/>
  <c r="V160" i="2" s="1"/>
  <c r="F161" i="2"/>
  <c r="V161" i="2" s="1"/>
  <c r="F162" i="2"/>
  <c r="V162" i="2" s="1"/>
  <c r="F163" i="2"/>
  <c r="V163" i="2" s="1"/>
  <c r="F164" i="2"/>
  <c r="V164" i="2" s="1"/>
  <c r="F165" i="2"/>
  <c r="V165" i="2" s="1"/>
  <c r="F166" i="2"/>
  <c r="V166" i="2" s="1"/>
  <c r="F167" i="2"/>
  <c r="V167" i="2" s="1"/>
  <c r="F168" i="2"/>
  <c r="V168" i="2" s="1"/>
  <c r="F169" i="2"/>
  <c r="V169" i="2" s="1"/>
  <c r="F170" i="2"/>
  <c r="V170" i="2" s="1"/>
  <c r="F171" i="2"/>
  <c r="V171" i="2" s="1"/>
  <c r="F172" i="2"/>
  <c r="V172" i="2" s="1"/>
  <c r="F173" i="2"/>
  <c r="V173" i="2" s="1"/>
  <c r="F174" i="2"/>
  <c r="V174" i="2" s="1"/>
  <c r="F176" i="2"/>
  <c r="V176" i="2" s="1"/>
  <c r="F177" i="2"/>
  <c r="V177" i="2" s="1"/>
  <c r="F180" i="2"/>
  <c r="V180" i="2" s="1"/>
  <c r="F181" i="2"/>
  <c r="V181" i="2" s="1"/>
  <c r="F182" i="2"/>
  <c r="V182" i="2" s="1"/>
  <c r="F183" i="2"/>
  <c r="V183" i="2" s="1"/>
  <c r="F184" i="2"/>
  <c r="V184" i="2" s="1"/>
  <c r="F185" i="2"/>
  <c r="V185" i="2" s="1"/>
  <c r="F186" i="2"/>
  <c r="V186" i="2" s="1"/>
  <c r="F187" i="2"/>
  <c r="V187" i="2" s="1"/>
  <c r="F188" i="2"/>
  <c r="V188" i="2" s="1"/>
  <c r="F189" i="2"/>
  <c r="V189" i="2" s="1"/>
  <c r="F190" i="2"/>
  <c r="V190" i="2" s="1"/>
  <c r="F191" i="2"/>
  <c r="V191" i="2" s="1"/>
  <c r="F192" i="2"/>
  <c r="V192" i="2" s="1"/>
  <c r="F193" i="2"/>
  <c r="V193" i="2" s="1"/>
  <c r="F194" i="2"/>
  <c r="V194" i="2" s="1"/>
  <c r="F195" i="2"/>
  <c r="V195" i="2" s="1"/>
  <c r="F196" i="2"/>
  <c r="V196" i="2" s="1"/>
  <c r="V11" i="2" l="1"/>
  <c r="E6" i="35" s="1"/>
  <c r="B11" i="66"/>
  <c r="V9" i="2"/>
  <c r="D29" i="35"/>
  <c r="P29" i="35"/>
  <c r="V27" i="2"/>
  <c r="C4" i="66" s="1"/>
  <c r="D14" i="35"/>
  <c r="P14" i="35"/>
  <c r="V12" i="2"/>
  <c r="E7" i="35" s="1"/>
  <c r="V4" i="2"/>
  <c r="E11" i="35" s="1"/>
  <c r="P11" i="35"/>
  <c r="D11" i="35"/>
  <c r="E17" i="35"/>
  <c r="E2" i="35"/>
  <c r="E3" i="35"/>
  <c r="E18" i="35"/>
  <c r="E26" i="35"/>
  <c r="E23" i="35"/>
  <c r="E28" i="35"/>
  <c r="E9" i="35"/>
  <c r="C8" i="66"/>
  <c r="E22" i="35"/>
  <c r="E19" i="35"/>
  <c r="E27" i="35"/>
  <c r="C9" i="66"/>
  <c r="E15" i="35"/>
  <c r="E12" i="35"/>
  <c r="E20" i="35"/>
  <c r="E8" i="35"/>
  <c r="E25" i="35"/>
  <c r="E13" i="35"/>
  <c r="E16" i="35"/>
  <c r="C6" i="66"/>
  <c r="C7" i="66"/>
  <c r="E5" i="35"/>
  <c r="C5" i="66"/>
  <c r="C10" i="66"/>
  <c r="E24" i="35"/>
  <c r="D21" i="35"/>
  <c r="P21" i="35"/>
  <c r="P20" i="35"/>
  <c r="P17" i="35"/>
  <c r="P16" i="35"/>
  <c r="P2" i="35"/>
  <c r="P3" i="35"/>
  <c r="P5" i="35"/>
  <c r="P18" i="35"/>
  <c r="P26" i="35"/>
  <c r="P13" i="35"/>
  <c r="P7" i="35"/>
  <c r="P23" i="35"/>
  <c r="P28" i="35"/>
  <c r="P6" i="35"/>
  <c r="P9" i="35"/>
  <c r="P24" i="35"/>
  <c r="P22" i="35"/>
  <c r="P19" i="35"/>
  <c r="P27" i="35"/>
  <c r="P25" i="35"/>
  <c r="P15" i="35"/>
  <c r="P12" i="35"/>
  <c r="P4" i="35"/>
  <c r="P8" i="35"/>
  <c r="P10" i="35"/>
  <c r="N90" i="98"/>
  <c r="O90" i="98" s="1"/>
  <c r="N91" i="98"/>
  <c r="O91" i="98" s="1"/>
  <c r="N92" i="98"/>
  <c r="O92" i="98" s="1"/>
  <c r="N93" i="98"/>
  <c r="O93" i="98" s="1"/>
  <c r="N94" i="98"/>
  <c r="O94" i="98" s="1"/>
  <c r="N95" i="98"/>
  <c r="O95" i="98" s="1"/>
  <c r="N96" i="98"/>
  <c r="O96" i="98" s="1"/>
  <c r="N82" i="99"/>
  <c r="O82" i="99" s="1"/>
  <c r="L82" i="99"/>
  <c r="M82" i="99" s="1"/>
  <c r="N81" i="99"/>
  <c r="O81" i="99" s="1"/>
  <c r="L81" i="99"/>
  <c r="M81" i="99" s="1"/>
  <c r="N80" i="99"/>
  <c r="O80" i="99" s="1"/>
  <c r="L80" i="99"/>
  <c r="M80" i="99" s="1"/>
  <c r="N79" i="99"/>
  <c r="O79" i="99" s="1"/>
  <c r="L79" i="99"/>
  <c r="M79" i="99" s="1"/>
  <c r="N78" i="99"/>
  <c r="O78" i="99" s="1"/>
  <c r="L78" i="99"/>
  <c r="M78" i="99" s="1"/>
  <c r="N77" i="99"/>
  <c r="O77" i="99" s="1"/>
  <c r="L77" i="99"/>
  <c r="M77" i="99" s="1"/>
  <c r="N76" i="99"/>
  <c r="O76" i="99" s="1"/>
  <c r="L76" i="99"/>
  <c r="M76" i="99" s="1"/>
  <c r="N75" i="99"/>
  <c r="O75" i="99" s="1"/>
  <c r="L75" i="99"/>
  <c r="M75" i="99" s="1"/>
  <c r="N74" i="99"/>
  <c r="O74" i="99" s="1"/>
  <c r="L74" i="99"/>
  <c r="M74" i="99" s="1"/>
  <c r="N73" i="99"/>
  <c r="O73" i="99" s="1"/>
  <c r="L73" i="99"/>
  <c r="M73" i="99" s="1"/>
  <c r="N72" i="99"/>
  <c r="O72" i="99" s="1"/>
  <c r="L72" i="99"/>
  <c r="M72" i="99" s="1"/>
  <c r="N71" i="99"/>
  <c r="O71" i="99" s="1"/>
  <c r="L71" i="99"/>
  <c r="M71" i="99" s="1"/>
  <c r="N70" i="99"/>
  <c r="O70" i="99" s="1"/>
  <c r="L70" i="99"/>
  <c r="M70" i="99" s="1"/>
  <c r="N69" i="99"/>
  <c r="O69" i="99" s="1"/>
  <c r="L69" i="99"/>
  <c r="M69" i="99" s="1"/>
  <c r="N68" i="99"/>
  <c r="O68" i="99" s="1"/>
  <c r="L68" i="99"/>
  <c r="M68" i="99" s="1"/>
  <c r="N67" i="99"/>
  <c r="O67" i="99" s="1"/>
  <c r="L67" i="99"/>
  <c r="M67" i="99" s="1"/>
  <c r="N66" i="99"/>
  <c r="O66" i="99" s="1"/>
  <c r="L66" i="99"/>
  <c r="M66" i="99" s="1"/>
  <c r="N65" i="99"/>
  <c r="O65" i="99" s="1"/>
  <c r="L65" i="99"/>
  <c r="M65" i="99" s="1"/>
  <c r="N64" i="99"/>
  <c r="O64" i="99" s="1"/>
  <c r="L64" i="99"/>
  <c r="M64" i="99" s="1"/>
  <c r="N63" i="99"/>
  <c r="O63" i="99" s="1"/>
  <c r="L63" i="99"/>
  <c r="M63" i="99" s="1"/>
  <c r="N62" i="99"/>
  <c r="O62" i="99" s="1"/>
  <c r="L62" i="99"/>
  <c r="M62" i="99" s="1"/>
  <c r="N61" i="99"/>
  <c r="L61" i="99"/>
  <c r="N60" i="99"/>
  <c r="O60" i="99" s="1"/>
  <c r="L60" i="99"/>
  <c r="N59" i="99"/>
  <c r="L59" i="99"/>
  <c r="N58" i="99"/>
  <c r="O58" i="99" s="1"/>
  <c r="L58" i="99"/>
  <c r="N57" i="99"/>
  <c r="O57" i="99" s="1"/>
  <c r="N56" i="99"/>
  <c r="L56" i="99"/>
  <c r="N55" i="99"/>
  <c r="L55" i="99"/>
  <c r="N54" i="99"/>
  <c r="O54" i="99" s="1"/>
  <c r="L54" i="99"/>
  <c r="N53" i="99"/>
  <c r="L53" i="99"/>
  <c r="N52" i="99"/>
  <c r="L52" i="99"/>
  <c r="N51" i="99"/>
  <c r="L51" i="99"/>
  <c r="N50" i="99"/>
  <c r="O50" i="99" s="1"/>
  <c r="L50" i="99"/>
  <c r="N49" i="99"/>
  <c r="O49" i="99" s="1"/>
  <c r="L49" i="99"/>
  <c r="L48" i="99"/>
  <c r="N47" i="99"/>
  <c r="O47" i="99" s="1"/>
  <c r="L47" i="99"/>
  <c r="N46" i="99"/>
  <c r="O46" i="99" s="1"/>
  <c r="L46" i="99"/>
  <c r="N45" i="99"/>
  <c r="L45" i="99"/>
  <c r="L44" i="99"/>
  <c r="N43" i="99"/>
  <c r="O43" i="99" s="1"/>
  <c r="L43" i="99"/>
  <c r="N42" i="99"/>
  <c r="L42" i="99"/>
  <c r="N41" i="99"/>
  <c r="L41" i="99"/>
  <c r="N40" i="99"/>
  <c r="O40" i="99" s="1"/>
  <c r="L40" i="99"/>
  <c r="N39" i="99"/>
  <c r="L39" i="99"/>
  <c r="N38" i="99"/>
  <c r="O38" i="99" s="1"/>
  <c r="L38" i="99"/>
  <c r="N37" i="99"/>
  <c r="L37" i="99"/>
  <c r="N36" i="99"/>
  <c r="L36" i="99"/>
  <c r="N35" i="99"/>
  <c r="L35" i="99"/>
  <c r="L34" i="99"/>
  <c r="N33" i="99"/>
  <c r="L33" i="99"/>
  <c r="L32" i="99"/>
  <c r="N31" i="99"/>
  <c r="L31" i="99"/>
  <c r="L30" i="99"/>
  <c r="P30" i="99" s="1"/>
  <c r="N29" i="99"/>
  <c r="L29" i="99"/>
  <c r="N28" i="99"/>
  <c r="O28" i="99" s="1"/>
  <c r="L28" i="99"/>
  <c r="N27" i="99"/>
  <c r="L27" i="99"/>
  <c r="N26" i="99"/>
  <c r="L26" i="99"/>
  <c r="L25" i="99"/>
  <c r="L24" i="99"/>
  <c r="P24" i="99" s="1"/>
  <c r="L22" i="99"/>
  <c r="P22" i="99" s="1"/>
  <c r="N21" i="99"/>
  <c r="L21" i="99"/>
  <c r="N20" i="99"/>
  <c r="L20" i="99"/>
  <c r="L19" i="99"/>
  <c r="P19" i="99" s="1"/>
  <c r="N18" i="99"/>
  <c r="L18" i="99"/>
  <c r="N16" i="99"/>
  <c r="L16" i="99"/>
  <c r="N15" i="99"/>
  <c r="L15" i="99"/>
  <c r="P15" i="99" s="1"/>
  <c r="L14" i="99"/>
  <c r="L13" i="99"/>
  <c r="N12" i="99"/>
  <c r="L12" i="99"/>
  <c r="N11" i="99"/>
  <c r="L11" i="99"/>
  <c r="N10" i="99"/>
  <c r="L10" i="99"/>
  <c r="N9" i="99"/>
  <c r="L9" i="99"/>
  <c r="L8" i="99"/>
  <c r="N8" i="99" s="1"/>
  <c r="N7" i="99"/>
  <c r="L7" i="99"/>
  <c r="N6" i="99"/>
  <c r="L6" i="99"/>
  <c r="N5" i="99"/>
  <c r="O5" i="99" s="1"/>
  <c r="L5" i="99"/>
  <c r="N4" i="99"/>
  <c r="L4" i="99"/>
  <c r="N3" i="99"/>
  <c r="L3" i="99"/>
  <c r="N89" i="98"/>
  <c r="O89" i="98" s="1"/>
  <c r="N88" i="98"/>
  <c r="O88" i="98" s="1"/>
  <c r="N87" i="98"/>
  <c r="L87" i="98"/>
  <c r="P87" i="98" s="1"/>
  <c r="N86" i="98"/>
  <c r="O86" i="98" s="1"/>
  <c r="L86" i="98"/>
  <c r="N85" i="98"/>
  <c r="O85" i="98" s="1"/>
  <c r="L85" i="98"/>
  <c r="N84" i="98"/>
  <c r="L84" i="98"/>
  <c r="N83" i="98"/>
  <c r="O83" i="98" s="1"/>
  <c r="L83" i="98"/>
  <c r="N82" i="98"/>
  <c r="O82" i="98" s="1"/>
  <c r="L82" i="98"/>
  <c r="N81" i="98"/>
  <c r="O81" i="98" s="1"/>
  <c r="L81" i="98"/>
  <c r="N80" i="98"/>
  <c r="O80" i="98" s="1"/>
  <c r="L80" i="98"/>
  <c r="N79" i="98"/>
  <c r="L79" i="98"/>
  <c r="N78" i="98"/>
  <c r="O78" i="98" s="1"/>
  <c r="L78" i="98"/>
  <c r="N77" i="98"/>
  <c r="O77" i="98" s="1"/>
  <c r="L77" i="98"/>
  <c r="N76" i="98"/>
  <c r="L76" i="98"/>
  <c r="N75" i="98"/>
  <c r="O75" i="98" s="1"/>
  <c r="L75" i="98"/>
  <c r="N74" i="98"/>
  <c r="O74" i="98" s="1"/>
  <c r="L74" i="98"/>
  <c r="N72" i="98"/>
  <c r="O72" i="98" s="1"/>
  <c r="L72" i="98"/>
  <c r="N71" i="98"/>
  <c r="L71" i="98"/>
  <c r="N70" i="98"/>
  <c r="L70" i="98"/>
  <c r="N69" i="98"/>
  <c r="O69" i="98" s="1"/>
  <c r="L69" i="98"/>
  <c r="N68" i="98"/>
  <c r="L68" i="98"/>
  <c r="P68" i="98" s="1"/>
  <c r="N67" i="98"/>
  <c r="L67" i="98"/>
  <c r="N66" i="98"/>
  <c r="L66" i="98"/>
  <c r="N65" i="98"/>
  <c r="L65" i="98"/>
  <c r="N64" i="98"/>
  <c r="O64" i="98" s="1"/>
  <c r="L64" i="98"/>
  <c r="N63" i="98"/>
  <c r="O63" i="98" s="1"/>
  <c r="L63" i="98"/>
  <c r="N62" i="98"/>
  <c r="O62" i="98" s="1"/>
  <c r="L62" i="98"/>
  <c r="N61" i="98"/>
  <c r="L61" i="98"/>
  <c r="N60" i="98"/>
  <c r="O60" i="98" s="1"/>
  <c r="L60" i="98"/>
  <c r="N59" i="98"/>
  <c r="AD140" i="2" s="1"/>
  <c r="L59" i="98"/>
  <c r="N58" i="98"/>
  <c r="L58" i="98"/>
  <c r="N57" i="98"/>
  <c r="L57" i="98"/>
  <c r="N55" i="98"/>
  <c r="L55" i="98"/>
  <c r="N54" i="98"/>
  <c r="O54" i="98" s="1"/>
  <c r="L54" i="98"/>
  <c r="N53" i="98"/>
  <c r="L53" i="98"/>
  <c r="N52" i="98"/>
  <c r="L52" i="98"/>
  <c r="N51" i="98"/>
  <c r="L51" i="98"/>
  <c r="N50" i="98"/>
  <c r="O50" i="98" s="1"/>
  <c r="L50" i="98"/>
  <c r="N49" i="98"/>
  <c r="O49" i="98" s="1"/>
  <c r="L49" i="98"/>
  <c r="N48" i="98"/>
  <c r="O48" i="98" s="1"/>
  <c r="L48" i="98"/>
  <c r="N47" i="98"/>
  <c r="O47" i="98" s="1"/>
  <c r="L47" i="98"/>
  <c r="N46" i="98"/>
  <c r="L46" i="98"/>
  <c r="N45" i="98"/>
  <c r="L45" i="98"/>
  <c r="N44" i="98"/>
  <c r="L44" i="98"/>
  <c r="P44" i="98" s="1"/>
  <c r="N43" i="98"/>
  <c r="L43" i="98"/>
  <c r="N42" i="98"/>
  <c r="L42" i="98"/>
  <c r="N41" i="98"/>
  <c r="L41" i="98"/>
  <c r="N40" i="98"/>
  <c r="L40" i="98"/>
  <c r="N39" i="98"/>
  <c r="L39" i="98"/>
  <c r="N38" i="98"/>
  <c r="O38" i="98" s="1"/>
  <c r="L38" i="98"/>
  <c r="N37" i="98"/>
  <c r="L37" i="98"/>
  <c r="N36" i="98"/>
  <c r="L36" i="98"/>
  <c r="P36" i="98" s="1"/>
  <c r="N35" i="98"/>
  <c r="L35" i="98"/>
  <c r="N34" i="98"/>
  <c r="O34" i="98" s="1"/>
  <c r="L34" i="98"/>
  <c r="N33" i="98"/>
  <c r="O33" i="98" s="1"/>
  <c r="L33" i="98"/>
  <c r="N31" i="98"/>
  <c r="L31" i="98"/>
  <c r="L30" i="98"/>
  <c r="N29" i="98"/>
  <c r="L29" i="98"/>
  <c r="L28" i="98"/>
  <c r="N25" i="98"/>
  <c r="L25" i="98"/>
  <c r="N24" i="98"/>
  <c r="O24" i="98" s="1"/>
  <c r="L24" i="98"/>
  <c r="N23" i="98"/>
  <c r="O23" i="98" s="1"/>
  <c r="L23" i="98"/>
  <c r="L22" i="98"/>
  <c r="L21" i="98"/>
  <c r="P21" i="98" s="1"/>
  <c r="L20" i="98"/>
  <c r="L19" i="98"/>
  <c r="L17" i="98"/>
  <c r="N16" i="98"/>
  <c r="L16" i="98"/>
  <c r="L15" i="98"/>
  <c r="N15" i="98" s="1"/>
  <c r="L14" i="98"/>
  <c r="L13" i="98"/>
  <c r="N12" i="98"/>
  <c r="O12" i="98" s="1"/>
  <c r="L12" i="98"/>
  <c r="N11" i="98"/>
  <c r="L11" i="98"/>
  <c r="N10" i="98"/>
  <c r="L10" i="98"/>
  <c r="N7" i="98"/>
  <c r="L7" i="98"/>
  <c r="N6" i="98"/>
  <c r="L6" i="98"/>
  <c r="N4" i="98"/>
  <c r="L4" i="98"/>
  <c r="N2" i="98"/>
  <c r="L2" i="98"/>
  <c r="M37" i="98" l="1"/>
  <c r="P37" i="98"/>
  <c r="M42" i="98"/>
  <c r="P42" i="98"/>
  <c r="M39" i="98"/>
  <c r="P39" i="98"/>
  <c r="M64" i="98"/>
  <c r="P64" i="98"/>
  <c r="M40" i="98"/>
  <c r="P40" i="98"/>
  <c r="M45" i="98"/>
  <c r="P45" i="98"/>
  <c r="O79" i="98"/>
  <c r="AD67" i="2"/>
  <c r="M40" i="99"/>
  <c r="P40" i="99"/>
  <c r="M51" i="99"/>
  <c r="P51" i="99"/>
  <c r="O51" i="99"/>
  <c r="M55" i="98"/>
  <c r="P55" i="98"/>
  <c r="E4" i="35"/>
  <c r="M14" i="98"/>
  <c r="P14" i="98"/>
  <c r="M36" i="98"/>
  <c r="M38" i="98"/>
  <c r="P38" i="98"/>
  <c r="M44" i="98"/>
  <c r="O185" i="2"/>
  <c r="M46" i="98"/>
  <c r="P46" i="98"/>
  <c r="M48" i="98"/>
  <c r="P48" i="98"/>
  <c r="M50" i="98"/>
  <c r="P50" i="98"/>
  <c r="M52" i="98"/>
  <c r="P52" i="98"/>
  <c r="M54" i="98"/>
  <c r="P54" i="98"/>
  <c r="M57" i="98"/>
  <c r="P57" i="98"/>
  <c r="M59" i="98"/>
  <c r="P59" i="98"/>
  <c r="M61" i="98"/>
  <c r="P61" i="98"/>
  <c r="M63" i="98"/>
  <c r="P63" i="98"/>
  <c r="M65" i="98"/>
  <c r="P65" i="98"/>
  <c r="M67" i="98"/>
  <c r="P67" i="98"/>
  <c r="M69" i="98"/>
  <c r="P69" i="98"/>
  <c r="M71" i="98"/>
  <c r="P71" i="98"/>
  <c r="M74" i="98"/>
  <c r="P74" i="98"/>
  <c r="M76" i="98"/>
  <c r="P76" i="98"/>
  <c r="M78" i="98"/>
  <c r="P78" i="98"/>
  <c r="M80" i="98"/>
  <c r="P80" i="98"/>
  <c r="M82" i="98"/>
  <c r="P82" i="98"/>
  <c r="M84" i="98"/>
  <c r="P84" i="98"/>
  <c r="M86" i="98"/>
  <c r="P86" i="98"/>
  <c r="O40" i="98"/>
  <c r="O57" i="98"/>
  <c r="O71" i="98"/>
  <c r="O76" i="98"/>
  <c r="O84" i="98"/>
  <c r="O44" i="98"/>
  <c r="O10" i="98"/>
  <c r="M19" i="98"/>
  <c r="P19" i="98"/>
  <c r="M41" i="98"/>
  <c r="P41" i="98"/>
  <c r="M43" i="98"/>
  <c r="P43" i="98"/>
  <c r="M47" i="98"/>
  <c r="P47" i="98"/>
  <c r="M49" i="98"/>
  <c r="P49" i="98"/>
  <c r="M51" i="98"/>
  <c r="P51" i="98"/>
  <c r="M53" i="98"/>
  <c r="P53" i="98"/>
  <c r="M58" i="98"/>
  <c r="P58" i="98"/>
  <c r="M60" i="98"/>
  <c r="P60" i="98"/>
  <c r="M62" i="98"/>
  <c r="P62" i="98"/>
  <c r="M66" i="98"/>
  <c r="P66" i="98"/>
  <c r="M68" i="98"/>
  <c r="M70" i="98"/>
  <c r="P70" i="98"/>
  <c r="M72" i="98"/>
  <c r="P72" i="98"/>
  <c r="M75" i="98"/>
  <c r="P75" i="98"/>
  <c r="M77" i="98"/>
  <c r="P77" i="98"/>
  <c r="M79" i="98"/>
  <c r="P79" i="98"/>
  <c r="M81" i="98"/>
  <c r="P81" i="98"/>
  <c r="M83" i="98"/>
  <c r="P83" i="98"/>
  <c r="M85" i="98"/>
  <c r="P85" i="98"/>
  <c r="N20" i="98"/>
  <c r="O20" i="98" s="1"/>
  <c r="P20" i="98"/>
  <c r="O25" i="98"/>
  <c r="O35" i="98"/>
  <c r="O41" i="98"/>
  <c r="O45" i="98"/>
  <c r="O51" i="98"/>
  <c r="O53" i="98"/>
  <c r="O66" i="98"/>
  <c r="O68" i="98"/>
  <c r="O70" i="98"/>
  <c r="M33" i="99"/>
  <c r="P33" i="99"/>
  <c r="O41" i="99"/>
  <c r="M46" i="99"/>
  <c r="P46" i="99"/>
  <c r="M48" i="99"/>
  <c r="P48" i="99"/>
  <c r="O56" i="99"/>
  <c r="O21" i="99"/>
  <c r="N14" i="99"/>
  <c r="P14" i="99"/>
  <c r="M31" i="99"/>
  <c r="P31" i="99"/>
  <c r="M36" i="99"/>
  <c r="P36" i="99"/>
  <c r="M38" i="99"/>
  <c r="P38" i="99"/>
  <c r="M42" i="99"/>
  <c r="P42" i="99"/>
  <c r="N44" i="99"/>
  <c r="P44" i="99"/>
  <c r="M49" i="99"/>
  <c r="P49" i="99"/>
  <c r="M53" i="99"/>
  <c r="P53" i="99"/>
  <c r="M55" i="99"/>
  <c r="P55" i="99"/>
  <c r="M57" i="99"/>
  <c r="P57" i="99"/>
  <c r="M59" i="99"/>
  <c r="P59" i="99"/>
  <c r="M61" i="99"/>
  <c r="P61" i="99"/>
  <c r="O7" i="99"/>
  <c r="O20" i="99"/>
  <c r="N34" i="99"/>
  <c r="O34" i="99" s="1"/>
  <c r="P34" i="99"/>
  <c r="M45" i="99"/>
  <c r="P45" i="99"/>
  <c r="M47" i="99"/>
  <c r="P47" i="99"/>
  <c r="O59" i="99"/>
  <c r="O61" i="99"/>
  <c r="O6" i="99"/>
  <c r="O12" i="99"/>
  <c r="N32" i="99"/>
  <c r="P32" i="99"/>
  <c r="M35" i="99"/>
  <c r="P35" i="99"/>
  <c r="M37" i="99"/>
  <c r="P37" i="99"/>
  <c r="M39" i="99"/>
  <c r="P39" i="99"/>
  <c r="M41" i="99"/>
  <c r="P41" i="99"/>
  <c r="M43" i="99"/>
  <c r="P43" i="99"/>
  <c r="M50" i="99"/>
  <c r="P50" i="99"/>
  <c r="M52" i="99"/>
  <c r="P52" i="99"/>
  <c r="M54" i="99"/>
  <c r="P54" i="99"/>
  <c r="M56" i="99"/>
  <c r="P56" i="99"/>
  <c r="M58" i="99"/>
  <c r="P58" i="99"/>
  <c r="M60" i="99"/>
  <c r="P60" i="99"/>
  <c r="E10" i="35"/>
  <c r="C11" i="66"/>
  <c r="E29" i="35"/>
  <c r="E14" i="35"/>
  <c r="V197" i="2"/>
  <c r="M6" i="98"/>
  <c r="P6" i="98"/>
  <c r="M23" i="98"/>
  <c r="P23" i="98"/>
  <c r="M33" i="98"/>
  <c r="P33" i="98"/>
  <c r="M4" i="99"/>
  <c r="P4" i="99"/>
  <c r="M6" i="99"/>
  <c r="P6" i="99"/>
  <c r="M8" i="99"/>
  <c r="P8" i="99"/>
  <c r="M12" i="99"/>
  <c r="P12" i="99"/>
  <c r="M4" i="98"/>
  <c r="P4" i="98"/>
  <c r="M7" i="98"/>
  <c r="P7" i="98"/>
  <c r="M11" i="98"/>
  <c r="P11" i="98"/>
  <c r="M13" i="98"/>
  <c r="P13" i="98"/>
  <c r="M16" i="98"/>
  <c r="P16" i="98"/>
  <c r="M30" i="98"/>
  <c r="P30" i="98"/>
  <c r="M21" i="99"/>
  <c r="P21" i="99"/>
  <c r="N25" i="99"/>
  <c r="O25" i="99" s="1"/>
  <c r="P25" i="99"/>
  <c r="M12" i="98"/>
  <c r="P12" i="98"/>
  <c r="M17" i="98"/>
  <c r="P17" i="98"/>
  <c r="M25" i="98"/>
  <c r="P25" i="98"/>
  <c r="M35" i="98"/>
  <c r="P35" i="98"/>
  <c r="M10" i="99"/>
  <c r="P10" i="99"/>
  <c r="M24" i="98"/>
  <c r="P24" i="98"/>
  <c r="M28" i="98"/>
  <c r="P28" i="98"/>
  <c r="M31" i="98"/>
  <c r="P31" i="98"/>
  <c r="M34" i="98"/>
  <c r="P34" i="98"/>
  <c r="M3" i="99"/>
  <c r="P3" i="99"/>
  <c r="M5" i="99"/>
  <c r="P5" i="99"/>
  <c r="M7" i="99"/>
  <c r="P7" i="99"/>
  <c r="M9" i="99"/>
  <c r="P9" i="99"/>
  <c r="M11" i="99"/>
  <c r="P11" i="99"/>
  <c r="N13" i="99"/>
  <c r="P13" i="99"/>
  <c r="M16" i="99"/>
  <c r="P16" i="99"/>
  <c r="M26" i="99"/>
  <c r="P26" i="99"/>
  <c r="M28" i="99"/>
  <c r="P28" i="99"/>
  <c r="M2" i="98"/>
  <c r="P2" i="98"/>
  <c r="M10" i="98"/>
  <c r="P10" i="98"/>
  <c r="M15" i="98"/>
  <c r="P15" i="98"/>
  <c r="N22" i="98"/>
  <c r="O22" i="98" s="1"/>
  <c r="P22" i="98"/>
  <c r="M29" i="98"/>
  <c r="P29" i="98"/>
  <c r="M20" i="99"/>
  <c r="P20" i="99"/>
  <c r="M18" i="99"/>
  <c r="P18" i="99"/>
  <c r="M27" i="99"/>
  <c r="P27" i="99"/>
  <c r="M29" i="99"/>
  <c r="P29" i="99"/>
  <c r="N14" i="98"/>
  <c r="O14" i="98" s="1"/>
  <c r="M20" i="98"/>
  <c r="M21" i="98"/>
  <c r="O34" i="2"/>
  <c r="N19" i="98"/>
  <c r="O19" i="98" s="1"/>
  <c r="N21" i="98"/>
  <c r="M15" i="99"/>
  <c r="N19" i="99"/>
  <c r="O19" i="99" s="1"/>
  <c r="C2" i="66"/>
  <c r="C3" i="66"/>
  <c r="O7" i="98"/>
  <c r="O43" i="98"/>
  <c r="O4" i="99"/>
  <c r="O8" i="99"/>
  <c r="O10" i="99"/>
  <c r="O15" i="99"/>
  <c r="O18" i="99"/>
  <c r="O27" i="99"/>
  <c r="O29" i="99"/>
  <c r="O32" i="99"/>
  <c r="O45" i="99"/>
  <c r="O35" i="99"/>
  <c r="O37" i="99"/>
  <c r="O39" i="99"/>
  <c r="O52" i="99"/>
  <c r="O11" i="98"/>
  <c r="O31" i="98"/>
  <c r="O36" i="98"/>
  <c r="O42" i="98"/>
  <c r="O46" i="98"/>
  <c r="O3" i="99"/>
  <c r="O9" i="99"/>
  <c r="O11" i="99"/>
  <c r="O16" i="99"/>
  <c r="O26" i="99"/>
  <c r="O33" i="99"/>
  <c r="O44" i="99"/>
  <c r="O4" i="98"/>
  <c r="O2" i="98"/>
  <c r="O6" i="98"/>
  <c r="O29" i="98"/>
  <c r="O31" i="99"/>
  <c r="O36" i="99"/>
  <c r="O42" i="99"/>
  <c r="O53" i="99"/>
  <c r="O55" i="99"/>
  <c r="N30" i="99"/>
  <c r="M32" i="99"/>
  <c r="M34" i="99"/>
  <c r="N13" i="98"/>
  <c r="M14" i="99"/>
  <c r="M30" i="99"/>
  <c r="M44" i="99"/>
  <c r="M19" i="99"/>
  <c r="M25" i="99"/>
  <c r="N48" i="99"/>
  <c r="N24" i="99"/>
  <c r="M24" i="99"/>
  <c r="N22" i="99"/>
  <c r="M22" i="99"/>
  <c r="O52" i="98"/>
  <c r="O59" i="98"/>
  <c r="O61" i="98"/>
  <c r="O65" i="98"/>
  <c r="O67" i="98"/>
  <c r="O39" i="98"/>
  <c r="O15" i="98"/>
  <c r="O37" i="98"/>
  <c r="O16" i="98"/>
  <c r="O55" i="98"/>
  <c r="O58" i="98"/>
  <c r="M87" i="98"/>
  <c r="O87" i="98"/>
  <c r="M13" i="99"/>
  <c r="M22" i="98"/>
  <c r="N28" i="98"/>
  <c r="N30" i="98"/>
  <c r="O30" i="98" s="1"/>
  <c r="N17" i="98"/>
  <c r="O17" i="98" s="1"/>
  <c r="O13" i="98" l="1"/>
  <c r="O21" i="98"/>
  <c r="O13" i="99"/>
  <c r="O14" i="99"/>
  <c r="O24" i="99"/>
  <c r="O22" i="99"/>
  <c r="O30" i="99"/>
  <c r="O48" i="99"/>
  <c r="O28" i="98"/>
  <c r="L7" i="71"/>
  <c r="P7" i="71" s="1"/>
  <c r="N7" i="71"/>
  <c r="L5" i="71"/>
  <c r="P5" i="71" s="1"/>
  <c r="N5" i="71"/>
  <c r="O5" i="71" s="1"/>
  <c r="L12" i="71"/>
  <c r="P12" i="71" s="1"/>
  <c r="L8" i="71"/>
  <c r="P8" i="71" s="1"/>
  <c r="N8" i="71"/>
  <c r="O8" i="71" s="1"/>
  <c r="L4" i="71"/>
  <c r="P4" i="71" s="1"/>
  <c r="N4" i="71"/>
  <c r="O4" i="71" s="1"/>
  <c r="L43" i="70"/>
  <c r="N43" i="70"/>
  <c r="M43" i="70" l="1"/>
  <c r="P43" i="70"/>
  <c r="N12" i="71"/>
  <c r="O117" i="2"/>
  <c r="M8" i="71"/>
  <c r="M5" i="71"/>
  <c r="O7" i="71"/>
  <c r="M4" i="71"/>
  <c r="M12" i="71"/>
  <c r="M7" i="71"/>
  <c r="O43" i="70"/>
  <c r="L11" i="70"/>
  <c r="N11" i="70"/>
  <c r="L71" i="69"/>
  <c r="N71" i="69"/>
  <c r="O71" i="69" s="1"/>
  <c r="M71" i="69" l="1"/>
  <c r="P71" i="69"/>
  <c r="O12" i="71"/>
  <c r="M11" i="70"/>
  <c r="P11" i="70"/>
  <c r="O11" i="70"/>
  <c r="L83" i="69"/>
  <c r="N83" i="69"/>
  <c r="O83" i="69" s="1"/>
  <c r="L68" i="69"/>
  <c r="P68" i="69" s="1"/>
  <c r="L82" i="69"/>
  <c r="N82" i="69"/>
  <c r="O82" i="69" s="1"/>
  <c r="L74" i="69"/>
  <c r="N74" i="69"/>
  <c r="O74" i="69" s="1"/>
  <c r="L77" i="69"/>
  <c r="N77" i="69"/>
  <c r="O77" i="69" s="1"/>
  <c r="L50" i="69"/>
  <c r="N50" i="69"/>
  <c r="O50" i="69" s="1"/>
  <c r="L31" i="69"/>
  <c r="N31" i="69"/>
  <c r="L66" i="69"/>
  <c r="N66" i="69"/>
  <c r="O66" i="69" s="1"/>
  <c r="L51" i="69"/>
  <c r="N51" i="69"/>
  <c r="O51" i="69" s="1"/>
  <c r="L52" i="69"/>
  <c r="N52" i="69"/>
  <c r="O52" i="69" s="1"/>
  <c r="L45" i="69"/>
  <c r="N45" i="69"/>
  <c r="L58" i="69"/>
  <c r="P58" i="69" s="1"/>
  <c r="N58" i="69"/>
  <c r="L55" i="69"/>
  <c r="N55" i="69"/>
  <c r="L53" i="69"/>
  <c r="N53" i="69"/>
  <c r="O53" i="69" s="1"/>
  <c r="L25" i="69"/>
  <c r="N25" i="69"/>
  <c r="L23" i="69"/>
  <c r="P23" i="69" s="1"/>
  <c r="N23" i="69"/>
  <c r="L17" i="69"/>
  <c r="N17" i="69"/>
  <c r="L10" i="69"/>
  <c r="N10" i="69"/>
  <c r="L11" i="69"/>
  <c r="N11" i="69"/>
  <c r="L7" i="69"/>
  <c r="N7" i="69"/>
  <c r="L9" i="69"/>
  <c r="N9" i="69"/>
  <c r="M83" i="69" l="1"/>
  <c r="P83" i="69"/>
  <c r="P17" i="69"/>
  <c r="M77" i="69"/>
  <c r="P77" i="69"/>
  <c r="M82" i="69"/>
  <c r="P82" i="69"/>
  <c r="M66" i="69"/>
  <c r="P66" i="69"/>
  <c r="M74" i="69"/>
  <c r="P74" i="69"/>
  <c r="M25" i="69"/>
  <c r="P25" i="69"/>
  <c r="O45" i="69"/>
  <c r="O55" i="69"/>
  <c r="M55" i="69"/>
  <c r="P55" i="69"/>
  <c r="M45" i="69"/>
  <c r="P45" i="69"/>
  <c r="M51" i="69"/>
  <c r="P51" i="69"/>
  <c r="M31" i="69"/>
  <c r="P31" i="69"/>
  <c r="P10" i="69"/>
  <c r="M53" i="69"/>
  <c r="P53" i="69"/>
  <c r="M52" i="69"/>
  <c r="P52" i="69"/>
  <c r="M50" i="69"/>
  <c r="P50" i="69"/>
  <c r="M9" i="69"/>
  <c r="P9" i="69"/>
  <c r="M11" i="69"/>
  <c r="P11" i="69"/>
  <c r="M7" i="69"/>
  <c r="P7" i="69"/>
  <c r="O23" i="69"/>
  <c r="O11" i="69"/>
  <c r="O9" i="69"/>
  <c r="O25" i="69"/>
  <c r="O7" i="69"/>
  <c r="M23" i="69"/>
  <c r="O31" i="69"/>
  <c r="O58" i="69"/>
  <c r="M58" i="69"/>
  <c r="M17" i="69"/>
  <c r="O17" i="69"/>
  <c r="O10" i="69"/>
  <c r="M10" i="69"/>
  <c r="N100" i="69"/>
  <c r="O100" i="69" s="1"/>
  <c r="L100" i="69"/>
  <c r="M100" i="69" s="1"/>
  <c r="N99" i="69"/>
  <c r="O99" i="69" s="1"/>
  <c r="L99" i="69"/>
  <c r="M99" i="69" s="1"/>
  <c r="N98" i="69"/>
  <c r="O98" i="69" s="1"/>
  <c r="L98" i="69"/>
  <c r="M98" i="69" s="1"/>
  <c r="N97" i="69"/>
  <c r="O97" i="69" s="1"/>
  <c r="L97" i="69"/>
  <c r="M97" i="69" s="1"/>
  <c r="N96" i="69"/>
  <c r="O96" i="69" s="1"/>
  <c r="L96" i="69"/>
  <c r="M96" i="69" s="1"/>
  <c r="N95" i="69"/>
  <c r="O95" i="69" s="1"/>
  <c r="L95" i="69"/>
  <c r="M95" i="69" s="1"/>
  <c r="N94" i="69"/>
  <c r="O94" i="69" s="1"/>
  <c r="L94" i="69"/>
  <c r="M94" i="69" s="1"/>
  <c r="N93" i="69"/>
  <c r="O93" i="69" s="1"/>
  <c r="L93" i="69"/>
  <c r="M93" i="69" s="1"/>
  <c r="N92" i="69"/>
  <c r="O92" i="69" s="1"/>
  <c r="L92" i="69"/>
  <c r="M92" i="69" s="1"/>
  <c r="N91" i="69"/>
  <c r="O91" i="69" s="1"/>
  <c r="L91" i="69"/>
  <c r="M91" i="69" s="1"/>
  <c r="N90" i="69"/>
  <c r="O90" i="69" s="1"/>
  <c r="L90" i="69"/>
  <c r="M90" i="69" s="1"/>
  <c r="N89" i="69"/>
  <c r="O89" i="69" s="1"/>
  <c r="L89" i="69"/>
  <c r="M89" i="69" s="1"/>
  <c r="N88" i="69"/>
  <c r="O88" i="69" s="1"/>
  <c r="L88" i="69"/>
  <c r="M88" i="69" s="1"/>
  <c r="N87" i="69"/>
  <c r="O87" i="69" s="1"/>
  <c r="L87" i="69"/>
  <c r="M87" i="69" s="1"/>
  <c r="N86" i="69"/>
  <c r="O86" i="69" s="1"/>
  <c r="L86" i="69"/>
  <c r="M86" i="69" s="1"/>
  <c r="N85" i="69"/>
  <c r="O85" i="69" s="1"/>
  <c r="L85" i="69"/>
  <c r="M85" i="69" s="1"/>
  <c r="N84" i="69"/>
  <c r="O84" i="69" s="1"/>
  <c r="L84" i="69"/>
  <c r="N81" i="69"/>
  <c r="O81" i="69" s="1"/>
  <c r="L81" i="69"/>
  <c r="L80" i="69"/>
  <c r="N79" i="69"/>
  <c r="O79" i="69" s="1"/>
  <c r="L79" i="69"/>
  <c r="N78" i="69"/>
  <c r="L78" i="69"/>
  <c r="N76" i="69"/>
  <c r="O76" i="69" s="1"/>
  <c r="L76" i="69"/>
  <c r="N75" i="69"/>
  <c r="O75" i="69" s="1"/>
  <c r="L75" i="69"/>
  <c r="N73" i="69"/>
  <c r="O73" i="69" s="1"/>
  <c r="L73" i="69"/>
  <c r="M73" i="69" s="1"/>
  <c r="N72" i="69"/>
  <c r="O72" i="69" s="1"/>
  <c r="L72" i="69"/>
  <c r="N70" i="69"/>
  <c r="O70" i="69" s="1"/>
  <c r="L70" i="69"/>
  <c r="N69" i="69"/>
  <c r="L69" i="69"/>
  <c r="N68" i="69"/>
  <c r="O68" i="69" s="1"/>
  <c r="M68" i="69"/>
  <c r="N67" i="69"/>
  <c r="O67" i="69" s="1"/>
  <c r="L67" i="69"/>
  <c r="N65" i="69"/>
  <c r="O65" i="69" s="1"/>
  <c r="L65" i="69"/>
  <c r="N64" i="69"/>
  <c r="O64" i="69" s="1"/>
  <c r="L64" i="69"/>
  <c r="N63" i="69"/>
  <c r="O63" i="69" s="1"/>
  <c r="L63" i="69"/>
  <c r="N62" i="69"/>
  <c r="L62" i="69"/>
  <c r="N61" i="69"/>
  <c r="O61" i="69" s="1"/>
  <c r="L61" i="69"/>
  <c r="N60" i="69"/>
  <c r="L60" i="69"/>
  <c r="N59" i="69"/>
  <c r="O59" i="69" s="1"/>
  <c r="L59" i="69"/>
  <c r="N57" i="69"/>
  <c r="L57" i="69"/>
  <c r="N56" i="69"/>
  <c r="O56" i="69" s="1"/>
  <c r="L56" i="69"/>
  <c r="N49" i="69"/>
  <c r="L49" i="69"/>
  <c r="N48" i="69"/>
  <c r="L48" i="69"/>
  <c r="N47" i="69"/>
  <c r="L47" i="69"/>
  <c r="P47" i="69" s="1"/>
  <c r="N46" i="69"/>
  <c r="L46" i="69"/>
  <c r="N44" i="69"/>
  <c r="L44" i="69"/>
  <c r="N43" i="69"/>
  <c r="L43" i="69"/>
  <c r="N42" i="69"/>
  <c r="L42" i="69"/>
  <c r="N41" i="69"/>
  <c r="L41" i="69"/>
  <c r="N40" i="69"/>
  <c r="L40" i="69"/>
  <c r="N39" i="69"/>
  <c r="L39" i="69"/>
  <c r="N38" i="69"/>
  <c r="L38" i="69"/>
  <c r="N37" i="69"/>
  <c r="L37" i="69"/>
  <c r="L36" i="69"/>
  <c r="N35" i="69"/>
  <c r="L35" i="69"/>
  <c r="L34" i="69"/>
  <c r="N33" i="69"/>
  <c r="L33" i="69"/>
  <c r="L32" i="69"/>
  <c r="L30" i="69"/>
  <c r="L29" i="69"/>
  <c r="L28" i="69"/>
  <c r="P28" i="69" s="1"/>
  <c r="L27" i="69"/>
  <c r="L26" i="69"/>
  <c r="L24" i="69"/>
  <c r="L22" i="69"/>
  <c r="L21" i="69"/>
  <c r="P21" i="69" s="1"/>
  <c r="L20" i="69"/>
  <c r="O142" i="2" s="1"/>
  <c r="L19" i="69"/>
  <c r="P19" i="69" s="1"/>
  <c r="L18" i="69"/>
  <c r="N16" i="69"/>
  <c r="L16" i="69"/>
  <c r="P16" i="69" s="1"/>
  <c r="N15" i="69"/>
  <c r="L15" i="69"/>
  <c r="N14" i="69"/>
  <c r="L14" i="69"/>
  <c r="P14" i="69" s="1"/>
  <c r="N12" i="69"/>
  <c r="L12" i="69"/>
  <c r="N8" i="69"/>
  <c r="L8" i="69"/>
  <c r="P8" i="69" s="1"/>
  <c r="N6" i="69"/>
  <c r="L6" i="69"/>
  <c r="N5" i="69"/>
  <c r="L5" i="69"/>
  <c r="P5" i="69" s="1"/>
  <c r="N4" i="69"/>
  <c r="L4" i="69"/>
  <c r="P4" i="69" s="1"/>
  <c r="N3" i="69"/>
  <c r="L3" i="69"/>
  <c r="P3" i="69" s="1"/>
  <c r="N2" i="69"/>
  <c r="L2" i="69"/>
  <c r="N83" i="70"/>
  <c r="O83" i="70" s="1"/>
  <c r="L83" i="70"/>
  <c r="M83" i="70" s="1"/>
  <c r="N82" i="70"/>
  <c r="O82" i="70" s="1"/>
  <c r="L82" i="70"/>
  <c r="M82" i="70" s="1"/>
  <c r="N81" i="70"/>
  <c r="O81" i="70" s="1"/>
  <c r="L81" i="70"/>
  <c r="M81" i="70" s="1"/>
  <c r="N80" i="70"/>
  <c r="O80" i="70" s="1"/>
  <c r="L80" i="70"/>
  <c r="M80" i="70" s="1"/>
  <c r="N79" i="70"/>
  <c r="O79" i="70" s="1"/>
  <c r="L79" i="70"/>
  <c r="M79" i="70" s="1"/>
  <c r="N78" i="70"/>
  <c r="O78" i="70" s="1"/>
  <c r="L78" i="70"/>
  <c r="M78" i="70" s="1"/>
  <c r="N77" i="70"/>
  <c r="O77" i="70" s="1"/>
  <c r="L77" i="70"/>
  <c r="M77" i="70" s="1"/>
  <c r="N76" i="70"/>
  <c r="O76" i="70" s="1"/>
  <c r="L76" i="70"/>
  <c r="M76" i="70" s="1"/>
  <c r="N75" i="70"/>
  <c r="O75" i="70" s="1"/>
  <c r="L75" i="70"/>
  <c r="M75" i="70" s="1"/>
  <c r="N74" i="70"/>
  <c r="O74" i="70" s="1"/>
  <c r="L74" i="70"/>
  <c r="M74" i="70" s="1"/>
  <c r="N73" i="70"/>
  <c r="O73" i="70" s="1"/>
  <c r="L73" i="70"/>
  <c r="M73" i="70" s="1"/>
  <c r="N72" i="70"/>
  <c r="O72" i="70" s="1"/>
  <c r="L72" i="70"/>
  <c r="M72" i="70" s="1"/>
  <c r="N71" i="70"/>
  <c r="O71" i="70" s="1"/>
  <c r="L71" i="70"/>
  <c r="M71" i="70" s="1"/>
  <c r="N70" i="70"/>
  <c r="O70" i="70" s="1"/>
  <c r="L70" i="70"/>
  <c r="M70" i="70" s="1"/>
  <c r="N69" i="70"/>
  <c r="O69" i="70" s="1"/>
  <c r="L69" i="70"/>
  <c r="N68" i="70"/>
  <c r="O68" i="70" s="1"/>
  <c r="L68" i="70"/>
  <c r="N67" i="70"/>
  <c r="O67" i="70" s="1"/>
  <c r="L67" i="70"/>
  <c r="N66" i="70"/>
  <c r="O66" i="70" s="1"/>
  <c r="L66" i="70"/>
  <c r="N65" i="70"/>
  <c r="O65" i="70" s="1"/>
  <c r="L65" i="70"/>
  <c r="M65" i="70" s="1"/>
  <c r="N64" i="70"/>
  <c r="O64" i="70" s="1"/>
  <c r="L64" i="70"/>
  <c r="N63" i="70"/>
  <c r="O63" i="70" s="1"/>
  <c r="L63" i="70"/>
  <c r="N62" i="70"/>
  <c r="O62" i="70" s="1"/>
  <c r="L62" i="70"/>
  <c r="N61" i="70"/>
  <c r="L61" i="70"/>
  <c r="N60" i="70"/>
  <c r="O60" i="70" s="1"/>
  <c r="L60" i="70"/>
  <c r="N59" i="70"/>
  <c r="O59" i="70" s="1"/>
  <c r="L59" i="70"/>
  <c r="N58" i="70"/>
  <c r="O58" i="70" s="1"/>
  <c r="L58" i="70"/>
  <c r="N57" i="70"/>
  <c r="O57" i="70" s="1"/>
  <c r="L57" i="70"/>
  <c r="N56" i="70"/>
  <c r="O56" i="70" s="1"/>
  <c r="L56" i="70"/>
  <c r="N55" i="70"/>
  <c r="L55" i="70"/>
  <c r="N54" i="70"/>
  <c r="O54" i="70" s="1"/>
  <c r="L54" i="70"/>
  <c r="N53" i="70"/>
  <c r="L53" i="70"/>
  <c r="N52" i="70"/>
  <c r="O52" i="70" s="1"/>
  <c r="L52" i="70"/>
  <c r="N51" i="70"/>
  <c r="L51" i="70"/>
  <c r="N50" i="70"/>
  <c r="L50" i="70"/>
  <c r="N49" i="70"/>
  <c r="O49" i="70" s="1"/>
  <c r="L49" i="70"/>
  <c r="N48" i="70"/>
  <c r="O48" i="70" s="1"/>
  <c r="L48" i="70"/>
  <c r="N47" i="70"/>
  <c r="L47" i="70"/>
  <c r="N46" i="70"/>
  <c r="L46" i="70"/>
  <c r="P46" i="70" s="1"/>
  <c r="N45" i="70"/>
  <c r="L45" i="70"/>
  <c r="P45" i="70" s="1"/>
  <c r="N44" i="70"/>
  <c r="O44" i="70" s="1"/>
  <c r="L44" i="70"/>
  <c r="N42" i="70"/>
  <c r="O42" i="70" s="1"/>
  <c r="L42" i="70"/>
  <c r="L41" i="70"/>
  <c r="L40" i="70"/>
  <c r="N39" i="70"/>
  <c r="L39" i="70"/>
  <c r="N38" i="70"/>
  <c r="AD64" i="2" s="1"/>
  <c r="L38" i="70"/>
  <c r="N64" i="2" s="1"/>
  <c r="N37" i="70"/>
  <c r="O37" i="70" s="1"/>
  <c r="L37" i="70"/>
  <c r="N36" i="70"/>
  <c r="L36" i="70"/>
  <c r="P36" i="70" s="1"/>
  <c r="N35" i="70"/>
  <c r="L35" i="70"/>
  <c r="N34" i="70"/>
  <c r="O34" i="70" s="1"/>
  <c r="L34" i="70"/>
  <c r="N33" i="70"/>
  <c r="L33" i="70"/>
  <c r="N32" i="70"/>
  <c r="L32" i="70"/>
  <c r="N31" i="70"/>
  <c r="L31" i="70"/>
  <c r="N30" i="70"/>
  <c r="L30" i="70"/>
  <c r="P30" i="70" s="1"/>
  <c r="N29" i="70"/>
  <c r="L29" i="70"/>
  <c r="N28" i="70"/>
  <c r="L28" i="70"/>
  <c r="N27" i="70"/>
  <c r="O27" i="70" s="1"/>
  <c r="L27" i="70"/>
  <c r="L26" i="70"/>
  <c r="N25" i="70"/>
  <c r="O25" i="70" s="1"/>
  <c r="L25" i="70"/>
  <c r="N24" i="70"/>
  <c r="O24" i="70" s="1"/>
  <c r="L24" i="70"/>
  <c r="L23" i="70"/>
  <c r="O15" i="2" s="1"/>
  <c r="L22" i="70"/>
  <c r="P22" i="70" s="1"/>
  <c r="L21" i="70"/>
  <c r="N21" i="70" s="1"/>
  <c r="L20" i="70"/>
  <c r="L19" i="70"/>
  <c r="L18" i="70"/>
  <c r="P18" i="70" s="1"/>
  <c r="N17" i="70"/>
  <c r="L17" i="70"/>
  <c r="R50" i="2" s="1"/>
  <c r="S50" i="2" s="1"/>
  <c r="N16" i="70"/>
  <c r="L16" i="70"/>
  <c r="L15" i="70"/>
  <c r="N14" i="70"/>
  <c r="L14" i="70"/>
  <c r="P14" i="70" s="1"/>
  <c r="N12" i="70"/>
  <c r="L12" i="70"/>
  <c r="N10" i="70"/>
  <c r="L10" i="70"/>
  <c r="L9" i="70"/>
  <c r="N8" i="70"/>
  <c r="L8" i="70"/>
  <c r="N5" i="70"/>
  <c r="L5" i="70"/>
  <c r="N4" i="70"/>
  <c r="L4" i="70"/>
  <c r="N3" i="70"/>
  <c r="L3" i="70"/>
  <c r="P3" i="70" s="1"/>
  <c r="N2" i="70"/>
  <c r="L2" i="70"/>
  <c r="N93" i="71"/>
  <c r="L93" i="71"/>
  <c r="N92" i="71"/>
  <c r="O92" i="71" s="1"/>
  <c r="L92" i="71"/>
  <c r="M92" i="71" s="1"/>
  <c r="N91" i="71"/>
  <c r="O91" i="71" s="1"/>
  <c r="L91" i="71"/>
  <c r="N90" i="71"/>
  <c r="L90" i="71"/>
  <c r="N89" i="71"/>
  <c r="O89" i="71" s="1"/>
  <c r="L89" i="71"/>
  <c r="M89" i="71" s="1"/>
  <c r="N88" i="71"/>
  <c r="O88" i="71" s="1"/>
  <c r="L88" i="71"/>
  <c r="M88" i="71" s="1"/>
  <c r="N87" i="71"/>
  <c r="O87" i="71" s="1"/>
  <c r="L87" i="71"/>
  <c r="M87" i="71" s="1"/>
  <c r="N86" i="71"/>
  <c r="O86" i="71" s="1"/>
  <c r="L86" i="71"/>
  <c r="M86" i="71" s="1"/>
  <c r="N85" i="71"/>
  <c r="O85" i="71" s="1"/>
  <c r="L85" i="71"/>
  <c r="M85" i="71" s="1"/>
  <c r="N84" i="71"/>
  <c r="O84" i="71" s="1"/>
  <c r="L84" i="71"/>
  <c r="M84" i="71" s="1"/>
  <c r="N83" i="71"/>
  <c r="L83" i="71"/>
  <c r="N82" i="71"/>
  <c r="O82" i="71" s="1"/>
  <c r="L82" i="71"/>
  <c r="M82" i="71" s="1"/>
  <c r="N81" i="71"/>
  <c r="L81" i="71"/>
  <c r="N80" i="71"/>
  <c r="L80" i="71"/>
  <c r="N79" i="71"/>
  <c r="L79" i="71"/>
  <c r="N78" i="71"/>
  <c r="O78" i="71" s="1"/>
  <c r="L78" i="71"/>
  <c r="M78" i="71" s="1"/>
  <c r="N77" i="71"/>
  <c r="L77" i="71"/>
  <c r="N76" i="71"/>
  <c r="L76" i="71"/>
  <c r="N75" i="71"/>
  <c r="O75" i="71" s="1"/>
  <c r="L75" i="71"/>
  <c r="M75" i="71" s="1"/>
  <c r="N74" i="71"/>
  <c r="O74" i="71" s="1"/>
  <c r="L74" i="71"/>
  <c r="N73" i="71"/>
  <c r="L73" i="71"/>
  <c r="N72" i="71"/>
  <c r="O72" i="71" s="1"/>
  <c r="L72" i="71"/>
  <c r="N71" i="71"/>
  <c r="L71" i="71"/>
  <c r="P71" i="71" s="1"/>
  <c r="N70" i="71"/>
  <c r="O70" i="71" s="1"/>
  <c r="L70" i="71"/>
  <c r="N69" i="71"/>
  <c r="L69" i="71"/>
  <c r="P69" i="71" s="1"/>
  <c r="N68" i="71"/>
  <c r="L68" i="71"/>
  <c r="P68" i="71" s="1"/>
  <c r="N67" i="71"/>
  <c r="O67" i="71" s="1"/>
  <c r="L67" i="71"/>
  <c r="P67" i="71" s="1"/>
  <c r="N66" i="71"/>
  <c r="L66" i="71"/>
  <c r="N65" i="71"/>
  <c r="O65" i="71" s="1"/>
  <c r="L65" i="71"/>
  <c r="N64" i="71"/>
  <c r="O64" i="71" s="1"/>
  <c r="L64" i="71"/>
  <c r="N63" i="71"/>
  <c r="O63" i="71" s="1"/>
  <c r="L63" i="71"/>
  <c r="N62" i="71"/>
  <c r="L62" i="71"/>
  <c r="N61" i="71"/>
  <c r="O61" i="71" s="1"/>
  <c r="L61" i="71"/>
  <c r="P61" i="71" s="1"/>
  <c r="N60" i="71"/>
  <c r="L60" i="71"/>
  <c r="P60" i="71" s="1"/>
  <c r="L59" i="71"/>
  <c r="P59" i="71" s="1"/>
  <c r="N58" i="71"/>
  <c r="O58" i="71" s="1"/>
  <c r="L58" i="71"/>
  <c r="N57" i="71"/>
  <c r="O57" i="71" s="1"/>
  <c r="L57" i="71"/>
  <c r="L56" i="71"/>
  <c r="N55" i="71"/>
  <c r="O55" i="71" s="1"/>
  <c r="L55" i="71"/>
  <c r="P55" i="71" s="1"/>
  <c r="N54" i="71"/>
  <c r="O54" i="71" s="1"/>
  <c r="L54" i="71"/>
  <c r="N53" i="71"/>
  <c r="O53" i="71" s="1"/>
  <c r="L53" i="71"/>
  <c r="N52" i="71"/>
  <c r="L52" i="71"/>
  <c r="P52" i="71" s="1"/>
  <c r="N51" i="71"/>
  <c r="O51" i="71" s="1"/>
  <c r="L51" i="71"/>
  <c r="N50" i="71"/>
  <c r="L50" i="71"/>
  <c r="P50" i="71" s="1"/>
  <c r="L49" i="71"/>
  <c r="P49" i="71" s="1"/>
  <c r="N48" i="71"/>
  <c r="O48" i="71" s="1"/>
  <c r="L48" i="71"/>
  <c r="L47" i="71"/>
  <c r="P47" i="71" s="1"/>
  <c r="N46" i="71"/>
  <c r="L46" i="71"/>
  <c r="N45" i="71"/>
  <c r="L45" i="71"/>
  <c r="N44" i="71"/>
  <c r="O44" i="71" s="1"/>
  <c r="L44" i="71"/>
  <c r="N43" i="71"/>
  <c r="L43" i="71"/>
  <c r="P43" i="71" s="1"/>
  <c r="L42" i="71"/>
  <c r="N41" i="71"/>
  <c r="L41" i="71"/>
  <c r="L40" i="71"/>
  <c r="P40" i="71" s="1"/>
  <c r="N39" i="71"/>
  <c r="O39" i="71" s="1"/>
  <c r="L39" i="71"/>
  <c r="P39" i="71" s="1"/>
  <c r="N37" i="71"/>
  <c r="L37" i="71"/>
  <c r="P37" i="71" s="1"/>
  <c r="L36" i="71"/>
  <c r="P36" i="71" s="1"/>
  <c r="N35" i="71"/>
  <c r="L35" i="71"/>
  <c r="N33" i="71"/>
  <c r="L33" i="71"/>
  <c r="N31" i="71"/>
  <c r="O31" i="71" s="1"/>
  <c r="L31" i="71"/>
  <c r="N30" i="71"/>
  <c r="L30" i="71"/>
  <c r="L28" i="71"/>
  <c r="N27" i="71"/>
  <c r="L27" i="71"/>
  <c r="N26" i="71"/>
  <c r="L26" i="71"/>
  <c r="L24" i="71"/>
  <c r="L22" i="71"/>
  <c r="L21" i="71"/>
  <c r="P21" i="71" s="1"/>
  <c r="N20" i="71"/>
  <c r="O20" i="71" s="1"/>
  <c r="L20" i="71"/>
  <c r="P20" i="71" s="1"/>
  <c r="N19" i="71"/>
  <c r="O19" i="71" s="1"/>
  <c r="L19" i="71"/>
  <c r="L17" i="71"/>
  <c r="L16" i="71"/>
  <c r="M16" i="71" s="1"/>
  <c r="L15" i="71"/>
  <c r="N14" i="71"/>
  <c r="L14" i="71"/>
  <c r="P14" i="71" s="1"/>
  <c r="L13" i="71"/>
  <c r="P13" i="71" s="1"/>
  <c r="N6" i="71"/>
  <c r="O6" i="71" s="1"/>
  <c r="L6" i="71"/>
  <c r="P6" i="71" s="1"/>
  <c r="N3" i="71"/>
  <c r="L3" i="71"/>
  <c r="P3" i="71" s="1"/>
  <c r="N2" i="71"/>
  <c r="L2" i="71"/>
  <c r="P2" i="71" s="1"/>
  <c r="N80" i="72"/>
  <c r="O80" i="72" s="1"/>
  <c r="L80" i="72"/>
  <c r="N79" i="72"/>
  <c r="O79" i="72" s="1"/>
  <c r="L79" i="72"/>
  <c r="N78" i="72"/>
  <c r="O78" i="72" s="1"/>
  <c r="L78" i="72"/>
  <c r="M78" i="72" s="1"/>
  <c r="N77" i="72"/>
  <c r="L77" i="72"/>
  <c r="N76" i="72"/>
  <c r="O76" i="72" s="1"/>
  <c r="L76" i="72"/>
  <c r="N75" i="72"/>
  <c r="L75" i="72"/>
  <c r="N74" i="72"/>
  <c r="O74" i="72" s="1"/>
  <c r="L74" i="72"/>
  <c r="N73" i="72"/>
  <c r="O73" i="72" s="1"/>
  <c r="L73" i="72"/>
  <c r="N72" i="72"/>
  <c r="O72" i="72" s="1"/>
  <c r="L72" i="72"/>
  <c r="M72" i="72" s="1"/>
  <c r="N71" i="72"/>
  <c r="O71" i="72" s="1"/>
  <c r="L71" i="72"/>
  <c r="N70" i="72"/>
  <c r="O70" i="72" s="1"/>
  <c r="L70" i="72"/>
  <c r="N69" i="72"/>
  <c r="O69" i="72" s="1"/>
  <c r="L69" i="72"/>
  <c r="M69" i="72" s="1"/>
  <c r="N68" i="72"/>
  <c r="L68" i="72"/>
  <c r="N67" i="72"/>
  <c r="L67" i="72"/>
  <c r="N66" i="72"/>
  <c r="L66" i="72"/>
  <c r="N65" i="72"/>
  <c r="L65" i="72"/>
  <c r="N64" i="72"/>
  <c r="O64" i="72" s="1"/>
  <c r="L64" i="72"/>
  <c r="N63" i="72"/>
  <c r="O63" i="72" s="1"/>
  <c r="L63" i="72"/>
  <c r="N62" i="72"/>
  <c r="O62" i="72" s="1"/>
  <c r="L62" i="72"/>
  <c r="N61" i="72"/>
  <c r="O61" i="72" s="1"/>
  <c r="L61" i="72"/>
  <c r="N60" i="72"/>
  <c r="L60" i="72"/>
  <c r="P60" i="72" s="1"/>
  <c r="N59" i="72"/>
  <c r="O59" i="72" s="1"/>
  <c r="L59" i="72"/>
  <c r="N58" i="72"/>
  <c r="O58" i="72" s="1"/>
  <c r="L58" i="72"/>
  <c r="N57" i="72"/>
  <c r="O57" i="72" s="1"/>
  <c r="L57" i="72"/>
  <c r="N56" i="72"/>
  <c r="O56" i="72" s="1"/>
  <c r="L56" i="72"/>
  <c r="N55" i="72"/>
  <c r="O55" i="72" s="1"/>
  <c r="L55" i="72"/>
  <c r="N54" i="72"/>
  <c r="L54" i="72"/>
  <c r="P54" i="72" s="1"/>
  <c r="N53" i="72"/>
  <c r="O53" i="72" s="1"/>
  <c r="L53" i="72"/>
  <c r="N52" i="72"/>
  <c r="O52" i="72" s="1"/>
  <c r="L52" i="72"/>
  <c r="N51" i="72"/>
  <c r="L51" i="72"/>
  <c r="P51" i="72" s="1"/>
  <c r="N50" i="72"/>
  <c r="O50" i="72" s="1"/>
  <c r="L50" i="72"/>
  <c r="N49" i="72"/>
  <c r="O49" i="72" s="1"/>
  <c r="L49" i="72"/>
  <c r="N48" i="72"/>
  <c r="O48" i="72" s="1"/>
  <c r="L48" i="72"/>
  <c r="N47" i="72"/>
  <c r="O47" i="72" s="1"/>
  <c r="L47" i="72"/>
  <c r="P47" i="72" s="1"/>
  <c r="N46" i="72"/>
  <c r="O46" i="72" s="1"/>
  <c r="L46" i="72"/>
  <c r="N45" i="72"/>
  <c r="O45" i="72" s="1"/>
  <c r="L45" i="72"/>
  <c r="P45" i="72" s="1"/>
  <c r="N44" i="72"/>
  <c r="O44" i="72" s="1"/>
  <c r="L44" i="72"/>
  <c r="N43" i="72"/>
  <c r="O43" i="72" s="1"/>
  <c r="L43" i="72"/>
  <c r="N42" i="72"/>
  <c r="O42" i="72" s="1"/>
  <c r="L42" i="72"/>
  <c r="N41" i="72"/>
  <c r="O41" i="72" s="1"/>
  <c r="L41" i="72"/>
  <c r="N40" i="72"/>
  <c r="L40" i="72"/>
  <c r="N39" i="72"/>
  <c r="O39" i="72" s="1"/>
  <c r="L39" i="72"/>
  <c r="P39" i="72" s="1"/>
  <c r="N38" i="72"/>
  <c r="O38" i="72" s="1"/>
  <c r="L38" i="72"/>
  <c r="P38" i="72" s="1"/>
  <c r="L37" i="72"/>
  <c r="P37" i="72" s="1"/>
  <c r="N36" i="72"/>
  <c r="L36" i="72"/>
  <c r="P36" i="72" s="1"/>
  <c r="L35" i="72"/>
  <c r="N34" i="72"/>
  <c r="O34" i="72" s="1"/>
  <c r="L34" i="72"/>
  <c r="P34" i="72" s="1"/>
  <c r="N33" i="72"/>
  <c r="O33" i="72" s="1"/>
  <c r="L33" i="72"/>
  <c r="P33" i="72" s="1"/>
  <c r="L32" i="72"/>
  <c r="L30" i="72"/>
  <c r="P30" i="72" s="1"/>
  <c r="N29" i="72"/>
  <c r="L29" i="72"/>
  <c r="P29" i="72" s="1"/>
  <c r="L28" i="72"/>
  <c r="N27" i="72"/>
  <c r="O27" i="72" s="1"/>
  <c r="L27" i="72"/>
  <c r="P27" i="72" s="1"/>
  <c r="L26" i="72"/>
  <c r="P26" i="72" s="1"/>
  <c r="N25" i="72"/>
  <c r="L25" i="72"/>
  <c r="P25" i="72" s="1"/>
  <c r="L24" i="72"/>
  <c r="P24" i="72" s="1"/>
  <c r="L23" i="72"/>
  <c r="L21" i="72"/>
  <c r="P21" i="72" s="1"/>
  <c r="L20" i="72"/>
  <c r="L19" i="72"/>
  <c r="P19" i="72" s="1"/>
  <c r="L18" i="72"/>
  <c r="P18" i="72" s="1"/>
  <c r="L17" i="72"/>
  <c r="P17" i="72" s="1"/>
  <c r="N16" i="72"/>
  <c r="L16" i="72"/>
  <c r="P16" i="72" s="1"/>
  <c r="N15" i="72"/>
  <c r="O15" i="72" s="1"/>
  <c r="L15" i="72"/>
  <c r="P15" i="72" s="1"/>
  <c r="N14" i="72"/>
  <c r="O14" i="72" s="1"/>
  <c r="L14" i="72"/>
  <c r="P14" i="72" s="1"/>
  <c r="N13" i="72"/>
  <c r="O13" i="72" s="1"/>
  <c r="L13" i="72"/>
  <c r="P13" i="72" s="1"/>
  <c r="N12" i="72"/>
  <c r="O12" i="72" s="1"/>
  <c r="L12" i="72"/>
  <c r="P12" i="72" s="1"/>
  <c r="N11" i="72"/>
  <c r="O11" i="72" s="1"/>
  <c r="L11" i="72"/>
  <c r="P11" i="72" s="1"/>
  <c r="N10" i="72"/>
  <c r="O10" i="72" s="1"/>
  <c r="L10" i="72"/>
  <c r="P10" i="72" s="1"/>
  <c r="N9" i="72"/>
  <c r="L9" i="72"/>
  <c r="P9" i="72" s="1"/>
  <c r="N8" i="72"/>
  <c r="L8" i="72"/>
  <c r="P8" i="72" s="1"/>
  <c r="N7" i="72"/>
  <c r="L7" i="72"/>
  <c r="P7" i="72" s="1"/>
  <c r="N6" i="72"/>
  <c r="O6" i="72" s="1"/>
  <c r="L6" i="72"/>
  <c r="P6" i="72" s="1"/>
  <c r="N5" i="72"/>
  <c r="L5" i="72"/>
  <c r="P5" i="72" s="1"/>
  <c r="N4" i="72"/>
  <c r="L4" i="72"/>
  <c r="P4" i="72" s="1"/>
  <c r="N3" i="72"/>
  <c r="L3" i="72"/>
  <c r="P3" i="72" s="1"/>
  <c r="N2" i="72"/>
  <c r="O2" i="72" s="1"/>
  <c r="L2" i="72"/>
  <c r="P2" i="72" s="1"/>
  <c r="N77" i="73"/>
  <c r="O77" i="73" s="1"/>
  <c r="L77" i="73"/>
  <c r="N76" i="73"/>
  <c r="O76" i="73" s="1"/>
  <c r="L76" i="73"/>
  <c r="N75" i="73"/>
  <c r="O75" i="73" s="1"/>
  <c r="L75" i="73"/>
  <c r="N74" i="73"/>
  <c r="O74" i="73" s="1"/>
  <c r="L74" i="73"/>
  <c r="N73" i="73"/>
  <c r="O73" i="73" s="1"/>
  <c r="L73" i="73"/>
  <c r="N72" i="73"/>
  <c r="O72" i="73" s="1"/>
  <c r="L72" i="73"/>
  <c r="N71" i="73"/>
  <c r="O71" i="73" s="1"/>
  <c r="L71" i="73"/>
  <c r="N70" i="73"/>
  <c r="O70" i="73" s="1"/>
  <c r="L70" i="73"/>
  <c r="N69" i="73"/>
  <c r="O69" i="73" s="1"/>
  <c r="L69" i="73"/>
  <c r="N68" i="73"/>
  <c r="O68" i="73" s="1"/>
  <c r="L68" i="73"/>
  <c r="L67" i="73"/>
  <c r="M67" i="73" s="1"/>
  <c r="N66" i="73"/>
  <c r="O66" i="73" s="1"/>
  <c r="L66" i="73"/>
  <c r="N65" i="73"/>
  <c r="O65" i="73" s="1"/>
  <c r="L65" i="73"/>
  <c r="N64" i="73"/>
  <c r="O64" i="73" s="1"/>
  <c r="L64" i="73"/>
  <c r="N63" i="73"/>
  <c r="O63" i="73" s="1"/>
  <c r="L63" i="73"/>
  <c r="N62" i="73"/>
  <c r="O62" i="73" s="1"/>
  <c r="L62" i="73"/>
  <c r="N61" i="73"/>
  <c r="AD162" i="2" s="1"/>
  <c r="L61" i="73"/>
  <c r="N60" i="73"/>
  <c r="O60" i="73" s="1"/>
  <c r="L60" i="73"/>
  <c r="N59" i="73"/>
  <c r="O59" i="73" s="1"/>
  <c r="L59" i="73"/>
  <c r="N58" i="73"/>
  <c r="O58" i="73" s="1"/>
  <c r="L58" i="73"/>
  <c r="N57" i="73"/>
  <c r="O57" i="73" s="1"/>
  <c r="L57" i="73"/>
  <c r="N56" i="73"/>
  <c r="L56" i="73"/>
  <c r="N55" i="73"/>
  <c r="O55" i="73" s="1"/>
  <c r="L55" i="73"/>
  <c r="N54" i="73"/>
  <c r="O54" i="73" s="1"/>
  <c r="L54" i="73"/>
  <c r="N53" i="73"/>
  <c r="L53" i="73"/>
  <c r="P53" i="73" s="1"/>
  <c r="N52" i="73"/>
  <c r="O52" i="73" s="1"/>
  <c r="L52" i="73"/>
  <c r="N51" i="73"/>
  <c r="O51" i="73" s="1"/>
  <c r="L51" i="73"/>
  <c r="N50" i="73"/>
  <c r="O50" i="73" s="1"/>
  <c r="L50" i="73"/>
  <c r="N49" i="73"/>
  <c r="O49" i="73" s="1"/>
  <c r="L49" i="73"/>
  <c r="N48" i="73"/>
  <c r="O48" i="73" s="1"/>
  <c r="L48" i="73"/>
  <c r="N47" i="73"/>
  <c r="O47" i="73" s="1"/>
  <c r="L47" i="73"/>
  <c r="N45" i="73"/>
  <c r="O45" i="73" s="1"/>
  <c r="L45" i="73"/>
  <c r="N44" i="73"/>
  <c r="O44" i="73" s="1"/>
  <c r="L44" i="73"/>
  <c r="N43" i="73"/>
  <c r="O43" i="73" s="1"/>
  <c r="L43" i="73"/>
  <c r="N42" i="73"/>
  <c r="O42" i="73" s="1"/>
  <c r="L42" i="73"/>
  <c r="P42" i="73" s="1"/>
  <c r="N41" i="73"/>
  <c r="O41" i="73" s="1"/>
  <c r="L41" i="73"/>
  <c r="N40" i="73"/>
  <c r="O40" i="73" s="1"/>
  <c r="L40" i="73"/>
  <c r="N39" i="73"/>
  <c r="L39" i="73"/>
  <c r="P39" i="73" s="1"/>
  <c r="N38" i="73"/>
  <c r="L38" i="73"/>
  <c r="P38" i="73" s="1"/>
  <c r="N37" i="73"/>
  <c r="O37" i="73" s="1"/>
  <c r="L37" i="73"/>
  <c r="P37" i="73" s="1"/>
  <c r="N36" i="73"/>
  <c r="L36" i="73"/>
  <c r="P36" i="73" s="1"/>
  <c r="N35" i="73"/>
  <c r="O35" i="73" s="1"/>
  <c r="L35" i="73"/>
  <c r="P35" i="73" s="1"/>
  <c r="N34" i="73"/>
  <c r="L34" i="73"/>
  <c r="P34" i="73" s="1"/>
  <c r="N33" i="73"/>
  <c r="O33" i="73" s="1"/>
  <c r="L33" i="73"/>
  <c r="P33" i="73" s="1"/>
  <c r="N32" i="73"/>
  <c r="O32" i="73" s="1"/>
  <c r="L32" i="73"/>
  <c r="P32" i="73" s="1"/>
  <c r="L31" i="73"/>
  <c r="P31" i="73" s="1"/>
  <c r="L30" i="73"/>
  <c r="N29" i="73"/>
  <c r="O29" i="73" s="1"/>
  <c r="L29" i="73"/>
  <c r="P29" i="73" s="1"/>
  <c r="N27" i="73"/>
  <c r="O27" i="73" s="1"/>
  <c r="L27" i="73"/>
  <c r="P27" i="73" s="1"/>
  <c r="N26" i="73"/>
  <c r="O26" i="73" s="1"/>
  <c r="L26" i="73"/>
  <c r="P26" i="73" s="1"/>
  <c r="N25" i="73"/>
  <c r="O25" i="73" s="1"/>
  <c r="L25" i="73"/>
  <c r="P25" i="73" s="1"/>
  <c r="L24" i="73"/>
  <c r="L23" i="73"/>
  <c r="L22" i="73"/>
  <c r="P22" i="73" s="1"/>
  <c r="L21" i="73"/>
  <c r="N20" i="73"/>
  <c r="L20" i="73"/>
  <c r="L19" i="73"/>
  <c r="P19" i="73" s="1"/>
  <c r="L18" i="73"/>
  <c r="P18" i="73" s="1"/>
  <c r="L17" i="73"/>
  <c r="L16" i="73"/>
  <c r="P16" i="73" s="1"/>
  <c r="N15" i="73"/>
  <c r="O15" i="73" s="1"/>
  <c r="L15" i="73"/>
  <c r="P15" i="73" s="1"/>
  <c r="N14" i="73"/>
  <c r="L14" i="73"/>
  <c r="L13" i="73"/>
  <c r="L12" i="73"/>
  <c r="P12" i="73" s="1"/>
  <c r="N11" i="73"/>
  <c r="L11" i="73"/>
  <c r="P11" i="73" s="1"/>
  <c r="N10" i="73"/>
  <c r="L10" i="73"/>
  <c r="P10" i="73" s="1"/>
  <c r="L9" i="73"/>
  <c r="P9" i="73" s="1"/>
  <c r="N8" i="73"/>
  <c r="O8" i="73" s="1"/>
  <c r="L8" i="73"/>
  <c r="P8" i="73" s="1"/>
  <c r="L7" i="73"/>
  <c r="N6" i="73"/>
  <c r="L6" i="73"/>
  <c r="N5" i="73"/>
  <c r="O5" i="73" s="1"/>
  <c r="L5" i="73"/>
  <c r="P5" i="73" s="1"/>
  <c r="L4" i="73"/>
  <c r="N3" i="73"/>
  <c r="L3" i="73"/>
  <c r="N2" i="73"/>
  <c r="L2" i="73"/>
  <c r="N81" i="74"/>
  <c r="O81" i="74" s="1"/>
  <c r="L81" i="74"/>
  <c r="N80" i="74"/>
  <c r="O80" i="74" s="1"/>
  <c r="L80" i="74"/>
  <c r="N79" i="74"/>
  <c r="O79" i="74" s="1"/>
  <c r="L79" i="74"/>
  <c r="N78" i="74"/>
  <c r="O78" i="74" s="1"/>
  <c r="L78" i="74"/>
  <c r="N77" i="74"/>
  <c r="O77" i="74" s="1"/>
  <c r="L77" i="74"/>
  <c r="N76" i="74"/>
  <c r="O76" i="74" s="1"/>
  <c r="L76" i="74"/>
  <c r="N75" i="74"/>
  <c r="O75" i="74" s="1"/>
  <c r="L75" i="74"/>
  <c r="P75" i="74" s="1"/>
  <c r="N74" i="74"/>
  <c r="O74" i="74" s="1"/>
  <c r="L74" i="74"/>
  <c r="M74" i="74" s="1"/>
  <c r="N73" i="74"/>
  <c r="O73" i="74" s="1"/>
  <c r="L73" i="74"/>
  <c r="N72" i="74"/>
  <c r="O72" i="74" s="1"/>
  <c r="L72" i="74"/>
  <c r="N71" i="74"/>
  <c r="O71" i="74" s="1"/>
  <c r="L71" i="74"/>
  <c r="N70" i="74"/>
  <c r="O70" i="74" s="1"/>
  <c r="L70" i="74"/>
  <c r="N69" i="74"/>
  <c r="L69" i="74"/>
  <c r="N68" i="74"/>
  <c r="O68" i="74" s="1"/>
  <c r="L68" i="74"/>
  <c r="N67" i="74"/>
  <c r="O67" i="74" s="1"/>
  <c r="L67" i="74"/>
  <c r="N66" i="74"/>
  <c r="O66" i="74" s="1"/>
  <c r="L66" i="74"/>
  <c r="N65" i="74"/>
  <c r="O65" i="74" s="1"/>
  <c r="L65" i="74"/>
  <c r="N64" i="74"/>
  <c r="O64" i="74" s="1"/>
  <c r="L64" i="74"/>
  <c r="N63" i="74"/>
  <c r="O63" i="74" s="1"/>
  <c r="L63" i="74"/>
  <c r="N62" i="74"/>
  <c r="O62" i="74" s="1"/>
  <c r="L62" i="74"/>
  <c r="N61" i="74"/>
  <c r="L61" i="74"/>
  <c r="N60" i="74"/>
  <c r="O60" i="74" s="1"/>
  <c r="L60" i="74"/>
  <c r="N59" i="74"/>
  <c r="O59" i="74" s="1"/>
  <c r="L59" i="74"/>
  <c r="N58" i="74"/>
  <c r="O58" i="74" s="1"/>
  <c r="L58" i="74"/>
  <c r="N57" i="74"/>
  <c r="L57" i="74"/>
  <c r="N56" i="74"/>
  <c r="O56" i="74" s="1"/>
  <c r="L56" i="74"/>
  <c r="N55" i="74"/>
  <c r="O55" i="74" s="1"/>
  <c r="L55" i="74"/>
  <c r="P55" i="74" s="1"/>
  <c r="N54" i="74"/>
  <c r="O54" i="74" s="1"/>
  <c r="L54" i="74"/>
  <c r="N53" i="74"/>
  <c r="O53" i="74" s="1"/>
  <c r="L53" i="74"/>
  <c r="N52" i="74"/>
  <c r="O52" i="74" s="1"/>
  <c r="L52" i="74"/>
  <c r="N51" i="74"/>
  <c r="L51" i="74"/>
  <c r="P51" i="74" s="1"/>
  <c r="N50" i="74"/>
  <c r="O50" i="74" s="1"/>
  <c r="L50" i="74"/>
  <c r="P50" i="74" s="1"/>
  <c r="N49" i="74"/>
  <c r="O49" i="74" s="1"/>
  <c r="L49" i="74"/>
  <c r="N48" i="74"/>
  <c r="L48" i="74"/>
  <c r="N47" i="74"/>
  <c r="O47" i="74" s="1"/>
  <c r="L47" i="74"/>
  <c r="L46" i="74"/>
  <c r="N46" i="74" s="1"/>
  <c r="N45" i="74"/>
  <c r="O45" i="74" s="1"/>
  <c r="L45" i="74"/>
  <c r="N44" i="74"/>
  <c r="O44" i="74" s="1"/>
  <c r="L44" i="74"/>
  <c r="P44" i="74" s="1"/>
  <c r="N43" i="74"/>
  <c r="O43" i="74" s="1"/>
  <c r="L43" i="74"/>
  <c r="P43" i="74" s="1"/>
  <c r="L42" i="74"/>
  <c r="L41" i="74"/>
  <c r="L40" i="74"/>
  <c r="L39" i="74"/>
  <c r="P39" i="74" s="1"/>
  <c r="L38" i="74"/>
  <c r="P38" i="74" s="1"/>
  <c r="N37" i="74"/>
  <c r="O37" i="74" s="1"/>
  <c r="L37" i="74"/>
  <c r="P37" i="74" s="1"/>
  <c r="L36" i="74"/>
  <c r="P36" i="74" s="1"/>
  <c r="N35" i="74"/>
  <c r="O35" i="74" s="1"/>
  <c r="L35" i="74"/>
  <c r="P35" i="74" s="1"/>
  <c r="L34" i="74"/>
  <c r="L33" i="74"/>
  <c r="N32" i="74"/>
  <c r="L32" i="74"/>
  <c r="P32" i="74" s="1"/>
  <c r="N30" i="74"/>
  <c r="O30" i="74" s="1"/>
  <c r="L30" i="74"/>
  <c r="P30" i="74" s="1"/>
  <c r="N29" i="74"/>
  <c r="O29" i="74" s="1"/>
  <c r="L29" i="74"/>
  <c r="P29" i="74" s="1"/>
  <c r="N28" i="74"/>
  <c r="O28" i="74" s="1"/>
  <c r="L28" i="74"/>
  <c r="P28" i="74" s="1"/>
  <c r="N27" i="74"/>
  <c r="O27" i="74" s="1"/>
  <c r="L27" i="74"/>
  <c r="P27" i="74" s="1"/>
  <c r="L26" i="74"/>
  <c r="P26" i="74" s="1"/>
  <c r="N25" i="74"/>
  <c r="O25" i="74" s="1"/>
  <c r="L25" i="74"/>
  <c r="P25" i="74" s="1"/>
  <c r="L24" i="74"/>
  <c r="N23" i="74"/>
  <c r="O23" i="74" s="1"/>
  <c r="L23" i="74"/>
  <c r="P23" i="74" s="1"/>
  <c r="N22" i="74"/>
  <c r="L22" i="74"/>
  <c r="P22" i="74" s="1"/>
  <c r="L20" i="74"/>
  <c r="P20" i="74" s="1"/>
  <c r="N19" i="74"/>
  <c r="L19" i="74"/>
  <c r="P19" i="74" s="1"/>
  <c r="N18" i="74"/>
  <c r="O18" i="74" s="1"/>
  <c r="L18" i="74"/>
  <c r="P18" i="74" s="1"/>
  <c r="N17" i="74"/>
  <c r="O17" i="74" s="1"/>
  <c r="L17" i="74"/>
  <c r="P17" i="74" s="1"/>
  <c r="L16" i="74"/>
  <c r="L15" i="74"/>
  <c r="P15" i="74" s="1"/>
  <c r="N14" i="74"/>
  <c r="O14" i="74" s="1"/>
  <c r="L14" i="74"/>
  <c r="P14" i="74" s="1"/>
  <c r="N13" i="74"/>
  <c r="L13" i="74"/>
  <c r="P13" i="74" s="1"/>
  <c r="N12" i="74"/>
  <c r="O12" i="74" s="1"/>
  <c r="L12" i="74"/>
  <c r="P12" i="74" s="1"/>
  <c r="N11" i="74"/>
  <c r="L11" i="74"/>
  <c r="P11" i="74" s="1"/>
  <c r="N10" i="74"/>
  <c r="O10" i="74" s="1"/>
  <c r="L10" i="74"/>
  <c r="P10" i="74" s="1"/>
  <c r="N9" i="74"/>
  <c r="O9" i="74" s="1"/>
  <c r="L9" i="74"/>
  <c r="P9" i="74" s="1"/>
  <c r="N8" i="74"/>
  <c r="O8" i="74" s="1"/>
  <c r="L8" i="74"/>
  <c r="P8" i="74" s="1"/>
  <c r="N7" i="74"/>
  <c r="O7" i="74" s="1"/>
  <c r="L7" i="74"/>
  <c r="P7" i="74" s="1"/>
  <c r="N6" i="74"/>
  <c r="L6" i="74"/>
  <c r="P6" i="74" s="1"/>
  <c r="N5" i="74"/>
  <c r="L5" i="74"/>
  <c r="P5" i="74" s="1"/>
  <c r="N4" i="74"/>
  <c r="O4" i="74" s="1"/>
  <c r="L4" i="74"/>
  <c r="P4" i="74" s="1"/>
  <c r="N3" i="74"/>
  <c r="O3" i="74" s="1"/>
  <c r="L3" i="74"/>
  <c r="P3" i="74" s="1"/>
  <c r="N2" i="74"/>
  <c r="L2" i="74"/>
  <c r="N78" i="75"/>
  <c r="O78" i="75" s="1"/>
  <c r="L78" i="75"/>
  <c r="M78" i="75" s="1"/>
  <c r="N77" i="75"/>
  <c r="O77" i="75" s="1"/>
  <c r="L77" i="75"/>
  <c r="M77" i="75" s="1"/>
  <c r="N76" i="75"/>
  <c r="O76" i="75" s="1"/>
  <c r="L76" i="75"/>
  <c r="M76" i="75" s="1"/>
  <c r="N75" i="75"/>
  <c r="O75" i="75" s="1"/>
  <c r="L75" i="75"/>
  <c r="N74" i="75"/>
  <c r="O74" i="75" s="1"/>
  <c r="L74" i="75"/>
  <c r="N73" i="75"/>
  <c r="L73" i="75"/>
  <c r="N72" i="75"/>
  <c r="O72" i="75" s="1"/>
  <c r="L72" i="75"/>
  <c r="N71" i="75"/>
  <c r="O71" i="75" s="1"/>
  <c r="L71" i="75"/>
  <c r="N70" i="75"/>
  <c r="O70" i="75" s="1"/>
  <c r="L70" i="75"/>
  <c r="M70" i="75" s="1"/>
  <c r="N69" i="75"/>
  <c r="L69" i="75"/>
  <c r="L68" i="75"/>
  <c r="N67" i="75"/>
  <c r="O67" i="75" s="1"/>
  <c r="L67" i="75"/>
  <c r="L66" i="75"/>
  <c r="N65" i="75"/>
  <c r="O65" i="75" s="1"/>
  <c r="L65" i="75"/>
  <c r="N64" i="75"/>
  <c r="O64" i="75" s="1"/>
  <c r="L64" i="75"/>
  <c r="N63" i="75"/>
  <c r="O63" i="75" s="1"/>
  <c r="L63" i="75"/>
  <c r="N62" i="75"/>
  <c r="O62" i="75" s="1"/>
  <c r="L62" i="75"/>
  <c r="N61" i="75"/>
  <c r="O61" i="75" s="1"/>
  <c r="L61" i="75"/>
  <c r="N60" i="75"/>
  <c r="L60" i="75"/>
  <c r="N59" i="75"/>
  <c r="O59" i="75" s="1"/>
  <c r="L59" i="75"/>
  <c r="M59" i="75" s="1"/>
  <c r="N58" i="75"/>
  <c r="O58" i="75" s="1"/>
  <c r="L58" i="75"/>
  <c r="L57" i="75"/>
  <c r="N56" i="75"/>
  <c r="O56" i="75" s="1"/>
  <c r="L56" i="75"/>
  <c r="N55" i="75"/>
  <c r="O55" i="75" s="1"/>
  <c r="L55" i="75"/>
  <c r="N54" i="75"/>
  <c r="L54" i="75"/>
  <c r="P54" i="75" s="1"/>
  <c r="L53" i="75"/>
  <c r="L52" i="75"/>
  <c r="N51" i="75"/>
  <c r="O51" i="75" s="1"/>
  <c r="L51" i="75"/>
  <c r="N50" i="75"/>
  <c r="O50" i="75" s="1"/>
  <c r="L50" i="75"/>
  <c r="L49" i="75"/>
  <c r="N48" i="75"/>
  <c r="O48" i="75" s="1"/>
  <c r="L48" i="75"/>
  <c r="N47" i="75"/>
  <c r="O47" i="75" s="1"/>
  <c r="L47" i="75"/>
  <c r="N46" i="75"/>
  <c r="O46" i="75" s="1"/>
  <c r="L46" i="75"/>
  <c r="L45" i="75"/>
  <c r="P45" i="75" s="1"/>
  <c r="N44" i="75"/>
  <c r="O44" i="75" s="1"/>
  <c r="L44" i="75"/>
  <c r="N43" i="75"/>
  <c r="O43" i="75" s="1"/>
  <c r="L43" i="75"/>
  <c r="P43" i="75" s="1"/>
  <c r="N42" i="75"/>
  <c r="O42" i="75" s="1"/>
  <c r="L42" i="75"/>
  <c r="M42" i="75" s="1"/>
  <c r="L41" i="75"/>
  <c r="N40" i="75"/>
  <c r="L40" i="75"/>
  <c r="N39" i="75"/>
  <c r="O39" i="75" s="1"/>
  <c r="L39" i="75"/>
  <c r="N38" i="75"/>
  <c r="O38" i="75" s="1"/>
  <c r="L38" i="75"/>
  <c r="N37" i="75"/>
  <c r="O37" i="75" s="1"/>
  <c r="L37" i="75"/>
  <c r="N36" i="75"/>
  <c r="L36" i="75"/>
  <c r="P36" i="75" s="1"/>
  <c r="N35" i="75"/>
  <c r="L35" i="75"/>
  <c r="N34" i="75"/>
  <c r="O34" i="75" s="1"/>
  <c r="L34" i="75"/>
  <c r="N33" i="75"/>
  <c r="O33" i="75" s="1"/>
  <c r="L33" i="75"/>
  <c r="N32" i="75"/>
  <c r="O32" i="75" s="1"/>
  <c r="L32" i="75"/>
  <c r="N31" i="75"/>
  <c r="O31" i="75" s="1"/>
  <c r="L31" i="75"/>
  <c r="N30" i="75"/>
  <c r="O30" i="75" s="1"/>
  <c r="L30" i="75"/>
  <c r="P30" i="75" s="1"/>
  <c r="N29" i="75"/>
  <c r="O29" i="75" s="1"/>
  <c r="L29" i="75"/>
  <c r="N28" i="75"/>
  <c r="O28" i="75" s="1"/>
  <c r="L28" i="75"/>
  <c r="P28" i="75" s="1"/>
  <c r="N27" i="75"/>
  <c r="O27" i="75" s="1"/>
  <c r="L27" i="75"/>
  <c r="N26" i="75"/>
  <c r="O26" i="75" s="1"/>
  <c r="L26" i="75"/>
  <c r="N25" i="75"/>
  <c r="O25" i="75" s="1"/>
  <c r="L25" i="75"/>
  <c r="N24" i="75"/>
  <c r="L24" i="75"/>
  <c r="N23" i="75"/>
  <c r="O23" i="75" s="1"/>
  <c r="L23" i="75"/>
  <c r="N22" i="75"/>
  <c r="L22" i="75"/>
  <c r="N21" i="75"/>
  <c r="L21" i="75"/>
  <c r="P21" i="75" s="1"/>
  <c r="N20" i="75"/>
  <c r="AD171" i="2" s="1"/>
  <c r="L20" i="75"/>
  <c r="L19" i="75"/>
  <c r="P19" i="75" s="1"/>
  <c r="L18" i="75"/>
  <c r="P18" i="75" s="1"/>
  <c r="N17" i="75"/>
  <c r="L17" i="75"/>
  <c r="P17" i="75" s="1"/>
  <c r="L16" i="75"/>
  <c r="L15" i="75"/>
  <c r="L14" i="75"/>
  <c r="N13" i="75"/>
  <c r="O13" i="75" s="1"/>
  <c r="L13" i="75"/>
  <c r="P13" i="75" s="1"/>
  <c r="L12" i="75"/>
  <c r="N11" i="75"/>
  <c r="O11" i="75" s="1"/>
  <c r="L11" i="75"/>
  <c r="P11" i="75" s="1"/>
  <c r="N10" i="75"/>
  <c r="O10" i="75" s="1"/>
  <c r="L10" i="75"/>
  <c r="L9" i="75"/>
  <c r="N8" i="75"/>
  <c r="O8" i="75" s="1"/>
  <c r="L8" i="75"/>
  <c r="P8" i="75" s="1"/>
  <c r="N7" i="75"/>
  <c r="O7" i="75" s="1"/>
  <c r="L7" i="75"/>
  <c r="P7" i="75" s="1"/>
  <c r="N6" i="75"/>
  <c r="O6" i="75" s="1"/>
  <c r="L6" i="75"/>
  <c r="P6" i="75" s="1"/>
  <c r="N5" i="75"/>
  <c r="L5" i="75"/>
  <c r="P5" i="75" s="1"/>
  <c r="N4" i="75"/>
  <c r="O4" i="75" s="1"/>
  <c r="L4" i="75"/>
  <c r="P4" i="75" s="1"/>
  <c r="N3" i="75"/>
  <c r="L3" i="75"/>
  <c r="P3" i="75" s="1"/>
  <c r="N2" i="75"/>
  <c r="L2" i="75"/>
  <c r="N80" i="76"/>
  <c r="O80" i="76" s="1"/>
  <c r="L80" i="76"/>
  <c r="M80" i="76" s="1"/>
  <c r="N79" i="76"/>
  <c r="O79" i="76" s="1"/>
  <c r="L79" i="76"/>
  <c r="M79" i="76" s="1"/>
  <c r="N78" i="76"/>
  <c r="O78" i="76" s="1"/>
  <c r="L78" i="76"/>
  <c r="M78" i="76" s="1"/>
  <c r="N77" i="76"/>
  <c r="O77" i="76" s="1"/>
  <c r="L77" i="76"/>
  <c r="M77" i="76" s="1"/>
  <c r="N76" i="76"/>
  <c r="O76" i="76" s="1"/>
  <c r="L76" i="76"/>
  <c r="M76" i="76" s="1"/>
  <c r="N75" i="76"/>
  <c r="O75" i="76" s="1"/>
  <c r="L75" i="76"/>
  <c r="M75" i="76" s="1"/>
  <c r="N74" i="76"/>
  <c r="O74" i="76" s="1"/>
  <c r="L74" i="76"/>
  <c r="M74" i="76" s="1"/>
  <c r="N73" i="76"/>
  <c r="O73" i="76" s="1"/>
  <c r="L73" i="76"/>
  <c r="M73" i="76" s="1"/>
  <c r="N72" i="76"/>
  <c r="O72" i="76" s="1"/>
  <c r="L72" i="76"/>
  <c r="M72" i="76" s="1"/>
  <c r="N71" i="76"/>
  <c r="O71" i="76" s="1"/>
  <c r="L71" i="76"/>
  <c r="N70" i="76"/>
  <c r="O70" i="76" s="1"/>
  <c r="L70" i="76"/>
  <c r="M70" i="76" s="1"/>
  <c r="N69" i="76"/>
  <c r="O69" i="76" s="1"/>
  <c r="L69" i="76"/>
  <c r="M69" i="76" s="1"/>
  <c r="N68" i="76"/>
  <c r="L68" i="76"/>
  <c r="N67" i="76"/>
  <c r="O67" i="76" s="1"/>
  <c r="L67" i="76"/>
  <c r="M67" i="76" s="1"/>
  <c r="N66" i="76"/>
  <c r="O66" i="76" s="1"/>
  <c r="L66" i="76"/>
  <c r="N65" i="76"/>
  <c r="O65" i="76" s="1"/>
  <c r="L65" i="76"/>
  <c r="M65" i="76" s="1"/>
  <c r="N64" i="76"/>
  <c r="O64" i="76" s="1"/>
  <c r="L64" i="76"/>
  <c r="M64" i="76" s="1"/>
  <c r="N63" i="76"/>
  <c r="O63" i="76" s="1"/>
  <c r="L63" i="76"/>
  <c r="M63" i="76" s="1"/>
  <c r="N62" i="76"/>
  <c r="O62" i="76" s="1"/>
  <c r="L62" i="76"/>
  <c r="M62" i="76" s="1"/>
  <c r="N61" i="76"/>
  <c r="O61" i="76" s="1"/>
  <c r="L61" i="76"/>
  <c r="M61" i="76" s="1"/>
  <c r="N60" i="76"/>
  <c r="O60" i="76" s="1"/>
  <c r="L60" i="76"/>
  <c r="M60" i="76" s="1"/>
  <c r="N59" i="76"/>
  <c r="O59" i="76" s="1"/>
  <c r="L59" i="76"/>
  <c r="M59" i="76" s="1"/>
  <c r="N58" i="76"/>
  <c r="O58" i="76" s="1"/>
  <c r="L58" i="76"/>
  <c r="M58" i="76" s="1"/>
  <c r="N57" i="76"/>
  <c r="O57" i="76" s="1"/>
  <c r="L57" i="76"/>
  <c r="M57" i="76" s="1"/>
  <c r="N56" i="76"/>
  <c r="O56" i="76" s="1"/>
  <c r="L56" i="76"/>
  <c r="M56" i="76" s="1"/>
  <c r="N55" i="76"/>
  <c r="L55" i="76"/>
  <c r="L54" i="76"/>
  <c r="P54" i="76" s="1"/>
  <c r="N53" i="76"/>
  <c r="O53" i="76" s="1"/>
  <c r="L53" i="76"/>
  <c r="N52" i="76"/>
  <c r="O52" i="76" s="1"/>
  <c r="L52" i="76"/>
  <c r="N51" i="76"/>
  <c r="O51" i="76" s="1"/>
  <c r="L51" i="76"/>
  <c r="L50" i="76"/>
  <c r="P50" i="76" s="1"/>
  <c r="N49" i="76"/>
  <c r="O49" i="76" s="1"/>
  <c r="L49" i="76"/>
  <c r="N48" i="76"/>
  <c r="O48" i="76" s="1"/>
  <c r="L48" i="76"/>
  <c r="N47" i="76"/>
  <c r="O47" i="76" s="1"/>
  <c r="L47" i="76"/>
  <c r="P47" i="76" s="1"/>
  <c r="N46" i="76"/>
  <c r="O46" i="76" s="1"/>
  <c r="L46" i="76"/>
  <c r="N45" i="76"/>
  <c r="O45" i="76" s="1"/>
  <c r="L45" i="76"/>
  <c r="N44" i="76"/>
  <c r="O44" i="76" s="1"/>
  <c r="L44" i="76"/>
  <c r="N43" i="76"/>
  <c r="O43" i="76" s="1"/>
  <c r="L43" i="76"/>
  <c r="N42" i="76"/>
  <c r="L42" i="76"/>
  <c r="N41" i="76"/>
  <c r="L41" i="76"/>
  <c r="N40" i="76"/>
  <c r="L40" i="76"/>
  <c r="N38" i="76"/>
  <c r="O38" i="76" s="1"/>
  <c r="L38" i="76"/>
  <c r="N37" i="76"/>
  <c r="O37" i="76" s="1"/>
  <c r="L37" i="76"/>
  <c r="L36" i="76"/>
  <c r="N35" i="76"/>
  <c r="O35" i="76" s="1"/>
  <c r="L35" i="76"/>
  <c r="N34" i="76"/>
  <c r="O34" i="76" s="1"/>
  <c r="L34" i="76"/>
  <c r="P34" i="76" s="1"/>
  <c r="N33" i="76"/>
  <c r="O33" i="76" s="1"/>
  <c r="L33" i="76"/>
  <c r="P33" i="76" s="1"/>
  <c r="L32" i="76"/>
  <c r="P32" i="76" s="1"/>
  <c r="N31" i="76"/>
  <c r="L31" i="76"/>
  <c r="P31" i="76" s="1"/>
  <c r="L30" i="76"/>
  <c r="L29" i="76"/>
  <c r="L28" i="76"/>
  <c r="L27" i="76"/>
  <c r="N26" i="76"/>
  <c r="O26" i="76" s="1"/>
  <c r="L26" i="76"/>
  <c r="P26" i="76" s="1"/>
  <c r="L25" i="76"/>
  <c r="L24" i="76"/>
  <c r="P24" i="76" s="1"/>
  <c r="N23" i="76"/>
  <c r="O23" i="76" s="1"/>
  <c r="L23" i="76"/>
  <c r="P23" i="76" s="1"/>
  <c r="L22" i="76"/>
  <c r="P22" i="76" s="1"/>
  <c r="L21" i="76"/>
  <c r="L20" i="76"/>
  <c r="P20" i="76" s="1"/>
  <c r="L19" i="76"/>
  <c r="N16" i="76"/>
  <c r="O16" i="76" s="1"/>
  <c r="L16" i="76"/>
  <c r="P16" i="76" s="1"/>
  <c r="N15" i="76"/>
  <c r="O15" i="76" s="1"/>
  <c r="L15" i="76"/>
  <c r="P15" i="76" s="1"/>
  <c r="N14" i="76"/>
  <c r="O14" i="76" s="1"/>
  <c r="L14" i="76"/>
  <c r="P14" i="76" s="1"/>
  <c r="L13" i="76"/>
  <c r="L12" i="76"/>
  <c r="L11" i="76"/>
  <c r="L10" i="76"/>
  <c r="N9" i="76"/>
  <c r="L9" i="76"/>
  <c r="P9" i="76" s="1"/>
  <c r="N8" i="76"/>
  <c r="O8" i="76" s="1"/>
  <c r="L8" i="76"/>
  <c r="P8" i="76" s="1"/>
  <c r="N7" i="76"/>
  <c r="O7" i="76" s="1"/>
  <c r="L7" i="76"/>
  <c r="P7" i="76" s="1"/>
  <c r="N6" i="76"/>
  <c r="O6" i="76" s="1"/>
  <c r="L6" i="76"/>
  <c r="P6" i="76" s="1"/>
  <c r="N5" i="76"/>
  <c r="O5" i="76" s="1"/>
  <c r="L5" i="76"/>
  <c r="P5" i="76" s="1"/>
  <c r="N4" i="76"/>
  <c r="L4" i="76"/>
  <c r="P4" i="76" s="1"/>
  <c r="N3" i="76"/>
  <c r="O3" i="76" s="1"/>
  <c r="L3" i="76"/>
  <c r="P3" i="76" s="1"/>
  <c r="N2" i="76"/>
  <c r="L2" i="76"/>
  <c r="O81" i="77"/>
  <c r="L81" i="77"/>
  <c r="O80" i="77"/>
  <c r="L80" i="77"/>
  <c r="O79" i="77"/>
  <c r="L79" i="77"/>
  <c r="M79" i="77" s="1"/>
  <c r="O78" i="77"/>
  <c r="L78" i="77"/>
  <c r="M78" i="77" s="1"/>
  <c r="O77" i="77"/>
  <c r="L77" i="77"/>
  <c r="O76" i="77"/>
  <c r="L76" i="77"/>
  <c r="O75" i="77"/>
  <c r="L75" i="77"/>
  <c r="O74" i="77"/>
  <c r="L74" i="77"/>
  <c r="O73" i="77"/>
  <c r="L73" i="77"/>
  <c r="O72" i="77"/>
  <c r="L72" i="77"/>
  <c r="O71" i="77"/>
  <c r="L71" i="77"/>
  <c r="O70" i="77"/>
  <c r="L70" i="77"/>
  <c r="O69" i="77"/>
  <c r="L69" i="77"/>
  <c r="O68" i="77"/>
  <c r="L68" i="77"/>
  <c r="M68" i="77" s="1"/>
  <c r="O67" i="77"/>
  <c r="L67" i="77"/>
  <c r="O66" i="77"/>
  <c r="L66" i="77"/>
  <c r="O65" i="77"/>
  <c r="L65" i="77"/>
  <c r="O64" i="77"/>
  <c r="L64" i="77"/>
  <c r="N183" i="2" s="1"/>
  <c r="O63" i="77"/>
  <c r="L63" i="77"/>
  <c r="O62" i="77"/>
  <c r="L62" i="77"/>
  <c r="O61" i="77"/>
  <c r="L61" i="77"/>
  <c r="O60" i="77"/>
  <c r="L60" i="77"/>
  <c r="O59" i="77"/>
  <c r="L59" i="77"/>
  <c r="O58" i="77"/>
  <c r="L58" i="77"/>
  <c r="O57" i="77"/>
  <c r="L57" i="77"/>
  <c r="O56" i="77"/>
  <c r="L56" i="77"/>
  <c r="O55" i="77"/>
  <c r="L55" i="77"/>
  <c r="O54" i="77"/>
  <c r="L54" i="77"/>
  <c r="O53" i="77"/>
  <c r="L53" i="77"/>
  <c r="O52" i="77"/>
  <c r="L52" i="77"/>
  <c r="O51" i="77"/>
  <c r="L51" i="77"/>
  <c r="O50" i="77"/>
  <c r="L50" i="77"/>
  <c r="O49" i="77"/>
  <c r="L49" i="77"/>
  <c r="O48" i="77"/>
  <c r="L48" i="77"/>
  <c r="O47" i="77"/>
  <c r="L47" i="77"/>
  <c r="O46" i="77"/>
  <c r="L46" i="77"/>
  <c r="O45" i="77"/>
  <c r="L45" i="77"/>
  <c r="O44" i="77"/>
  <c r="L44" i="77"/>
  <c r="O43" i="77"/>
  <c r="L43" i="77"/>
  <c r="O42" i="77"/>
  <c r="L42" i="77"/>
  <c r="O41" i="77"/>
  <c r="L41" i="77"/>
  <c r="O40" i="77"/>
  <c r="L40" i="77"/>
  <c r="O39" i="77"/>
  <c r="L39" i="77"/>
  <c r="L38" i="77"/>
  <c r="P38" i="77" s="1"/>
  <c r="L37" i="77"/>
  <c r="O36" i="77"/>
  <c r="L36" i="77"/>
  <c r="L35" i="77"/>
  <c r="O34" i="77"/>
  <c r="L34" i="77"/>
  <c r="O33" i="77"/>
  <c r="L33" i="77"/>
  <c r="L32" i="77"/>
  <c r="O31" i="77"/>
  <c r="L31" i="77"/>
  <c r="O30" i="77"/>
  <c r="O29" i="77"/>
  <c r="O28" i="77"/>
  <c r="O27" i="77"/>
  <c r="O26" i="77"/>
  <c r="O25" i="77"/>
  <c r="O22" i="77"/>
  <c r="O20" i="77"/>
  <c r="O18" i="77"/>
  <c r="O16" i="77"/>
  <c r="O15" i="77"/>
  <c r="O14" i="77"/>
  <c r="O13" i="77"/>
  <c r="O12" i="77"/>
  <c r="O11" i="77"/>
  <c r="O9" i="77"/>
  <c r="O8" i="77"/>
  <c r="O7" i="77"/>
  <c r="O6" i="77"/>
  <c r="O5" i="77"/>
  <c r="O4" i="77"/>
  <c r="O3" i="77"/>
  <c r="O2" i="77"/>
  <c r="N78" i="78"/>
  <c r="O78" i="78" s="1"/>
  <c r="L78" i="78"/>
  <c r="M78" i="78" s="1"/>
  <c r="N77" i="78"/>
  <c r="O77" i="78" s="1"/>
  <c r="L77" i="78"/>
  <c r="M77" i="78" s="1"/>
  <c r="N76" i="78"/>
  <c r="O76" i="78" s="1"/>
  <c r="L76" i="78"/>
  <c r="M76" i="78" s="1"/>
  <c r="N75" i="78"/>
  <c r="O75" i="78" s="1"/>
  <c r="L75" i="78"/>
  <c r="M75" i="78" s="1"/>
  <c r="N74" i="78"/>
  <c r="O74" i="78" s="1"/>
  <c r="L74" i="78"/>
  <c r="M74" i="78" s="1"/>
  <c r="N73" i="78"/>
  <c r="O73" i="78" s="1"/>
  <c r="L73" i="78"/>
  <c r="M73" i="78" s="1"/>
  <c r="N72" i="78"/>
  <c r="O72" i="78" s="1"/>
  <c r="L72" i="78"/>
  <c r="N71" i="78"/>
  <c r="O71" i="78" s="1"/>
  <c r="L71" i="78"/>
  <c r="N70" i="78"/>
  <c r="O70" i="78" s="1"/>
  <c r="L70" i="78"/>
  <c r="N69" i="78"/>
  <c r="O69" i="78" s="1"/>
  <c r="L69" i="78"/>
  <c r="N68" i="78"/>
  <c r="L68" i="78"/>
  <c r="N67" i="78"/>
  <c r="O67" i="78" s="1"/>
  <c r="L67" i="78"/>
  <c r="N66" i="78"/>
  <c r="O66" i="78" s="1"/>
  <c r="L66" i="78"/>
  <c r="N65" i="78"/>
  <c r="O65" i="78" s="1"/>
  <c r="L65" i="78"/>
  <c r="N64" i="78"/>
  <c r="L64" i="78"/>
  <c r="N63" i="78"/>
  <c r="O63" i="78" s="1"/>
  <c r="L63" i="78"/>
  <c r="N62" i="78"/>
  <c r="O62" i="78" s="1"/>
  <c r="L62" i="78"/>
  <c r="N61" i="78"/>
  <c r="O61" i="78" s="1"/>
  <c r="L61" i="78"/>
  <c r="N60" i="78"/>
  <c r="O60" i="78" s="1"/>
  <c r="L60" i="78"/>
  <c r="N59" i="78"/>
  <c r="O59" i="78" s="1"/>
  <c r="L59" i="78"/>
  <c r="N58" i="78"/>
  <c r="L58" i="78"/>
  <c r="N57" i="78"/>
  <c r="L57" i="78"/>
  <c r="N56" i="78"/>
  <c r="L56" i="78"/>
  <c r="N55" i="78"/>
  <c r="O55" i="78" s="1"/>
  <c r="L55" i="78"/>
  <c r="N54" i="78"/>
  <c r="O54" i="78" s="1"/>
  <c r="L54" i="78"/>
  <c r="N53" i="78"/>
  <c r="O53" i="78" s="1"/>
  <c r="L53" i="78"/>
  <c r="N52" i="78"/>
  <c r="O52" i="78" s="1"/>
  <c r="L52" i="78"/>
  <c r="N51" i="78"/>
  <c r="O51" i="78" s="1"/>
  <c r="L51" i="78"/>
  <c r="N50" i="78"/>
  <c r="O50" i="78" s="1"/>
  <c r="L50" i="78"/>
  <c r="N49" i="78"/>
  <c r="O49" i="78" s="1"/>
  <c r="L49" i="78"/>
  <c r="M49" i="78" s="1"/>
  <c r="N48" i="78"/>
  <c r="O48" i="78" s="1"/>
  <c r="L48" i="78"/>
  <c r="N47" i="78"/>
  <c r="O47" i="78" s="1"/>
  <c r="L47" i="78"/>
  <c r="N46" i="78"/>
  <c r="O46" i="78" s="1"/>
  <c r="L46" i="78"/>
  <c r="N45" i="78"/>
  <c r="O45" i="78" s="1"/>
  <c r="L45" i="78"/>
  <c r="N44" i="78"/>
  <c r="O44" i="78" s="1"/>
  <c r="L44" i="78"/>
  <c r="N43" i="78"/>
  <c r="O43" i="78" s="1"/>
  <c r="L43" i="78"/>
  <c r="N42" i="78"/>
  <c r="O42" i="78" s="1"/>
  <c r="L42" i="78"/>
  <c r="N41" i="78"/>
  <c r="O41" i="78" s="1"/>
  <c r="L41" i="78"/>
  <c r="N40" i="78"/>
  <c r="O40" i="78" s="1"/>
  <c r="L40" i="78"/>
  <c r="L39" i="78"/>
  <c r="P39" i="78" s="1"/>
  <c r="L38" i="78"/>
  <c r="N38" i="78" s="1"/>
  <c r="O38" i="78" s="1"/>
  <c r="N37" i="78"/>
  <c r="O37" i="78" s="1"/>
  <c r="L37" i="78"/>
  <c r="L36" i="78"/>
  <c r="P36" i="78" s="1"/>
  <c r="N35" i="78"/>
  <c r="O35" i="78" s="1"/>
  <c r="L35" i="78"/>
  <c r="P35" i="78" s="1"/>
  <c r="N34" i="78"/>
  <c r="L34" i="78"/>
  <c r="P34" i="78" s="1"/>
  <c r="N33" i="78"/>
  <c r="L33" i="78"/>
  <c r="P33" i="78" s="1"/>
  <c r="N32" i="78"/>
  <c r="O32" i="78" s="1"/>
  <c r="L32" i="78"/>
  <c r="P32" i="78" s="1"/>
  <c r="N31" i="78"/>
  <c r="O31" i="78" s="1"/>
  <c r="L31" i="78"/>
  <c r="P31" i="78" s="1"/>
  <c r="N30" i="78"/>
  <c r="O30" i="78" s="1"/>
  <c r="L30" i="78"/>
  <c r="P30" i="78" s="1"/>
  <c r="N29" i="78"/>
  <c r="O29" i="78" s="1"/>
  <c r="L29" i="78"/>
  <c r="P29" i="78" s="1"/>
  <c r="N28" i="78"/>
  <c r="O28" i="78" s="1"/>
  <c r="L28" i="78"/>
  <c r="P28" i="78" s="1"/>
  <c r="N27" i="78"/>
  <c r="O27" i="78" s="1"/>
  <c r="L27" i="78"/>
  <c r="P27" i="78" s="1"/>
  <c r="N26" i="78"/>
  <c r="L26" i="78"/>
  <c r="P26" i="78" s="1"/>
  <c r="L25" i="78"/>
  <c r="L24" i="78"/>
  <c r="L23" i="78"/>
  <c r="N22" i="78"/>
  <c r="O22" i="78" s="1"/>
  <c r="L22" i="78"/>
  <c r="P22" i="78" s="1"/>
  <c r="N21" i="78"/>
  <c r="O21" i="78" s="1"/>
  <c r="L21" i="78"/>
  <c r="P21" i="78" s="1"/>
  <c r="L20" i="78"/>
  <c r="L19" i="78"/>
  <c r="L18" i="78"/>
  <c r="P18" i="78" s="1"/>
  <c r="N17" i="78"/>
  <c r="O17" i="78" s="1"/>
  <c r="L17" i="78"/>
  <c r="P17" i="78" s="1"/>
  <c r="N16" i="78"/>
  <c r="L16" i="78"/>
  <c r="P16" i="78" s="1"/>
  <c r="N15" i="78"/>
  <c r="O15" i="78" s="1"/>
  <c r="L15" i="78"/>
  <c r="P15" i="78" s="1"/>
  <c r="N14" i="78"/>
  <c r="O14" i="78" s="1"/>
  <c r="L14" i="78"/>
  <c r="P14" i="78" s="1"/>
  <c r="N13" i="78"/>
  <c r="L13" i="78"/>
  <c r="P13" i="78" s="1"/>
  <c r="N12" i="78"/>
  <c r="O12" i="78" s="1"/>
  <c r="L12" i="78"/>
  <c r="P12" i="78" s="1"/>
  <c r="N11" i="78"/>
  <c r="O11" i="78" s="1"/>
  <c r="L11" i="78"/>
  <c r="P11" i="78" s="1"/>
  <c r="N10" i="78"/>
  <c r="O10" i="78" s="1"/>
  <c r="L10" i="78"/>
  <c r="P10" i="78" s="1"/>
  <c r="N9" i="78"/>
  <c r="O9" i="78" s="1"/>
  <c r="L9" i="78"/>
  <c r="P9" i="78" s="1"/>
  <c r="N8" i="78"/>
  <c r="O8" i="78" s="1"/>
  <c r="L8" i="78"/>
  <c r="P8" i="78" s="1"/>
  <c r="N7" i="78"/>
  <c r="O7" i="78" s="1"/>
  <c r="L7" i="78"/>
  <c r="P7" i="78" s="1"/>
  <c r="N6" i="78"/>
  <c r="O6" i="78" s="1"/>
  <c r="L6" i="78"/>
  <c r="P6" i="78" s="1"/>
  <c r="N5" i="78"/>
  <c r="O5" i="78" s="1"/>
  <c r="L5" i="78"/>
  <c r="P5" i="78" s="1"/>
  <c r="N4" i="78"/>
  <c r="O4" i="78" s="1"/>
  <c r="L4" i="78"/>
  <c r="P4" i="78" s="1"/>
  <c r="N3" i="78"/>
  <c r="O3" i="78" s="1"/>
  <c r="L3" i="78"/>
  <c r="P3" i="78" s="1"/>
  <c r="N2" i="78"/>
  <c r="L2" i="78"/>
  <c r="N81" i="79"/>
  <c r="O81" i="79" s="1"/>
  <c r="L81" i="79"/>
  <c r="M81" i="79" s="1"/>
  <c r="N80" i="79"/>
  <c r="O80" i="79" s="1"/>
  <c r="L80" i="79"/>
  <c r="M80" i="79" s="1"/>
  <c r="N79" i="79"/>
  <c r="O79" i="79" s="1"/>
  <c r="L79" i="79"/>
  <c r="M79" i="79" s="1"/>
  <c r="N78" i="79"/>
  <c r="L78" i="79"/>
  <c r="N77" i="79"/>
  <c r="O77" i="79" s="1"/>
  <c r="M77" i="79"/>
  <c r="N76" i="79"/>
  <c r="O76" i="79" s="1"/>
  <c r="M76" i="79"/>
  <c r="N75" i="79"/>
  <c r="N74" i="79"/>
  <c r="O74" i="79" s="1"/>
  <c r="M74" i="79"/>
  <c r="N73" i="79"/>
  <c r="O73" i="79" s="1"/>
  <c r="M73" i="79"/>
  <c r="N72" i="79"/>
  <c r="O72" i="79" s="1"/>
  <c r="M72" i="79"/>
  <c r="N71" i="79"/>
  <c r="O71" i="79" s="1"/>
  <c r="M71" i="79"/>
  <c r="N70" i="79"/>
  <c r="O70" i="79" s="1"/>
  <c r="N69" i="79"/>
  <c r="O69" i="79" s="1"/>
  <c r="M69" i="79"/>
  <c r="N68" i="79"/>
  <c r="O68" i="79" s="1"/>
  <c r="M68" i="79"/>
  <c r="N67" i="79"/>
  <c r="O67" i="79" s="1"/>
  <c r="M67" i="79"/>
  <c r="N66" i="79"/>
  <c r="O66" i="79" s="1"/>
  <c r="M66" i="79"/>
  <c r="N65" i="79"/>
  <c r="O65" i="79" s="1"/>
  <c r="M65" i="79"/>
  <c r="N64" i="79"/>
  <c r="O64" i="79" s="1"/>
  <c r="M64" i="79"/>
  <c r="N63" i="79"/>
  <c r="O63" i="79" s="1"/>
  <c r="M63" i="79"/>
  <c r="N62" i="79"/>
  <c r="O62" i="79" s="1"/>
  <c r="M62" i="79"/>
  <c r="N61" i="79"/>
  <c r="O61" i="79" s="1"/>
  <c r="M61" i="79"/>
  <c r="N60" i="79"/>
  <c r="O60" i="79" s="1"/>
  <c r="M60" i="79"/>
  <c r="N59" i="79"/>
  <c r="O59" i="79" s="1"/>
  <c r="M59" i="79"/>
  <c r="N58" i="79"/>
  <c r="O58" i="79" s="1"/>
  <c r="M58" i="79"/>
  <c r="N57" i="79"/>
  <c r="O57" i="79" s="1"/>
  <c r="M57" i="79"/>
  <c r="N56" i="79"/>
  <c r="O56" i="79" s="1"/>
  <c r="M56" i="79"/>
  <c r="N55" i="79"/>
  <c r="O55" i="79" s="1"/>
  <c r="M55" i="79"/>
  <c r="N54" i="79"/>
  <c r="M54" i="79"/>
  <c r="N53" i="79"/>
  <c r="O53" i="79" s="1"/>
  <c r="M53" i="79"/>
  <c r="N52" i="79"/>
  <c r="O52" i="79" s="1"/>
  <c r="M52" i="79"/>
  <c r="N51" i="79"/>
  <c r="M51" i="79"/>
  <c r="N50" i="79"/>
  <c r="O50" i="79" s="1"/>
  <c r="L50" i="79"/>
  <c r="L49" i="79"/>
  <c r="N48" i="79"/>
  <c r="O48" i="79" s="1"/>
  <c r="L48" i="79"/>
  <c r="N47" i="79"/>
  <c r="O47" i="79" s="1"/>
  <c r="L47" i="79"/>
  <c r="N46" i="79"/>
  <c r="O46" i="79" s="1"/>
  <c r="L46" i="79"/>
  <c r="N45" i="79"/>
  <c r="O45" i="79" s="1"/>
  <c r="L45" i="79"/>
  <c r="N44" i="79"/>
  <c r="O44" i="79" s="1"/>
  <c r="L44" i="79"/>
  <c r="N43" i="79"/>
  <c r="O43" i="79" s="1"/>
  <c r="L43" i="79"/>
  <c r="N42" i="79"/>
  <c r="O42" i="79" s="1"/>
  <c r="L42" i="79"/>
  <c r="N41" i="79"/>
  <c r="O41" i="79" s="1"/>
  <c r="L41" i="79"/>
  <c r="N40" i="79"/>
  <c r="O40" i="79" s="1"/>
  <c r="L40" i="79"/>
  <c r="N39" i="79"/>
  <c r="L39" i="79"/>
  <c r="N81" i="81"/>
  <c r="O81" i="81" s="1"/>
  <c r="L81" i="81"/>
  <c r="M81" i="81" s="1"/>
  <c r="N80" i="81"/>
  <c r="O80" i="81" s="1"/>
  <c r="L80" i="81"/>
  <c r="M80" i="81" s="1"/>
  <c r="N79" i="81"/>
  <c r="O79" i="81" s="1"/>
  <c r="L79" i="81"/>
  <c r="M79" i="81" s="1"/>
  <c r="N78" i="81"/>
  <c r="O78" i="81" s="1"/>
  <c r="L78" i="81"/>
  <c r="M78" i="81" s="1"/>
  <c r="N77" i="81"/>
  <c r="O77" i="81" s="1"/>
  <c r="L77" i="81"/>
  <c r="M77" i="81" s="1"/>
  <c r="N76" i="81"/>
  <c r="O76" i="81" s="1"/>
  <c r="L76" i="81"/>
  <c r="M76" i="81" s="1"/>
  <c r="N75" i="81"/>
  <c r="O75" i="81" s="1"/>
  <c r="L75" i="81"/>
  <c r="M75" i="81" s="1"/>
  <c r="N74" i="81"/>
  <c r="O74" i="81" s="1"/>
  <c r="L74" i="81"/>
  <c r="M74" i="81" s="1"/>
  <c r="N73" i="81"/>
  <c r="O73" i="81" s="1"/>
  <c r="L73" i="81"/>
  <c r="M73" i="81" s="1"/>
  <c r="N72" i="81"/>
  <c r="O72" i="81" s="1"/>
  <c r="L72" i="81"/>
  <c r="M72" i="81" s="1"/>
  <c r="N71" i="81"/>
  <c r="O71" i="81" s="1"/>
  <c r="L71" i="81"/>
  <c r="M71" i="81" s="1"/>
  <c r="N70" i="81"/>
  <c r="O70" i="81" s="1"/>
  <c r="L70" i="81"/>
  <c r="M70" i="81" s="1"/>
  <c r="N69" i="81"/>
  <c r="O69" i="81" s="1"/>
  <c r="L69" i="81"/>
  <c r="M69" i="81" s="1"/>
  <c r="N68" i="81"/>
  <c r="O68" i="81" s="1"/>
  <c r="L68" i="81"/>
  <c r="M68" i="81" s="1"/>
  <c r="N67" i="81"/>
  <c r="O67" i="81" s="1"/>
  <c r="L67" i="81"/>
  <c r="M67" i="81" s="1"/>
  <c r="N66" i="81"/>
  <c r="O66" i="81" s="1"/>
  <c r="L66" i="81"/>
  <c r="M66" i="81" s="1"/>
  <c r="N65" i="81"/>
  <c r="O65" i="81" s="1"/>
  <c r="L65" i="81"/>
  <c r="M65" i="81" s="1"/>
  <c r="N64" i="81"/>
  <c r="O64" i="81" s="1"/>
  <c r="L64" i="81"/>
  <c r="M64" i="81" s="1"/>
  <c r="N63" i="81"/>
  <c r="O63" i="81" s="1"/>
  <c r="L63" i="81"/>
  <c r="M63" i="81" s="1"/>
  <c r="N62" i="81"/>
  <c r="O62" i="81" s="1"/>
  <c r="L62" i="81"/>
  <c r="M62" i="81" s="1"/>
  <c r="N61" i="81"/>
  <c r="O61" i="81" s="1"/>
  <c r="L61" i="81"/>
  <c r="M61" i="81" s="1"/>
  <c r="N60" i="81"/>
  <c r="O60" i="81" s="1"/>
  <c r="L60" i="81"/>
  <c r="M60" i="81" s="1"/>
  <c r="N59" i="81"/>
  <c r="O59" i="81" s="1"/>
  <c r="L59" i="81"/>
  <c r="M59" i="81" s="1"/>
  <c r="N58" i="81"/>
  <c r="O58" i="81" s="1"/>
  <c r="L58" i="81"/>
  <c r="M58" i="81" s="1"/>
  <c r="N57" i="81"/>
  <c r="O57" i="81" s="1"/>
  <c r="L57" i="81"/>
  <c r="M57" i="81" s="1"/>
  <c r="N56" i="81"/>
  <c r="O56" i="81" s="1"/>
  <c r="L56" i="81"/>
  <c r="M56" i="81" s="1"/>
  <c r="N55" i="81"/>
  <c r="O55" i="81" s="1"/>
  <c r="L55" i="81"/>
  <c r="M55" i="81" s="1"/>
  <c r="N54" i="81"/>
  <c r="O54" i="81" s="1"/>
  <c r="L54" i="81"/>
  <c r="M54" i="81" s="1"/>
  <c r="N53" i="81"/>
  <c r="O53" i="81" s="1"/>
  <c r="L53" i="81"/>
  <c r="M53" i="81" s="1"/>
  <c r="N52" i="81"/>
  <c r="O52" i="81" s="1"/>
  <c r="L52" i="81"/>
  <c r="M52" i="81" s="1"/>
  <c r="N51" i="81"/>
  <c r="O51" i="81" s="1"/>
  <c r="L51" i="81"/>
  <c r="M51" i="81" s="1"/>
  <c r="N50" i="81"/>
  <c r="O50" i="81" s="1"/>
  <c r="L50" i="81"/>
  <c r="M50" i="81" s="1"/>
  <c r="N49" i="81"/>
  <c r="O49" i="81" s="1"/>
  <c r="L49" i="81"/>
  <c r="M49" i="81" s="1"/>
  <c r="N48" i="81"/>
  <c r="O48" i="81" s="1"/>
  <c r="L48" i="81"/>
  <c r="M48" i="81" s="1"/>
  <c r="N47" i="81"/>
  <c r="O47" i="81" s="1"/>
  <c r="L47" i="81"/>
  <c r="M47" i="81" s="1"/>
  <c r="N46" i="81"/>
  <c r="L46" i="81"/>
  <c r="M46" i="81" s="1"/>
  <c r="N45" i="81"/>
  <c r="O45" i="81" s="1"/>
  <c r="L45" i="81"/>
  <c r="N44" i="81"/>
  <c r="O44" i="81" s="1"/>
  <c r="L44" i="81"/>
  <c r="N43" i="81"/>
  <c r="O43" i="81" s="1"/>
  <c r="L43" i="81"/>
  <c r="N42" i="81"/>
  <c r="O42" i="81" s="1"/>
  <c r="L42" i="81"/>
  <c r="N41" i="81"/>
  <c r="O41" i="81" s="1"/>
  <c r="L41" i="81"/>
  <c r="L40" i="81"/>
  <c r="P40" i="81" s="1"/>
  <c r="N39" i="81"/>
  <c r="O39" i="81" s="1"/>
  <c r="L39" i="81"/>
  <c r="N38" i="81"/>
  <c r="L38" i="81"/>
  <c r="P38" i="81" s="1"/>
  <c r="N37" i="81"/>
  <c r="L37" i="81"/>
  <c r="L36" i="81"/>
  <c r="N35" i="81"/>
  <c r="O35" i="81" s="1"/>
  <c r="L35" i="81"/>
  <c r="N34" i="81"/>
  <c r="O34" i="81" s="1"/>
  <c r="L34" i="81"/>
  <c r="N33" i="81"/>
  <c r="O33" i="81" s="1"/>
  <c r="L33" i="81"/>
  <c r="L32" i="81"/>
  <c r="P32" i="81" s="1"/>
  <c r="L31" i="81"/>
  <c r="P31" i="81" s="1"/>
  <c r="N30" i="81"/>
  <c r="O30" i="81" s="1"/>
  <c r="L30" i="81"/>
  <c r="N29" i="81"/>
  <c r="O29" i="81" s="1"/>
  <c r="L29" i="81"/>
  <c r="N27" i="81"/>
  <c r="O27" i="81" s="1"/>
  <c r="L27" i="81"/>
  <c r="L26" i="81"/>
  <c r="P26" i="81" s="1"/>
  <c r="N25" i="81"/>
  <c r="O25" i="81" s="1"/>
  <c r="L25" i="81"/>
  <c r="P25" i="81" s="1"/>
  <c r="N24" i="81"/>
  <c r="O24" i="81" s="1"/>
  <c r="L24" i="81"/>
  <c r="P24" i="81" s="1"/>
  <c r="N23" i="81"/>
  <c r="O23" i="81" s="1"/>
  <c r="L23" i="81"/>
  <c r="P23" i="81" s="1"/>
  <c r="L22" i="81"/>
  <c r="P22" i="81" s="1"/>
  <c r="L21" i="81"/>
  <c r="P21" i="81" s="1"/>
  <c r="L19" i="81"/>
  <c r="P19" i="81" s="1"/>
  <c r="L18" i="81"/>
  <c r="P18" i="81" s="1"/>
  <c r="N17" i="81"/>
  <c r="O17" i="81" s="1"/>
  <c r="L17" i="81"/>
  <c r="P17" i="81" s="1"/>
  <c r="L16" i="81"/>
  <c r="P16" i="81" s="1"/>
  <c r="L15" i="81"/>
  <c r="N14" i="81"/>
  <c r="L14" i="81"/>
  <c r="P14" i="81" s="1"/>
  <c r="L13" i="81"/>
  <c r="P13" i="81" s="1"/>
  <c r="N12" i="81"/>
  <c r="L12" i="81"/>
  <c r="P12" i="81" s="1"/>
  <c r="L11" i="81"/>
  <c r="N10" i="81"/>
  <c r="O10" i="81" s="1"/>
  <c r="L10" i="81"/>
  <c r="P10" i="81" s="1"/>
  <c r="L9" i="81"/>
  <c r="N9" i="81" s="1"/>
  <c r="O9" i="81" s="1"/>
  <c r="N8" i="81"/>
  <c r="O8" i="81" s="1"/>
  <c r="L8" i="81"/>
  <c r="P8" i="81" s="1"/>
  <c r="N7" i="81"/>
  <c r="L7" i="81"/>
  <c r="P7" i="81" s="1"/>
  <c r="N6" i="81"/>
  <c r="O6" i="81" s="1"/>
  <c r="L6" i="81"/>
  <c r="P6" i="81" s="1"/>
  <c r="N5" i="81"/>
  <c r="L5" i="81"/>
  <c r="P5" i="81" s="1"/>
  <c r="N4" i="81"/>
  <c r="L4" i="81"/>
  <c r="P4" i="81" s="1"/>
  <c r="N3" i="81"/>
  <c r="AD119" i="2" s="1"/>
  <c r="L3" i="81"/>
  <c r="P3" i="81" s="1"/>
  <c r="L2" i="81"/>
  <c r="N80" i="82"/>
  <c r="O80" i="82" s="1"/>
  <c r="L80" i="82"/>
  <c r="M80" i="82" s="1"/>
  <c r="N79" i="82"/>
  <c r="O79" i="82" s="1"/>
  <c r="L79" i="82"/>
  <c r="M79" i="82" s="1"/>
  <c r="N78" i="82"/>
  <c r="O78" i="82" s="1"/>
  <c r="L78" i="82"/>
  <c r="M78" i="82" s="1"/>
  <c r="N77" i="82"/>
  <c r="O77" i="82" s="1"/>
  <c r="L77" i="82"/>
  <c r="M77" i="82" s="1"/>
  <c r="N76" i="82"/>
  <c r="O76" i="82" s="1"/>
  <c r="L76" i="82"/>
  <c r="M76" i="82" s="1"/>
  <c r="N75" i="82"/>
  <c r="O75" i="82" s="1"/>
  <c r="L75" i="82"/>
  <c r="M75" i="82" s="1"/>
  <c r="N74" i="82"/>
  <c r="O74" i="82" s="1"/>
  <c r="L74" i="82"/>
  <c r="M74" i="82" s="1"/>
  <c r="N73" i="82"/>
  <c r="O73" i="82" s="1"/>
  <c r="L73" i="82"/>
  <c r="M73" i="82" s="1"/>
  <c r="N72" i="82"/>
  <c r="O72" i="82" s="1"/>
  <c r="L72" i="82"/>
  <c r="M72" i="82" s="1"/>
  <c r="N71" i="82"/>
  <c r="O71" i="82" s="1"/>
  <c r="L71" i="82"/>
  <c r="M71" i="82" s="1"/>
  <c r="N70" i="82"/>
  <c r="O70" i="82" s="1"/>
  <c r="L70" i="82"/>
  <c r="M70" i="82" s="1"/>
  <c r="N69" i="82"/>
  <c r="O69" i="82" s="1"/>
  <c r="L69" i="82"/>
  <c r="M69" i="82" s="1"/>
  <c r="N68" i="82"/>
  <c r="O68" i="82" s="1"/>
  <c r="L68" i="82"/>
  <c r="M68" i="82" s="1"/>
  <c r="N67" i="82"/>
  <c r="O67" i="82" s="1"/>
  <c r="L67" i="82"/>
  <c r="M67" i="82" s="1"/>
  <c r="N66" i="82"/>
  <c r="O66" i="82" s="1"/>
  <c r="L66" i="82"/>
  <c r="M66" i="82" s="1"/>
  <c r="N65" i="82"/>
  <c r="O65" i="82" s="1"/>
  <c r="L65" i="82"/>
  <c r="M65" i="82" s="1"/>
  <c r="N64" i="82"/>
  <c r="O64" i="82" s="1"/>
  <c r="L64" i="82"/>
  <c r="M64" i="82" s="1"/>
  <c r="N63" i="82"/>
  <c r="O63" i="82" s="1"/>
  <c r="L63" i="82"/>
  <c r="M63" i="82" s="1"/>
  <c r="N62" i="82"/>
  <c r="O62" i="82" s="1"/>
  <c r="L62" i="82"/>
  <c r="M62" i="82" s="1"/>
  <c r="N61" i="82"/>
  <c r="O61" i="82" s="1"/>
  <c r="L61" i="82"/>
  <c r="M61" i="82" s="1"/>
  <c r="N60" i="82"/>
  <c r="O60" i="82" s="1"/>
  <c r="L60" i="82"/>
  <c r="M60" i="82" s="1"/>
  <c r="N59" i="82"/>
  <c r="O59" i="82" s="1"/>
  <c r="L59" i="82"/>
  <c r="M59" i="82" s="1"/>
  <c r="N58" i="82"/>
  <c r="O58" i="82" s="1"/>
  <c r="L58" i="82"/>
  <c r="M58" i="82" s="1"/>
  <c r="N57" i="82"/>
  <c r="O57" i="82" s="1"/>
  <c r="L57" i="82"/>
  <c r="M57" i="82" s="1"/>
  <c r="N56" i="82"/>
  <c r="O56" i="82" s="1"/>
  <c r="L56" i="82"/>
  <c r="M56" i="82" s="1"/>
  <c r="N55" i="82"/>
  <c r="O55" i="82" s="1"/>
  <c r="L55" i="82"/>
  <c r="M55" i="82" s="1"/>
  <c r="N54" i="82"/>
  <c r="O54" i="82" s="1"/>
  <c r="L54" i="82"/>
  <c r="M54" i="82" s="1"/>
  <c r="N53" i="82"/>
  <c r="O53" i="82" s="1"/>
  <c r="L53" i="82"/>
  <c r="M53" i="82" s="1"/>
  <c r="N52" i="82"/>
  <c r="O52" i="82" s="1"/>
  <c r="L52" i="82"/>
  <c r="M52" i="82" s="1"/>
  <c r="L51" i="82"/>
  <c r="M51" i="82" s="1"/>
  <c r="N50" i="82"/>
  <c r="L50" i="82"/>
  <c r="N49" i="82"/>
  <c r="O49" i="82" s="1"/>
  <c r="L49" i="82"/>
  <c r="M49" i="82" s="1"/>
  <c r="N48" i="82"/>
  <c r="O48" i="82" s="1"/>
  <c r="L48" i="82"/>
  <c r="M48" i="82" s="1"/>
  <c r="L47" i="82"/>
  <c r="M47" i="82" s="1"/>
  <c r="N46" i="82"/>
  <c r="O46" i="82" s="1"/>
  <c r="L46" i="82"/>
  <c r="M46" i="82" s="1"/>
  <c r="N45" i="82"/>
  <c r="O45" i="82" s="1"/>
  <c r="L45" i="82"/>
  <c r="M45" i="82" s="1"/>
  <c r="N44" i="82"/>
  <c r="O44" i="82" s="1"/>
  <c r="L44" i="82"/>
  <c r="M44" i="82" s="1"/>
  <c r="N43" i="82"/>
  <c r="O43" i="82" s="1"/>
  <c r="L43" i="82"/>
  <c r="M43" i="82" s="1"/>
  <c r="N42" i="82"/>
  <c r="O42" i="82" s="1"/>
  <c r="L42" i="82"/>
  <c r="M42" i="82" s="1"/>
  <c r="N41" i="82"/>
  <c r="O41" i="82" s="1"/>
  <c r="L41" i="82"/>
  <c r="M41" i="82" s="1"/>
  <c r="N40" i="82"/>
  <c r="O40" i="82" s="1"/>
  <c r="L40" i="82"/>
  <c r="M40" i="82" s="1"/>
  <c r="N39" i="82"/>
  <c r="O39" i="82" s="1"/>
  <c r="L39" i="82"/>
  <c r="P39" i="82" s="1"/>
  <c r="N38" i="82"/>
  <c r="O38" i="82" s="1"/>
  <c r="L38" i="82"/>
  <c r="P38" i="82" s="1"/>
  <c r="L37" i="82"/>
  <c r="P37" i="82" s="1"/>
  <c r="N36" i="82"/>
  <c r="O36" i="82" s="1"/>
  <c r="L36" i="82"/>
  <c r="P36" i="82" s="1"/>
  <c r="N35" i="82"/>
  <c r="O35" i="82" s="1"/>
  <c r="L35" i="82"/>
  <c r="P35" i="82" s="1"/>
  <c r="N34" i="82"/>
  <c r="O34" i="82" s="1"/>
  <c r="L34" i="82"/>
  <c r="P34" i="82" s="1"/>
  <c r="L33" i="82"/>
  <c r="P33" i="82" s="1"/>
  <c r="N32" i="82"/>
  <c r="O32" i="82" s="1"/>
  <c r="L32" i="82"/>
  <c r="P32" i="82" s="1"/>
  <c r="N31" i="82"/>
  <c r="O31" i="82" s="1"/>
  <c r="L31" i="82"/>
  <c r="P31" i="82" s="1"/>
  <c r="N30" i="82"/>
  <c r="O30" i="82" s="1"/>
  <c r="L30" i="82"/>
  <c r="P30" i="82" s="1"/>
  <c r="N29" i="82"/>
  <c r="O29" i="82" s="1"/>
  <c r="L29" i="82"/>
  <c r="P29" i="82" s="1"/>
  <c r="L28" i="82"/>
  <c r="N27" i="82"/>
  <c r="O27" i="82" s="1"/>
  <c r="L27" i="82"/>
  <c r="P27" i="82" s="1"/>
  <c r="N26" i="82"/>
  <c r="O26" i="82" s="1"/>
  <c r="L26" i="82"/>
  <c r="P26" i="82" s="1"/>
  <c r="L25" i="82"/>
  <c r="P25" i="82" s="1"/>
  <c r="N24" i="82"/>
  <c r="O24" i="82" s="1"/>
  <c r="L24" i="82"/>
  <c r="P24" i="82" s="1"/>
  <c r="L23" i="82"/>
  <c r="P23" i="82" s="1"/>
  <c r="N22" i="82"/>
  <c r="O22" i="82" s="1"/>
  <c r="L22" i="82"/>
  <c r="P22" i="82" s="1"/>
  <c r="N20" i="82"/>
  <c r="O20" i="82" s="1"/>
  <c r="L20" i="82"/>
  <c r="P20" i="82" s="1"/>
  <c r="L19" i="82"/>
  <c r="P19" i="82" s="1"/>
  <c r="N18" i="82"/>
  <c r="O18" i="82" s="1"/>
  <c r="L18" i="82"/>
  <c r="P18" i="82" s="1"/>
  <c r="L17" i="82"/>
  <c r="P17" i="82" s="1"/>
  <c r="N16" i="82"/>
  <c r="L16" i="82"/>
  <c r="L15" i="82"/>
  <c r="P15" i="82" s="1"/>
  <c r="N14" i="82"/>
  <c r="O14" i="82" s="1"/>
  <c r="L14" i="82"/>
  <c r="P14" i="82" s="1"/>
  <c r="N13" i="82"/>
  <c r="O13" i="82" s="1"/>
  <c r="L13" i="82"/>
  <c r="P13" i="82" s="1"/>
  <c r="N12" i="82"/>
  <c r="O12" i="82" s="1"/>
  <c r="L12" i="82"/>
  <c r="P12" i="82" s="1"/>
  <c r="L11" i="82"/>
  <c r="P11" i="82" s="1"/>
  <c r="N10" i="82"/>
  <c r="O10" i="82" s="1"/>
  <c r="L10" i="82"/>
  <c r="P10" i="82" s="1"/>
  <c r="N9" i="82"/>
  <c r="L9" i="82"/>
  <c r="P9" i="82" s="1"/>
  <c r="N8" i="82"/>
  <c r="O8" i="82" s="1"/>
  <c r="L8" i="82"/>
  <c r="P8" i="82" s="1"/>
  <c r="N7" i="82"/>
  <c r="O7" i="82" s="1"/>
  <c r="L7" i="82"/>
  <c r="P7" i="82" s="1"/>
  <c r="N6" i="82"/>
  <c r="O6" i="82" s="1"/>
  <c r="L6" i="82"/>
  <c r="P6" i="82" s="1"/>
  <c r="N5" i="82"/>
  <c r="O5" i="82" s="1"/>
  <c r="L5" i="82"/>
  <c r="P5" i="82" s="1"/>
  <c r="N4" i="82"/>
  <c r="O4" i="82" s="1"/>
  <c r="L4" i="82"/>
  <c r="P4" i="82" s="1"/>
  <c r="N3" i="82"/>
  <c r="O3" i="82" s="1"/>
  <c r="L3" i="82"/>
  <c r="P3" i="82" s="1"/>
  <c r="N2" i="82"/>
  <c r="O2" i="82" s="1"/>
  <c r="L2" i="82"/>
  <c r="N78" i="83"/>
  <c r="O78" i="83" s="1"/>
  <c r="L78" i="83"/>
  <c r="M78" i="83" s="1"/>
  <c r="N77" i="83"/>
  <c r="O77" i="83" s="1"/>
  <c r="L77" i="83"/>
  <c r="M77" i="83" s="1"/>
  <c r="N76" i="83"/>
  <c r="O76" i="83" s="1"/>
  <c r="L76" i="83"/>
  <c r="M76" i="83" s="1"/>
  <c r="N75" i="83"/>
  <c r="O75" i="83" s="1"/>
  <c r="L75" i="83"/>
  <c r="M75" i="83" s="1"/>
  <c r="N74" i="83"/>
  <c r="O74" i="83" s="1"/>
  <c r="L74" i="83"/>
  <c r="M74" i="83" s="1"/>
  <c r="N73" i="83"/>
  <c r="O73" i="83" s="1"/>
  <c r="L73" i="83"/>
  <c r="M73" i="83" s="1"/>
  <c r="N72" i="83"/>
  <c r="O72" i="83" s="1"/>
  <c r="L72" i="83"/>
  <c r="M72" i="83" s="1"/>
  <c r="N71" i="83"/>
  <c r="O71" i="83" s="1"/>
  <c r="L71" i="83"/>
  <c r="M71" i="83" s="1"/>
  <c r="N70" i="83"/>
  <c r="O70" i="83" s="1"/>
  <c r="L70" i="83"/>
  <c r="M70" i="83" s="1"/>
  <c r="N69" i="83"/>
  <c r="O69" i="83" s="1"/>
  <c r="L69" i="83"/>
  <c r="M69" i="83" s="1"/>
  <c r="N68" i="83"/>
  <c r="O68" i="83" s="1"/>
  <c r="L68" i="83"/>
  <c r="M68" i="83" s="1"/>
  <c r="N67" i="83"/>
  <c r="O67" i="83" s="1"/>
  <c r="L67" i="83"/>
  <c r="M67" i="83" s="1"/>
  <c r="N66" i="83"/>
  <c r="O66" i="83" s="1"/>
  <c r="L66" i="83"/>
  <c r="N65" i="83"/>
  <c r="O65" i="83" s="1"/>
  <c r="L65" i="83"/>
  <c r="N64" i="83"/>
  <c r="O64" i="83" s="1"/>
  <c r="L64" i="83"/>
  <c r="N63" i="83"/>
  <c r="O63" i="83" s="1"/>
  <c r="L63" i="83"/>
  <c r="N62" i="83"/>
  <c r="O62" i="83" s="1"/>
  <c r="L62" i="83"/>
  <c r="N61" i="83"/>
  <c r="O61" i="83" s="1"/>
  <c r="L61" i="83"/>
  <c r="N60" i="83"/>
  <c r="O60" i="83" s="1"/>
  <c r="L60" i="83"/>
  <c r="N59" i="83"/>
  <c r="O59" i="83" s="1"/>
  <c r="L59" i="83"/>
  <c r="N58" i="83"/>
  <c r="O58" i="83" s="1"/>
  <c r="L58" i="83"/>
  <c r="N57" i="83"/>
  <c r="O57" i="83" s="1"/>
  <c r="L57" i="83"/>
  <c r="N56" i="83"/>
  <c r="O56" i="83" s="1"/>
  <c r="L56" i="83"/>
  <c r="N55" i="83"/>
  <c r="O55" i="83" s="1"/>
  <c r="L55" i="83"/>
  <c r="P55" i="83" s="1"/>
  <c r="N54" i="83"/>
  <c r="O54" i="83" s="1"/>
  <c r="L54" i="83"/>
  <c r="N53" i="83"/>
  <c r="O53" i="83" s="1"/>
  <c r="L53" i="83"/>
  <c r="N52" i="83"/>
  <c r="O52" i="83" s="1"/>
  <c r="L52" i="83"/>
  <c r="N51" i="83"/>
  <c r="O51" i="83" s="1"/>
  <c r="L51" i="83"/>
  <c r="N50" i="83"/>
  <c r="O50" i="83" s="1"/>
  <c r="L50" i="83"/>
  <c r="N49" i="83"/>
  <c r="O49" i="83" s="1"/>
  <c r="L49" i="83"/>
  <c r="N48" i="83"/>
  <c r="O48" i="83" s="1"/>
  <c r="L48" i="83"/>
  <c r="N47" i="83"/>
  <c r="O47" i="83" s="1"/>
  <c r="L47" i="83"/>
  <c r="N46" i="83"/>
  <c r="O46" i="83" s="1"/>
  <c r="L46" i="83"/>
  <c r="N45" i="83"/>
  <c r="O45" i="83" s="1"/>
  <c r="L45" i="83"/>
  <c r="N44" i="83"/>
  <c r="O44" i="83" s="1"/>
  <c r="L44" i="83"/>
  <c r="N43" i="83"/>
  <c r="O43" i="83" s="1"/>
  <c r="L43" i="83"/>
  <c r="N42" i="83"/>
  <c r="O42" i="83" s="1"/>
  <c r="L42" i="83"/>
  <c r="N41" i="83"/>
  <c r="O41" i="83" s="1"/>
  <c r="L41" i="83"/>
  <c r="N40" i="83"/>
  <c r="O40" i="83" s="1"/>
  <c r="L40" i="83"/>
  <c r="N39" i="83"/>
  <c r="O39" i="83" s="1"/>
  <c r="L39" i="83"/>
  <c r="N38" i="83"/>
  <c r="O38" i="83" s="1"/>
  <c r="L38" i="83"/>
  <c r="N37" i="83"/>
  <c r="O37" i="83" s="1"/>
  <c r="L37" i="83"/>
  <c r="N36" i="83"/>
  <c r="O36" i="83" s="1"/>
  <c r="L36" i="83"/>
  <c r="N35" i="83"/>
  <c r="O35" i="83" s="1"/>
  <c r="L35" i="83"/>
  <c r="P35" i="83" s="1"/>
  <c r="N34" i="83"/>
  <c r="O34" i="83" s="1"/>
  <c r="L34" i="83"/>
  <c r="P34" i="83" s="1"/>
  <c r="N33" i="83"/>
  <c r="O33" i="83" s="1"/>
  <c r="L33" i="83"/>
  <c r="P33" i="83" s="1"/>
  <c r="N32" i="83"/>
  <c r="O32" i="83" s="1"/>
  <c r="L32" i="83"/>
  <c r="P32" i="83" s="1"/>
  <c r="N31" i="83"/>
  <c r="O31" i="83" s="1"/>
  <c r="L31" i="83"/>
  <c r="P31" i="83" s="1"/>
  <c r="L30" i="83"/>
  <c r="P30" i="83" s="1"/>
  <c r="N29" i="83"/>
  <c r="O29" i="83" s="1"/>
  <c r="L29" i="83"/>
  <c r="P29" i="83" s="1"/>
  <c r="N28" i="83"/>
  <c r="L28" i="83"/>
  <c r="N27" i="83"/>
  <c r="O27" i="83" s="1"/>
  <c r="L27" i="83"/>
  <c r="P27" i="83" s="1"/>
  <c r="L26" i="83"/>
  <c r="L25" i="83"/>
  <c r="P25" i="83" s="1"/>
  <c r="L24" i="83"/>
  <c r="P24" i="83" s="1"/>
  <c r="N23" i="83"/>
  <c r="O23" i="83" s="1"/>
  <c r="L23" i="83"/>
  <c r="P23" i="83" s="1"/>
  <c r="N22" i="83"/>
  <c r="O22" i="83" s="1"/>
  <c r="L22" i="83"/>
  <c r="P22" i="83" s="1"/>
  <c r="L21" i="83"/>
  <c r="N20" i="83"/>
  <c r="O20" i="83" s="1"/>
  <c r="L20" i="83"/>
  <c r="P20" i="83" s="1"/>
  <c r="N19" i="83"/>
  <c r="L19" i="83"/>
  <c r="P19" i="83" s="1"/>
  <c r="L18" i="83"/>
  <c r="P18" i="83" s="1"/>
  <c r="L17" i="83"/>
  <c r="P17" i="83" s="1"/>
  <c r="L16" i="83"/>
  <c r="P16" i="83" s="1"/>
  <c r="L15" i="83"/>
  <c r="L14" i="83"/>
  <c r="N13" i="83"/>
  <c r="L13" i="83"/>
  <c r="P13" i="83" s="1"/>
  <c r="L12" i="83"/>
  <c r="L11" i="83"/>
  <c r="P11" i="83" s="1"/>
  <c r="L10" i="83"/>
  <c r="P10" i="83" s="1"/>
  <c r="L9" i="83"/>
  <c r="P9" i="83" s="1"/>
  <c r="L8" i="83"/>
  <c r="P8" i="83" s="1"/>
  <c r="N7" i="83"/>
  <c r="O7" i="83" s="1"/>
  <c r="L7" i="83"/>
  <c r="P7" i="83" s="1"/>
  <c r="L6" i="83"/>
  <c r="P6" i="83" s="1"/>
  <c r="N5" i="83"/>
  <c r="O5" i="83" s="1"/>
  <c r="L5" i="83"/>
  <c r="P5" i="83" s="1"/>
  <c r="N4" i="83"/>
  <c r="O4" i="83" s="1"/>
  <c r="L4" i="83"/>
  <c r="P4" i="83" s="1"/>
  <c r="N3" i="83"/>
  <c r="O3" i="83" s="1"/>
  <c r="L3" i="83"/>
  <c r="P3" i="83" s="1"/>
  <c r="N2" i="83"/>
  <c r="O2" i="83" s="1"/>
  <c r="L2" i="83"/>
  <c r="N80" i="84"/>
  <c r="O80" i="84" s="1"/>
  <c r="L80" i="84"/>
  <c r="M80" i="84" s="1"/>
  <c r="N79" i="84"/>
  <c r="O79" i="84" s="1"/>
  <c r="L79" i="84"/>
  <c r="M79" i="84" s="1"/>
  <c r="N78" i="84"/>
  <c r="O78" i="84" s="1"/>
  <c r="L78" i="84"/>
  <c r="M78" i="84" s="1"/>
  <c r="N77" i="84"/>
  <c r="O77" i="84" s="1"/>
  <c r="L77" i="84"/>
  <c r="M77" i="84" s="1"/>
  <c r="N76" i="84"/>
  <c r="O76" i="84" s="1"/>
  <c r="L76" i="84"/>
  <c r="M76" i="84" s="1"/>
  <c r="N75" i="84"/>
  <c r="O75" i="84" s="1"/>
  <c r="L75" i="84"/>
  <c r="M75" i="84" s="1"/>
  <c r="N74" i="84"/>
  <c r="O74" i="84" s="1"/>
  <c r="L74" i="84"/>
  <c r="M74" i="84" s="1"/>
  <c r="N73" i="84"/>
  <c r="O73" i="84" s="1"/>
  <c r="L73" i="84"/>
  <c r="M73" i="84" s="1"/>
  <c r="N72" i="84"/>
  <c r="O72" i="84" s="1"/>
  <c r="L72" i="84"/>
  <c r="M72" i="84" s="1"/>
  <c r="N71" i="84"/>
  <c r="O71" i="84" s="1"/>
  <c r="L71" i="84"/>
  <c r="M71" i="84" s="1"/>
  <c r="N70" i="84"/>
  <c r="O70" i="84" s="1"/>
  <c r="L70" i="84"/>
  <c r="M70" i="84" s="1"/>
  <c r="N69" i="84"/>
  <c r="L69" i="84"/>
  <c r="M69" i="84" s="1"/>
  <c r="N68" i="84"/>
  <c r="O68" i="84" s="1"/>
  <c r="L68" i="84"/>
  <c r="M68" i="84" s="1"/>
  <c r="N67" i="84"/>
  <c r="O67" i="84" s="1"/>
  <c r="L67" i="84"/>
  <c r="M67" i="84" s="1"/>
  <c r="N66" i="84"/>
  <c r="O66" i="84" s="1"/>
  <c r="L66" i="84"/>
  <c r="M66" i="84" s="1"/>
  <c r="N65" i="84"/>
  <c r="O65" i="84" s="1"/>
  <c r="L65" i="84"/>
  <c r="M65" i="84" s="1"/>
  <c r="N64" i="84"/>
  <c r="O64" i="84" s="1"/>
  <c r="L64" i="84"/>
  <c r="M64" i="84" s="1"/>
  <c r="N63" i="84"/>
  <c r="L63" i="84"/>
  <c r="N62" i="84"/>
  <c r="O62" i="84" s="1"/>
  <c r="L62" i="84"/>
  <c r="M62" i="84" s="1"/>
  <c r="N61" i="84"/>
  <c r="O61" i="84" s="1"/>
  <c r="L61" i="84"/>
  <c r="M61" i="84" s="1"/>
  <c r="N60" i="84"/>
  <c r="O60" i="84" s="1"/>
  <c r="L60" i="84"/>
  <c r="M60" i="84" s="1"/>
  <c r="N59" i="84"/>
  <c r="O59" i="84" s="1"/>
  <c r="L59" i="84"/>
  <c r="M59" i="84" s="1"/>
  <c r="L58" i="84"/>
  <c r="M58" i="84" s="1"/>
  <c r="N57" i="84"/>
  <c r="O57" i="84" s="1"/>
  <c r="L57" i="84"/>
  <c r="M57" i="84" s="1"/>
  <c r="N56" i="84"/>
  <c r="O56" i="84" s="1"/>
  <c r="L56" i="84"/>
  <c r="M56" i="84" s="1"/>
  <c r="N55" i="84"/>
  <c r="O55" i="84" s="1"/>
  <c r="L55" i="84"/>
  <c r="M55" i="84" s="1"/>
  <c r="L54" i="84"/>
  <c r="M54" i="84" s="1"/>
  <c r="L53" i="84"/>
  <c r="P53" i="84" s="1"/>
  <c r="N52" i="84"/>
  <c r="O52" i="84" s="1"/>
  <c r="L52" i="84"/>
  <c r="P52" i="84" s="1"/>
  <c r="N51" i="84"/>
  <c r="O51" i="84" s="1"/>
  <c r="L51" i="84"/>
  <c r="P51" i="84" s="1"/>
  <c r="N50" i="84"/>
  <c r="O50" i="84" s="1"/>
  <c r="L50" i="84"/>
  <c r="P50" i="84" s="1"/>
  <c r="N49" i="84"/>
  <c r="O49" i="84" s="1"/>
  <c r="L49" i="84"/>
  <c r="P49" i="84" s="1"/>
  <c r="N48" i="84"/>
  <c r="O48" i="84" s="1"/>
  <c r="L48" i="84"/>
  <c r="P48" i="84" s="1"/>
  <c r="N47" i="84"/>
  <c r="O47" i="84" s="1"/>
  <c r="L47" i="84"/>
  <c r="P47" i="84" s="1"/>
  <c r="N46" i="84"/>
  <c r="O46" i="84" s="1"/>
  <c r="L46" i="84"/>
  <c r="P46" i="84" s="1"/>
  <c r="N45" i="84"/>
  <c r="O45" i="84" s="1"/>
  <c r="L45" i="84"/>
  <c r="P45" i="84" s="1"/>
  <c r="L44" i="84"/>
  <c r="M44" i="84" s="1"/>
  <c r="N43" i="84"/>
  <c r="L43" i="84"/>
  <c r="P43" i="84" s="1"/>
  <c r="N42" i="84"/>
  <c r="O42" i="84" s="1"/>
  <c r="L42" i="84"/>
  <c r="P42" i="84" s="1"/>
  <c r="N41" i="84"/>
  <c r="O41" i="84" s="1"/>
  <c r="L41" i="84"/>
  <c r="P41" i="84" s="1"/>
  <c r="N39" i="84"/>
  <c r="O39" i="84" s="1"/>
  <c r="L39" i="84"/>
  <c r="P39" i="84" s="1"/>
  <c r="N38" i="84"/>
  <c r="O38" i="84" s="1"/>
  <c r="L38" i="84"/>
  <c r="P38" i="84" s="1"/>
  <c r="N37" i="84"/>
  <c r="O37" i="84" s="1"/>
  <c r="L37" i="84"/>
  <c r="P37" i="84" s="1"/>
  <c r="L36" i="84"/>
  <c r="N35" i="84"/>
  <c r="O35" i="84" s="1"/>
  <c r="L35" i="84"/>
  <c r="P35" i="84" s="1"/>
  <c r="N34" i="84"/>
  <c r="O34" i="84" s="1"/>
  <c r="L34" i="84"/>
  <c r="P34" i="84" s="1"/>
  <c r="N33" i="84"/>
  <c r="O33" i="84" s="1"/>
  <c r="L33" i="84"/>
  <c r="P33" i="84" s="1"/>
  <c r="N32" i="84"/>
  <c r="L32" i="84"/>
  <c r="P32" i="84" s="1"/>
  <c r="N31" i="84"/>
  <c r="O31" i="84" s="1"/>
  <c r="L31" i="84"/>
  <c r="P31" i="84" s="1"/>
  <c r="L30" i="84"/>
  <c r="P30" i="84" s="1"/>
  <c r="L29" i="84"/>
  <c r="P29" i="84" s="1"/>
  <c r="N28" i="84"/>
  <c r="O28" i="84" s="1"/>
  <c r="L28" i="84"/>
  <c r="P28" i="84" s="1"/>
  <c r="L27" i="84"/>
  <c r="P27" i="84" s="1"/>
  <c r="N26" i="84"/>
  <c r="O26" i="84" s="1"/>
  <c r="L26" i="84"/>
  <c r="P26" i="84" s="1"/>
  <c r="N25" i="84"/>
  <c r="O25" i="84" s="1"/>
  <c r="L25" i="84"/>
  <c r="P25" i="84" s="1"/>
  <c r="L24" i="84"/>
  <c r="N23" i="84"/>
  <c r="O23" i="84" s="1"/>
  <c r="L23" i="84"/>
  <c r="P23" i="84" s="1"/>
  <c r="N22" i="84"/>
  <c r="O22" i="84" s="1"/>
  <c r="L22" i="84"/>
  <c r="P22" i="84" s="1"/>
  <c r="L21" i="84"/>
  <c r="P21" i="84" s="1"/>
  <c r="N20" i="84"/>
  <c r="O20" i="84" s="1"/>
  <c r="L20" i="84"/>
  <c r="P20" i="84" s="1"/>
  <c r="N19" i="84"/>
  <c r="O19" i="84" s="1"/>
  <c r="L19" i="84"/>
  <c r="P19" i="84" s="1"/>
  <c r="N18" i="84"/>
  <c r="O18" i="84" s="1"/>
  <c r="L18" i="84"/>
  <c r="P18" i="84" s="1"/>
  <c r="L17" i="84"/>
  <c r="N16" i="84"/>
  <c r="O16" i="84" s="1"/>
  <c r="L16" i="84"/>
  <c r="P16" i="84" s="1"/>
  <c r="N15" i="84"/>
  <c r="O15" i="84" s="1"/>
  <c r="L15" i="84"/>
  <c r="P15" i="84" s="1"/>
  <c r="N14" i="84"/>
  <c r="O14" i="84" s="1"/>
  <c r="L14" i="84"/>
  <c r="P14" i="84" s="1"/>
  <c r="N13" i="84"/>
  <c r="O13" i="84" s="1"/>
  <c r="L13" i="84"/>
  <c r="P13" i="84" s="1"/>
  <c r="N12" i="84"/>
  <c r="O12" i="84" s="1"/>
  <c r="L12" i="84"/>
  <c r="P12" i="84" s="1"/>
  <c r="N11" i="84"/>
  <c r="O11" i="84" s="1"/>
  <c r="L11" i="84"/>
  <c r="P11" i="84" s="1"/>
  <c r="N10" i="84"/>
  <c r="O10" i="84" s="1"/>
  <c r="L10" i="84"/>
  <c r="P10" i="84" s="1"/>
  <c r="N9" i="84"/>
  <c r="O9" i="84" s="1"/>
  <c r="L9" i="84"/>
  <c r="P9" i="84" s="1"/>
  <c r="N8" i="84"/>
  <c r="O8" i="84" s="1"/>
  <c r="L8" i="84"/>
  <c r="P8" i="84" s="1"/>
  <c r="L7" i="84"/>
  <c r="P7" i="84" s="1"/>
  <c r="N6" i="84"/>
  <c r="O6" i="84" s="1"/>
  <c r="L6" i="84"/>
  <c r="P6" i="84" s="1"/>
  <c r="N5" i="84"/>
  <c r="O5" i="84" s="1"/>
  <c r="L5" i="84"/>
  <c r="P5" i="84" s="1"/>
  <c r="N4" i="84"/>
  <c r="O4" i="84" s="1"/>
  <c r="L4" i="84"/>
  <c r="P4" i="84" s="1"/>
  <c r="N3" i="84"/>
  <c r="O3" i="84" s="1"/>
  <c r="L3" i="84"/>
  <c r="P3" i="84" s="1"/>
  <c r="N2" i="84"/>
  <c r="O2" i="84" s="1"/>
  <c r="L2" i="84"/>
  <c r="N79" i="85"/>
  <c r="O79" i="85" s="1"/>
  <c r="L79" i="85"/>
  <c r="M79" i="85" s="1"/>
  <c r="N78" i="85"/>
  <c r="O78" i="85" s="1"/>
  <c r="L78" i="85"/>
  <c r="M78" i="85" s="1"/>
  <c r="N77" i="85"/>
  <c r="O77" i="85" s="1"/>
  <c r="L77" i="85"/>
  <c r="M77" i="85" s="1"/>
  <c r="N76" i="85"/>
  <c r="O76" i="85" s="1"/>
  <c r="L76" i="85"/>
  <c r="M76" i="85" s="1"/>
  <c r="N75" i="85"/>
  <c r="O75" i="85" s="1"/>
  <c r="L75" i="85"/>
  <c r="M75" i="85" s="1"/>
  <c r="N74" i="85"/>
  <c r="O74" i="85" s="1"/>
  <c r="L74" i="85"/>
  <c r="M74" i="85" s="1"/>
  <c r="N73" i="85"/>
  <c r="O73" i="85" s="1"/>
  <c r="L73" i="85"/>
  <c r="M73" i="85" s="1"/>
  <c r="N72" i="85"/>
  <c r="O72" i="85" s="1"/>
  <c r="L72" i="85"/>
  <c r="M72" i="85" s="1"/>
  <c r="N71" i="85"/>
  <c r="O71" i="85" s="1"/>
  <c r="L71" i="85"/>
  <c r="M71" i="85" s="1"/>
  <c r="N70" i="85"/>
  <c r="O70" i="85" s="1"/>
  <c r="L70" i="85"/>
  <c r="M70" i="85" s="1"/>
  <c r="N69" i="85"/>
  <c r="O69" i="85" s="1"/>
  <c r="L69" i="85"/>
  <c r="M69" i="85" s="1"/>
  <c r="N68" i="85"/>
  <c r="O68" i="85" s="1"/>
  <c r="L68" i="85"/>
  <c r="M68" i="85" s="1"/>
  <c r="N67" i="85"/>
  <c r="O67" i="85" s="1"/>
  <c r="L67" i="85"/>
  <c r="M67" i="85" s="1"/>
  <c r="N66" i="85"/>
  <c r="O66" i="85" s="1"/>
  <c r="L66" i="85"/>
  <c r="N65" i="85"/>
  <c r="L65" i="85"/>
  <c r="N64" i="85"/>
  <c r="O64" i="85" s="1"/>
  <c r="L64" i="85"/>
  <c r="N63" i="85"/>
  <c r="O63" i="85" s="1"/>
  <c r="L63" i="85"/>
  <c r="N62" i="85"/>
  <c r="O62" i="85" s="1"/>
  <c r="L62" i="85"/>
  <c r="M62" i="85" s="1"/>
  <c r="N61" i="85"/>
  <c r="O61" i="85" s="1"/>
  <c r="L61" i="85"/>
  <c r="M61" i="85" s="1"/>
  <c r="N60" i="85"/>
  <c r="O60" i="85" s="1"/>
  <c r="L60" i="85"/>
  <c r="N59" i="85"/>
  <c r="O59" i="85" s="1"/>
  <c r="L59" i="85"/>
  <c r="N58" i="85"/>
  <c r="O58" i="85" s="1"/>
  <c r="L58" i="85"/>
  <c r="N57" i="85"/>
  <c r="O57" i="85" s="1"/>
  <c r="L57" i="85"/>
  <c r="P57" i="85" s="1"/>
  <c r="N56" i="85"/>
  <c r="O56" i="85" s="1"/>
  <c r="L56" i="85"/>
  <c r="N55" i="85"/>
  <c r="O55" i="85" s="1"/>
  <c r="L55" i="85"/>
  <c r="N54" i="85"/>
  <c r="O54" i="85" s="1"/>
  <c r="L54" i="85"/>
  <c r="N53" i="85"/>
  <c r="O53" i="85" s="1"/>
  <c r="L53" i="85"/>
  <c r="N52" i="85"/>
  <c r="O52" i="85" s="1"/>
  <c r="L52" i="85"/>
  <c r="N51" i="85"/>
  <c r="O51" i="85" s="1"/>
  <c r="L51" i="85"/>
  <c r="N50" i="85"/>
  <c r="O50" i="85" s="1"/>
  <c r="L50" i="85"/>
  <c r="N49" i="85"/>
  <c r="O49" i="85" s="1"/>
  <c r="L49" i="85"/>
  <c r="N48" i="85"/>
  <c r="O48" i="85" s="1"/>
  <c r="L48" i="85"/>
  <c r="N47" i="85"/>
  <c r="O47" i="85" s="1"/>
  <c r="L47" i="85"/>
  <c r="N46" i="85"/>
  <c r="O46" i="85" s="1"/>
  <c r="L46" i="85"/>
  <c r="N45" i="85"/>
  <c r="L45" i="85"/>
  <c r="P45" i="85" s="1"/>
  <c r="N44" i="85"/>
  <c r="O44" i="85" s="1"/>
  <c r="L44" i="85"/>
  <c r="N43" i="85"/>
  <c r="O43" i="85" s="1"/>
  <c r="L43" i="85"/>
  <c r="N42" i="85"/>
  <c r="O42" i="85" s="1"/>
  <c r="L42" i="85"/>
  <c r="N41" i="85"/>
  <c r="O41" i="85" s="1"/>
  <c r="L41" i="85"/>
  <c r="N40" i="85"/>
  <c r="O40" i="85" s="1"/>
  <c r="L40" i="85"/>
  <c r="L39" i="85"/>
  <c r="L38" i="85"/>
  <c r="L37" i="85"/>
  <c r="N36" i="85"/>
  <c r="O36" i="85" s="1"/>
  <c r="L36" i="85"/>
  <c r="N35" i="85"/>
  <c r="L35" i="85"/>
  <c r="N34" i="85"/>
  <c r="O34" i="85" s="1"/>
  <c r="L34" i="85"/>
  <c r="N33" i="85"/>
  <c r="O33" i="85" s="1"/>
  <c r="L33" i="85"/>
  <c r="N32" i="85"/>
  <c r="L32" i="85"/>
  <c r="L31" i="85"/>
  <c r="N30" i="85"/>
  <c r="O30" i="85" s="1"/>
  <c r="L30" i="85"/>
  <c r="N29" i="85"/>
  <c r="O29" i="85" s="1"/>
  <c r="L29" i="85"/>
  <c r="P29" i="85" s="1"/>
  <c r="N28" i="85"/>
  <c r="O28" i="85" s="1"/>
  <c r="L28" i="85"/>
  <c r="P28" i="85" s="1"/>
  <c r="L27" i="85"/>
  <c r="P27" i="85" s="1"/>
  <c r="N26" i="85"/>
  <c r="O26" i="85" s="1"/>
  <c r="L26" i="85"/>
  <c r="P26" i="85" s="1"/>
  <c r="N25" i="85"/>
  <c r="O25" i="85" s="1"/>
  <c r="L25" i="85"/>
  <c r="P25" i="85" s="1"/>
  <c r="L24" i="85"/>
  <c r="P24" i="85" s="1"/>
  <c r="N23" i="85"/>
  <c r="O23" i="85" s="1"/>
  <c r="L23" i="85"/>
  <c r="P23" i="85" s="1"/>
  <c r="N22" i="85"/>
  <c r="O22" i="85" s="1"/>
  <c r="L22" i="85"/>
  <c r="P22" i="85" s="1"/>
  <c r="L21" i="85"/>
  <c r="N20" i="85"/>
  <c r="O20" i="85" s="1"/>
  <c r="L20" i="85"/>
  <c r="P20" i="85" s="1"/>
  <c r="N19" i="85"/>
  <c r="O19" i="85" s="1"/>
  <c r="L19" i="85"/>
  <c r="P19" i="85" s="1"/>
  <c r="N18" i="85"/>
  <c r="O18" i="85" s="1"/>
  <c r="L18" i="85"/>
  <c r="P18" i="85" s="1"/>
  <c r="L17" i="85"/>
  <c r="N16" i="85"/>
  <c r="O16" i="85" s="1"/>
  <c r="L16" i="85"/>
  <c r="P16" i="85" s="1"/>
  <c r="N15" i="85"/>
  <c r="O15" i="85" s="1"/>
  <c r="L15" i="85"/>
  <c r="P15" i="85" s="1"/>
  <c r="L14" i="85"/>
  <c r="P14" i="85" s="1"/>
  <c r="N13" i="85"/>
  <c r="O13" i="85" s="1"/>
  <c r="L13" i="85"/>
  <c r="P13" i="85" s="1"/>
  <c r="L12" i="85"/>
  <c r="N11" i="85"/>
  <c r="L11" i="85"/>
  <c r="P11" i="85" s="1"/>
  <c r="N9" i="85"/>
  <c r="O9" i="85" s="1"/>
  <c r="L9" i="85"/>
  <c r="P9" i="85" s="1"/>
  <c r="N8" i="85"/>
  <c r="L8" i="85"/>
  <c r="P8" i="85" s="1"/>
  <c r="N7" i="85"/>
  <c r="O7" i="85" s="1"/>
  <c r="L7" i="85"/>
  <c r="P7" i="85" s="1"/>
  <c r="N6" i="85"/>
  <c r="L6" i="85"/>
  <c r="N5" i="85"/>
  <c r="O5" i="85" s="1"/>
  <c r="L5" i="85"/>
  <c r="P5" i="85" s="1"/>
  <c r="N4" i="85"/>
  <c r="O4" i="85" s="1"/>
  <c r="L4" i="85"/>
  <c r="P4" i="85" s="1"/>
  <c r="N3" i="85"/>
  <c r="O3" i="85" s="1"/>
  <c r="L3" i="85"/>
  <c r="P3" i="85" s="1"/>
  <c r="N2" i="85"/>
  <c r="O2" i="85" s="1"/>
  <c r="L2" i="85"/>
  <c r="N79" i="86"/>
  <c r="O79" i="86" s="1"/>
  <c r="L79" i="86"/>
  <c r="M79" i="86" s="1"/>
  <c r="N78" i="86"/>
  <c r="O78" i="86" s="1"/>
  <c r="L78" i="86"/>
  <c r="M78" i="86" s="1"/>
  <c r="N77" i="86"/>
  <c r="O77" i="86" s="1"/>
  <c r="L77" i="86"/>
  <c r="M77" i="86" s="1"/>
  <c r="N76" i="86"/>
  <c r="O76" i="86" s="1"/>
  <c r="L76" i="86"/>
  <c r="M76" i="86" s="1"/>
  <c r="N75" i="86"/>
  <c r="O75" i="86" s="1"/>
  <c r="L75" i="86"/>
  <c r="M75" i="86" s="1"/>
  <c r="N74" i="86"/>
  <c r="O74" i="86" s="1"/>
  <c r="L74" i="86"/>
  <c r="M74" i="86" s="1"/>
  <c r="N73" i="86"/>
  <c r="O73" i="86" s="1"/>
  <c r="L73" i="86"/>
  <c r="M73" i="86" s="1"/>
  <c r="N72" i="86"/>
  <c r="O72" i="86" s="1"/>
  <c r="L72" i="86"/>
  <c r="M72" i="86" s="1"/>
  <c r="N71" i="86"/>
  <c r="O71" i="86" s="1"/>
  <c r="L71" i="86"/>
  <c r="M71" i="86" s="1"/>
  <c r="N70" i="86"/>
  <c r="O70" i="86" s="1"/>
  <c r="L70" i="86"/>
  <c r="M70" i="86" s="1"/>
  <c r="N69" i="86"/>
  <c r="O69" i="86" s="1"/>
  <c r="L69" i="86"/>
  <c r="M69" i="86" s="1"/>
  <c r="N68" i="86"/>
  <c r="O68" i="86" s="1"/>
  <c r="L68" i="86"/>
  <c r="M68" i="86" s="1"/>
  <c r="N67" i="86"/>
  <c r="O67" i="86" s="1"/>
  <c r="L67" i="86"/>
  <c r="M67" i="86" s="1"/>
  <c r="N66" i="86"/>
  <c r="O66" i="86" s="1"/>
  <c r="L66" i="86"/>
  <c r="M66" i="86" s="1"/>
  <c r="N65" i="86"/>
  <c r="O65" i="86" s="1"/>
  <c r="L65" i="86"/>
  <c r="M65" i="86" s="1"/>
  <c r="N64" i="86"/>
  <c r="O64" i="86" s="1"/>
  <c r="L64" i="86"/>
  <c r="M64" i="86" s="1"/>
  <c r="N63" i="86"/>
  <c r="O63" i="86" s="1"/>
  <c r="L63" i="86"/>
  <c r="M63" i="86" s="1"/>
  <c r="N62" i="86"/>
  <c r="O62" i="86" s="1"/>
  <c r="L62" i="86"/>
  <c r="M62" i="86" s="1"/>
  <c r="N61" i="86"/>
  <c r="O61" i="86" s="1"/>
  <c r="L61" i="86"/>
  <c r="M61" i="86" s="1"/>
  <c r="N60" i="86"/>
  <c r="O60" i="86" s="1"/>
  <c r="L60" i="86"/>
  <c r="M60" i="86" s="1"/>
  <c r="N59" i="86"/>
  <c r="O59" i="86" s="1"/>
  <c r="L59" i="86"/>
  <c r="M59" i="86" s="1"/>
  <c r="N58" i="86"/>
  <c r="O58" i="86" s="1"/>
  <c r="L58" i="86"/>
  <c r="M58" i="86" s="1"/>
  <c r="N57" i="86"/>
  <c r="O57" i="86" s="1"/>
  <c r="L57" i="86"/>
  <c r="M57" i="86" s="1"/>
  <c r="N56" i="86"/>
  <c r="O56" i="86" s="1"/>
  <c r="L56" i="86"/>
  <c r="M56" i="86" s="1"/>
  <c r="N55" i="86"/>
  <c r="O55" i="86" s="1"/>
  <c r="L55" i="86"/>
  <c r="M55" i="86" s="1"/>
  <c r="N54" i="86"/>
  <c r="O54" i="86" s="1"/>
  <c r="L54" i="86"/>
  <c r="M54" i="86" s="1"/>
  <c r="L53" i="86"/>
  <c r="M53" i="86" s="1"/>
  <c r="N52" i="86"/>
  <c r="L52" i="86"/>
  <c r="M52" i="86" s="1"/>
  <c r="N51" i="86"/>
  <c r="O51" i="86" s="1"/>
  <c r="L51" i="86"/>
  <c r="M51" i="86" s="1"/>
  <c r="N50" i="86"/>
  <c r="O50" i="86" s="1"/>
  <c r="L50" i="86"/>
  <c r="M50" i="86" s="1"/>
  <c r="N49" i="86"/>
  <c r="O49" i="86" s="1"/>
  <c r="L49" i="86"/>
  <c r="M49" i="86" s="1"/>
  <c r="N48" i="86"/>
  <c r="O48" i="86" s="1"/>
  <c r="L48" i="86"/>
  <c r="M48" i="86" s="1"/>
  <c r="N47" i="86"/>
  <c r="O47" i="86" s="1"/>
  <c r="L47" i="86"/>
  <c r="M47" i="86" s="1"/>
  <c r="N46" i="86"/>
  <c r="O46" i="86" s="1"/>
  <c r="L46" i="86"/>
  <c r="M46" i="86" s="1"/>
  <c r="N45" i="86"/>
  <c r="O45" i="86" s="1"/>
  <c r="L45" i="86"/>
  <c r="M45" i="86" s="1"/>
  <c r="N44" i="86"/>
  <c r="O44" i="86" s="1"/>
  <c r="L44" i="86"/>
  <c r="M44" i="86" s="1"/>
  <c r="N43" i="86"/>
  <c r="O43" i="86" s="1"/>
  <c r="L43" i="86"/>
  <c r="M43" i="86" s="1"/>
  <c r="N42" i="86"/>
  <c r="O42" i="86" s="1"/>
  <c r="L42" i="86"/>
  <c r="M42" i="86" s="1"/>
  <c r="N41" i="86"/>
  <c r="O41" i="86" s="1"/>
  <c r="L41" i="86"/>
  <c r="M41" i="86" s="1"/>
  <c r="N40" i="86"/>
  <c r="O40" i="86" s="1"/>
  <c r="L40" i="86"/>
  <c r="M40" i="86" s="1"/>
  <c r="N39" i="86"/>
  <c r="O39" i="86" s="1"/>
  <c r="L39" i="86"/>
  <c r="M39" i="86" s="1"/>
  <c r="N38" i="86"/>
  <c r="O38" i="86" s="1"/>
  <c r="L38" i="86"/>
  <c r="P38" i="86" s="1"/>
  <c r="N37" i="86"/>
  <c r="O37" i="86" s="1"/>
  <c r="L37" i="86"/>
  <c r="P37" i="86" s="1"/>
  <c r="N36" i="86"/>
  <c r="O36" i="86" s="1"/>
  <c r="L36" i="86"/>
  <c r="P36" i="86" s="1"/>
  <c r="N35" i="86"/>
  <c r="O35" i="86" s="1"/>
  <c r="L35" i="86"/>
  <c r="P35" i="86" s="1"/>
  <c r="N34" i="86"/>
  <c r="O34" i="86" s="1"/>
  <c r="L34" i="86"/>
  <c r="P34" i="86" s="1"/>
  <c r="N33" i="86"/>
  <c r="O33" i="86" s="1"/>
  <c r="L33" i="86"/>
  <c r="P33" i="86" s="1"/>
  <c r="N32" i="86"/>
  <c r="O32" i="86" s="1"/>
  <c r="L32" i="86"/>
  <c r="P32" i="86" s="1"/>
  <c r="N31" i="86"/>
  <c r="O31" i="86" s="1"/>
  <c r="L31" i="86"/>
  <c r="P31" i="86" s="1"/>
  <c r="N30" i="86"/>
  <c r="O30" i="86" s="1"/>
  <c r="L30" i="86"/>
  <c r="P30" i="86" s="1"/>
  <c r="L29" i="86"/>
  <c r="L28" i="86"/>
  <c r="N27" i="86"/>
  <c r="O27" i="86" s="1"/>
  <c r="L27" i="86"/>
  <c r="P27" i="86" s="1"/>
  <c r="N26" i="86"/>
  <c r="O26" i="86" s="1"/>
  <c r="L26" i="86"/>
  <c r="P26" i="86" s="1"/>
  <c r="L25" i="86"/>
  <c r="N24" i="86"/>
  <c r="O24" i="86" s="1"/>
  <c r="L24" i="86"/>
  <c r="P24" i="86" s="1"/>
  <c r="N23" i="86"/>
  <c r="O23" i="86" s="1"/>
  <c r="L23" i="86"/>
  <c r="P23" i="86" s="1"/>
  <c r="N22" i="86"/>
  <c r="O22" i="86" s="1"/>
  <c r="L22" i="86"/>
  <c r="P22" i="86" s="1"/>
  <c r="L21" i="86"/>
  <c r="P21" i="86" s="1"/>
  <c r="N20" i="86"/>
  <c r="O20" i="86" s="1"/>
  <c r="L20" i="86"/>
  <c r="P20" i="86" s="1"/>
  <c r="N19" i="86"/>
  <c r="O19" i="86" s="1"/>
  <c r="L19" i="86"/>
  <c r="P19" i="86" s="1"/>
  <c r="L18" i="86"/>
  <c r="N17" i="86"/>
  <c r="O17" i="86" s="1"/>
  <c r="L17" i="86"/>
  <c r="P17" i="86" s="1"/>
  <c r="L16" i="86"/>
  <c r="P16" i="86" s="1"/>
  <c r="N15" i="86"/>
  <c r="O15" i="86" s="1"/>
  <c r="L15" i="86"/>
  <c r="P15" i="86" s="1"/>
  <c r="N14" i="86"/>
  <c r="L14" i="86"/>
  <c r="P14" i="86" s="1"/>
  <c r="N13" i="86"/>
  <c r="O13" i="86" s="1"/>
  <c r="L13" i="86"/>
  <c r="P13" i="86" s="1"/>
  <c r="N12" i="86"/>
  <c r="O12" i="86" s="1"/>
  <c r="L12" i="86"/>
  <c r="P12" i="86" s="1"/>
  <c r="N11" i="86"/>
  <c r="O11" i="86" s="1"/>
  <c r="L11" i="86"/>
  <c r="P11" i="86" s="1"/>
  <c r="N10" i="86"/>
  <c r="O10" i="86" s="1"/>
  <c r="L10" i="86"/>
  <c r="P10" i="86" s="1"/>
  <c r="N9" i="86"/>
  <c r="O9" i="86" s="1"/>
  <c r="L9" i="86"/>
  <c r="P9" i="86" s="1"/>
  <c r="N8" i="86"/>
  <c r="L8" i="86"/>
  <c r="P8" i="86" s="1"/>
  <c r="N7" i="86"/>
  <c r="O7" i="86" s="1"/>
  <c r="L7" i="86"/>
  <c r="P7" i="86" s="1"/>
  <c r="N6" i="86"/>
  <c r="O6" i="86" s="1"/>
  <c r="L6" i="86"/>
  <c r="P6" i="86" s="1"/>
  <c r="N5" i="86"/>
  <c r="O5" i="86" s="1"/>
  <c r="L5" i="86"/>
  <c r="P5" i="86" s="1"/>
  <c r="N4" i="86"/>
  <c r="O4" i="86" s="1"/>
  <c r="L4" i="86"/>
  <c r="P4" i="86" s="1"/>
  <c r="N3" i="86"/>
  <c r="O3" i="86" s="1"/>
  <c r="L3" i="86"/>
  <c r="P3" i="86" s="1"/>
  <c r="N2" i="86"/>
  <c r="O2" i="86" s="1"/>
  <c r="L2" i="86"/>
  <c r="N76" i="87"/>
  <c r="O76" i="87" s="1"/>
  <c r="L76" i="87"/>
  <c r="M76" i="87" s="1"/>
  <c r="N75" i="87"/>
  <c r="O75" i="87" s="1"/>
  <c r="L75" i="87"/>
  <c r="M75" i="87" s="1"/>
  <c r="N74" i="87"/>
  <c r="O74" i="87" s="1"/>
  <c r="L74" i="87"/>
  <c r="M74" i="87" s="1"/>
  <c r="N73" i="87"/>
  <c r="O73" i="87" s="1"/>
  <c r="L73" i="87"/>
  <c r="M73" i="87" s="1"/>
  <c r="N72" i="87"/>
  <c r="O72" i="87" s="1"/>
  <c r="L72" i="87"/>
  <c r="M72" i="87" s="1"/>
  <c r="N71" i="87"/>
  <c r="O71" i="87" s="1"/>
  <c r="L71" i="87"/>
  <c r="M71" i="87" s="1"/>
  <c r="N70" i="87"/>
  <c r="O70" i="87" s="1"/>
  <c r="L70" i="87"/>
  <c r="M70" i="87" s="1"/>
  <c r="N69" i="87"/>
  <c r="O69" i="87" s="1"/>
  <c r="L69" i="87"/>
  <c r="M69" i="87" s="1"/>
  <c r="N68" i="87"/>
  <c r="O68" i="87" s="1"/>
  <c r="L68" i="87"/>
  <c r="M68" i="87" s="1"/>
  <c r="N67" i="87"/>
  <c r="O67" i="87" s="1"/>
  <c r="L67" i="87"/>
  <c r="M67" i="87" s="1"/>
  <c r="N66" i="87"/>
  <c r="O66" i="87" s="1"/>
  <c r="L66" i="87"/>
  <c r="M66" i="87" s="1"/>
  <c r="N65" i="87"/>
  <c r="O65" i="87" s="1"/>
  <c r="L65" i="87"/>
  <c r="M65" i="87" s="1"/>
  <c r="N64" i="87"/>
  <c r="O64" i="87" s="1"/>
  <c r="L64" i="87"/>
  <c r="M64" i="87" s="1"/>
  <c r="N63" i="87"/>
  <c r="O63" i="87" s="1"/>
  <c r="L63" i="87"/>
  <c r="M63" i="87" s="1"/>
  <c r="N62" i="87"/>
  <c r="O62" i="87" s="1"/>
  <c r="L62" i="87"/>
  <c r="M62" i="87" s="1"/>
  <c r="N61" i="87"/>
  <c r="O61" i="87" s="1"/>
  <c r="L61" i="87"/>
  <c r="M61" i="87" s="1"/>
  <c r="N60" i="87"/>
  <c r="O60" i="87" s="1"/>
  <c r="L60" i="87"/>
  <c r="M60" i="87" s="1"/>
  <c r="N59" i="87"/>
  <c r="O59" i="87" s="1"/>
  <c r="L59" i="87"/>
  <c r="M59" i="87" s="1"/>
  <c r="N58" i="87"/>
  <c r="O58" i="87" s="1"/>
  <c r="L58" i="87"/>
  <c r="M58" i="87" s="1"/>
  <c r="N57" i="87"/>
  <c r="O57" i="87" s="1"/>
  <c r="L57" i="87"/>
  <c r="M57" i="87" s="1"/>
  <c r="N56" i="87"/>
  <c r="O56" i="87" s="1"/>
  <c r="L56" i="87"/>
  <c r="M56" i="87" s="1"/>
  <c r="N55" i="87"/>
  <c r="O55" i="87" s="1"/>
  <c r="L55" i="87"/>
  <c r="M55" i="87" s="1"/>
  <c r="N54" i="87"/>
  <c r="O54" i="87" s="1"/>
  <c r="L54" i="87"/>
  <c r="N53" i="87"/>
  <c r="O53" i="87" s="1"/>
  <c r="L53" i="87"/>
  <c r="M53" i="87" s="1"/>
  <c r="N52" i="87"/>
  <c r="O52" i="87" s="1"/>
  <c r="L52" i="87"/>
  <c r="M52" i="87" s="1"/>
  <c r="N51" i="87"/>
  <c r="O51" i="87" s="1"/>
  <c r="L51" i="87"/>
  <c r="M51" i="87" s="1"/>
  <c r="L50" i="87"/>
  <c r="M50" i="87" s="1"/>
  <c r="L49" i="87"/>
  <c r="M49" i="87" s="1"/>
  <c r="N48" i="87"/>
  <c r="O48" i="87" s="1"/>
  <c r="L48" i="87"/>
  <c r="M48" i="87" s="1"/>
  <c r="N47" i="87"/>
  <c r="L47" i="87"/>
  <c r="N46" i="87"/>
  <c r="O46" i="87" s="1"/>
  <c r="L46" i="87"/>
  <c r="M46" i="87" s="1"/>
  <c r="N45" i="87"/>
  <c r="O45" i="87" s="1"/>
  <c r="L45" i="87"/>
  <c r="M45" i="87" s="1"/>
  <c r="L44" i="87"/>
  <c r="N44" i="87" s="1"/>
  <c r="O44" i="87" s="1"/>
  <c r="L43" i="87"/>
  <c r="N42" i="87"/>
  <c r="O42" i="87" s="1"/>
  <c r="L42" i="87"/>
  <c r="M42" i="87" s="1"/>
  <c r="N41" i="87"/>
  <c r="O41" i="87" s="1"/>
  <c r="L41" i="87"/>
  <c r="M41" i="87" s="1"/>
  <c r="N40" i="87"/>
  <c r="O40" i="87" s="1"/>
  <c r="L40" i="87"/>
  <c r="N39" i="87"/>
  <c r="O39" i="87" s="1"/>
  <c r="L39" i="87"/>
  <c r="M39" i="87" s="1"/>
  <c r="N38" i="87"/>
  <c r="O38" i="87" s="1"/>
  <c r="L38" i="87"/>
  <c r="M38" i="87" s="1"/>
  <c r="N37" i="87"/>
  <c r="O37" i="87" s="1"/>
  <c r="L37" i="87"/>
  <c r="M37" i="87" s="1"/>
  <c r="L36" i="87"/>
  <c r="L35" i="87"/>
  <c r="L34" i="87"/>
  <c r="P34" i="87" s="1"/>
  <c r="N33" i="87"/>
  <c r="O33" i="87" s="1"/>
  <c r="L33" i="87"/>
  <c r="N32" i="87"/>
  <c r="O32" i="87" s="1"/>
  <c r="L32" i="87"/>
  <c r="N31" i="87"/>
  <c r="O31" i="87" s="1"/>
  <c r="L31" i="87"/>
  <c r="N30" i="87"/>
  <c r="O30" i="87" s="1"/>
  <c r="L30" i="87"/>
  <c r="L29" i="87"/>
  <c r="N29" i="87" s="1"/>
  <c r="O29" i="87" s="1"/>
  <c r="N28" i="87"/>
  <c r="O28" i="87" s="1"/>
  <c r="L28" i="87"/>
  <c r="L27" i="87"/>
  <c r="N26" i="87"/>
  <c r="O26" i="87" s="1"/>
  <c r="L26" i="87"/>
  <c r="P26" i="87" s="1"/>
  <c r="N25" i="87"/>
  <c r="O25" i="87" s="1"/>
  <c r="L25" i="87"/>
  <c r="P25" i="87" s="1"/>
  <c r="N24" i="87"/>
  <c r="O24" i="87" s="1"/>
  <c r="L24" i="87"/>
  <c r="P24" i="87" s="1"/>
  <c r="L23" i="87"/>
  <c r="N22" i="87"/>
  <c r="O22" i="87" s="1"/>
  <c r="L22" i="87"/>
  <c r="P22" i="87" s="1"/>
  <c r="N21" i="87"/>
  <c r="O21" i="87" s="1"/>
  <c r="L21" i="87"/>
  <c r="P21" i="87" s="1"/>
  <c r="L20" i="87"/>
  <c r="L19" i="87"/>
  <c r="L18" i="87"/>
  <c r="L17" i="87"/>
  <c r="L16" i="87"/>
  <c r="L15" i="87"/>
  <c r="L14" i="87"/>
  <c r="L13" i="87"/>
  <c r="L12" i="87"/>
  <c r="N11" i="87"/>
  <c r="O11" i="87" s="1"/>
  <c r="L11" i="87"/>
  <c r="P11" i="87" s="1"/>
  <c r="L10" i="87"/>
  <c r="P10" i="87" s="1"/>
  <c r="L9" i="87"/>
  <c r="N8" i="87"/>
  <c r="O8" i="87" s="1"/>
  <c r="L8" i="87"/>
  <c r="P8" i="87" s="1"/>
  <c r="L7" i="87"/>
  <c r="P7" i="87" s="1"/>
  <c r="N6" i="87"/>
  <c r="O6" i="87" s="1"/>
  <c r="L6" i="87"/>
  <c r="P6" i="87" s="1"/>
  <c r="N5" i="87"/>
  <c r="O5" i="87" s="1"/>
  <c r="L5" i="87"/>
  <c r="P5" i="87" s="1"/>
  <c r="AC195" i="2"/>
  <c r="N4" i="87"/>
  <c r="O4" i="87" s="1"/>
  <c r="L4" i="87"/>
  <c r="P4" i="87" s="1"/>
  <c r="N3" i="87"/>
  <c r="O3" i="87" s="1"/>
  <c r="L3" i="87"/>
  <c r="P3" i="87" s="1"/>
  <c r="N2" i="87"/>
  <c r="L2" i="87"/>
  <c r="N79" i="88"/>
  <c r="O79" i="88" s="1"/>
  <c r="L79" i="88"/>
  <c r="M79" i="88" s="1"/>
  <c r="N78" i="88"/>
  <c r="O78" i="88" s="1"/>
  <c r="L78" i="88"/>
  <c r="M78" i="88" s="1"/>
  <c r="N77" i="88"/>
  <c r="O77" i="88" s="1"/>
  <c r="L77" i="88"/>
  <c r="M77" i="88" s="1"/>
  <c r="N76" i="88"/>
  <c r="O76" i="88" s="1"/>
  <c r="L76" i="88"/>
  <c r="M76" i="88" s="1"/>
  <c r="N75" i="88"/>
  <c r="O75" i="88" s="1"/>
  <c r="L75" i="88"/>
  <c r="M75" i="88" s="1"/>
  <c r="N74" i="88"/>
  <c r="O74" i="88" s="1"/>
  <c r="L74" i="88"/>
  <c r="M74" i="88" s="1"/>
  <c r="N73" i="88"/>
  <c r="O73" i="88" s="1"/>
  <c r="L73" i="88"/>
  <c r="M73" i="88" s="1"/>
  <c r="N72" i="88"/>
  <c r="O72" i="88" s="1"/>
  <c r="L72" i="88"/>
  <c r="M72" i="88" s="1"/>
  <c r="N71" i="88"/>
  <c r="O71" i="88" s="1"/>
  <c r="L71" i="88"/>
  <c r="M71" i="88" s="1"/>
  <c r="N70" i="88"/>
  <c r="O70" i="88" s="1"/>
  <c r="L70" i="88"/>
  <c r="M70" i="88" s="1"/>
  <c r="N69" i="88"/>
  <c r="O69" i="88" s="1"/>
  <c r="L69" i="88"/>
  <c r="M69" i="88" s="1"/>
  <c r="N68" i="88"/>
  <c r="O68" i="88" s="1"/>
  <c r="L68" i="88"/>
  <c r="M68" i="88" s="1"/>
  <c r="N67" i="88"/>
  <c r="O67" i="88" s="1"/>
  <c r="L67" i="88"/>
  <c r="M67" i="88" s="1"/>
  <c r="N66" i="88"/>
  <c r="O66" i="88" s="1"/>
  <c r="L66" i="88"/>
  <c r="M66" i="88" s="1"/>
  <c r="N65" i="88"/>
  <c r="O65" i="88" s="1"/>
  <c r="L65" i="88"/>
  <c r="M65" i="88" s="1"/>
  <c r="N64" i="88"/>
  <c r="O64" i="88" s="1"/>
  <c r="L64" i="88"/>
  <c r="M64" i="88" s="1"/>
  <c r="N63" i="88"/>
  <c r="O63" i="88" s="1"/>
  <c r="L63" i="88"/>
  <c r="M63" i="88" s="1"/>
  <c r="N62" i="88"/>
  <c r="O62" i="88" s="1"/>
  <c r="L62" i="88"/>
  <c r="M62" i="88" s="1"/>
  <c r="N61" i="88"/>
  <c r="O61" i="88" s="1"/>
  <c r="L61" i="88"/>
  <c r="M61" i="88" s="1"/>
  <c r="N60" i="88"/>
  <c r="O60" i="88" s="1"/>
  <c r="L60" i="88"/>
  <c r="M60" i="88" s="1"/>
  <c r="N59" i="88"/>
  <c r="O59" i="88" s="1"/>
  <c r="L59" i="88"/>
  <c r="M59" i="88" s="1"/>
  <c r="N58" i="88"/>
  <c r="O58" i="88" s="1"/>
  <c r="L58" i="88"/>
  <c r="M58" i="88" s="1"/>
  <c r="N57" i="88"/>
  <c r="O57" i="88" s="1"/>
  <c r="L57" i="88"/>
  <c r="M57" i="88" s="1"/>
  <c r="N56" i="88"/>
  <c r="O56" i="88" s="1"/>
  <c r="L56" i="88"/>
  <c r="M56" i="88" s="1"/>
  <c r="N55" i="88"/>
  <c r="O55" i="88" s="1"/>
  <c r="L55" i="88"/>
  <c r="M55" i="88" s="1"/>
  <c r="N54" i="88"/>
  <c r="O54" i="88" s="1"/>
  <c r="L54" i="88"/>
  <c r="M54" i="88" s="1"/>
  <c r="N53" i="88"/>
  <c r="O53" i="88" s="1"/>
  <c r="L53" i="88"/>
  <c r="M53" i="88" s="1"/>
  <c r="N52" i="88"/>
  <c r="O52" i="88" s="1"/>
  <c r="L52" i="88"/>
  <c r="M52" i="88" s="1"/>
  <c r="N51" i="88"/>
  <c r="O51" i="88" s="1"/>
  <c r="L51" i="88"/>
  <c r="M51" i="88" s="1"/>
  <c r="N50" i="88"/>
  <c r="O50" i="88" s="1"/>
  <c r="L50" i="88"/>
  <c r="M50" i="88" s="1"/>
  <c r="N49" i="88"/>
  <c r="O49" i="88" s="1"/>
  <c r="L49" i="88"/>
  <c r="M49" i="88" s="1"/>
  <c r="N48" i="88"/>
  <c r="O48" i="88" s="1"/>
  <c r="L48" i="88"/>
  <c r="M48" i="88" s="1"/>
  <c r="N47" i="88"/>
  <c r="O47" i="88" s="1"/>
  <c r="L47" i="88"/>
  <c r="M47" i="88" s="1"/>
  <c r="N46" i="88"/>
  <c r="O46" i="88" s="1"/>
  <c r="L46" i="88"/>
  <c r="M46" i="88" s="1"/>
  <c r="N45" i="88"/>
  <c r="O45" i="88" s="1"/>
  <c r="L45" i="88"/>
  <c r="M45" i="88" s="1"/>
  <c r="N44" i="88"/>
  <c r="O44" i="88" s="1"/>
  <c r="L44" i="88"/>
  <c r="M44" i="88" s="1"/>
  <c r="N43" i="88"/>
  <c r="O43" i="88" s="1"/>
  <c r="L43" i="88"/>
  <c r="M43" i="88" s="1"/>
  <c r="N42" i="88"/>
  <c r="O42" i="88" s="1"/>
  <c r="L42" i="88"/>
  <c r="M42" i="88" s="1"/>
  <c r="N41" i="88"/>
  <c r="O41" i="88" s="1"/>
  <c r="L41" i="88"/>
  <c r="M41" i="88" s="1"/>
  <c r="N40" i="88"/>
  <c r="O40" i="88" s="1"/>
  <c r="L40" i="88"/>
  <c r="M40" i="88" s="1"/>
  <c r="N39" i="88"/>
  <c r="O39" i="88" s="1"/>
  <c r="L39" i="88"/>
  <c r="M39" i="88" s="1"/>
  <c r="N38" i="88"/>
  <c r="O38" i="88" s="1"/>
  <c r="L38" i="88"/>
  <c r="M38" i="88" s="1"/>
  <c r="N37" i="88"/>
  <c r="O37" i="88" s="1"/>
  <c r="L37" i="88"/>
  <c r="M37" i="88" s="1"/>
  <c r="L36" i="88"/>
  <c r="L35" i="88"/>
  <c r="M35" i="88" s="1"/>
  <c r="N34" i="88"/>
  <c r="O34" i="88" s="1"/>
  <c r="L34" i="88"/>
  <c r="M34" i="88" s="1"/>
  <c r="L33" i="88"/>
  <c r="M33" i="88" s="1"/>
  <c r="N32" i="88"/>
  <c r="O32" i="88" s="1"/>
  <c r="L32" i="88"/>
  <c r="N31" i="88"/>
  <c r="O31" i="88" s="1"/>
  <c r="L31" i="88"/>
  <c r="N29" i="88"/>
  <c r="O29" i="88" s="1"/>
  <c r="L29" i="88"/>
  <c r="N28" i="88"/>
  <c r="O28" i="88" s="1"/>
  <c r="L28" i="88"/>
  <c r="L27" i="88"/>
  <c r="L26" i="88"/>
  <c r="P26" i="88" s="1"/>
  <c r="L25" i="88"/>
  <c r="P25" i="88" s="1"/>
  <c r="L24" i="88"/>
  <c r="P24" i="88" s="1"/>
  <c r="N23" i="88"/>
  <c r="O23" i="88" s="1"/>
  <c r="L23" i="88"/>
  <c r="P23" i="88" s="1"/>
  <c r="L22" i="88"/>
  <c r="P22" i="88" s="1"/>
  <c r="N21" i="88"/>
  <c r="O21" i="88" s="1"/>
  <c r="L21" i="88"/>
  <c r="P21" i="88" s="1"/>
  <c r="L20" i="88"/>
  <c r="P20" i="88" s="1"/>
  <c r="L19" i="88"/>
  <c r="L18" i="88"/>
  <c r="P18" i="88" s="1"/>
  <c r="L17" i="88"/>
  <c r="P17" i="88" s="1"/>
  <c r="N16" i="88"/>
  <c r="O16" i="88" s="1"/>
  <c r="L16" i="88"/>
  <c r="P16" i="88" s="1"/>
  <c r="L15" i="88"/>
  <c r="P15" i="88" s="1"/>
  <c r="N14" i="88"/>
  <c r="L14" i="88"/>
  <c r="P14" i="88" s="1"/>
  <c r="N13" i="88"/>
  <c r="O13" i="88" s="1"/>
  <c r="L13" i="88"/>
  <c r="P13" i="88" s="1"/>
  <c r="N12" i="88"/>
  <c r="O12" i="88" s="1"/>
  <c r="L12" i="88"/>
  <c r="P12" i="88" s="1"/>
  <c r="N11" i="88"/>
  <c r="O11" i="88" s="1"/>
  <c r="L11" i="88"/>
  <c r="P11" i="88" s="1"/>
  <c r="L10" i="88"/>
  <c r="L9" i="88"/>
  <c r="P9" i="88" s="1"/>
  <c r="L8" i="88"/>
  <c r="N7" i="88"/>
  <c r="O7" i="88" s="1"/>
  <c r="L7" i="88"/>
  <c r="P7" i="88" s="1"/>
  <c r="N6" i="88"/>
  <c r="O6" i="88" s="1"/>
  <c r="L6" i="88"/>
  <c r="P6" i="88" s="1"/>
  <c r="N5" i="88"/>
  <c r="O5" i="88" s="1"/>
  <c r="L5" i="88"/>
  <c r="P5" i="88" s="1"/>
  <c r="N4" i="88"/>
  <c r="O4" i="88" s="1"/>
  <c r="L4" i="88"/>
  <c r="P4" i="88" s="1"/>
  <c r="N3" i="88"/>
  <c r="O3" i="88" s="1"/>
  <c r="L3" i="88"/>
  <c r="P3" i="88" s="1"/>
  <c r="N2" i="88"/>
  <c r="O2" i="88" s="1"/>
  <c r="L2" i="88"/>
  <c r="N80" i="89"/>
  <c r="O80" i="89" s="1"/>
  <c r="L80" i="89"/>
  <c r="M80" i="89" s="1"/>
  <c r="N79" i="89"/>
  <c r="O79" i="89" s="1"/>
  <c r="L79" i="89"/>
  <c r="M79" i="89" s="1"/>
  <c r="N78" i="89"/>
  <c r="O78" i="89" s="1"/>
  <c r="L78" i="89"/>
  <c r="M78" i="89" s="1"/>
  <c r="N77" i="89"/>
  <c r="O77" i="89" s="1"/>
  <c r="L77" i="89"/>
  <c r="M77" i="89" s="1"/>
  <c r="N76" i="89"/>
  <c r="O76" i="89" s="1"/>
  <c r="L76" i="89"/>
  <c r="M76" i="89" s="1"/>
  <c r="N75" i="89"/>
  <c r="O75" i="89" s="1"/>
  <c r="L75" i="89"/>
  <c r="M75" i="89" s="1"/>
  <c r="N74" i="89"/>
  <c r="O74" i="89" s="1"/>
  <c r="L74" i="89"/>
  <c r="M74" i="89" s="1"/>
  <c r="N73" i="89"/>
  <c r="O73" i="89" s="1"/>
  <c r="L73" i="89"/>
  <c r="M73" i="89" s="1"/>
  <c r="N72" i="89"/>
  <c r="O72" i="89" s="1"/>
  <c r="L72" i="89"/>
  <c r="M72" i="89" s="1"/>
  <c r="N71" i="89"/>
  <c r="O71" i="89" s="1"/>
  <c r="L71" i="89"/>
  <c r="M71" i="89" s="1"/>
  <c r="N70" i="89"/>
  <c r="O70" i="89" s="1"/>
  <c r="L70" i="89"/>
  <c r="M70" i="89" s="1"/>
  <c r="N69" i="89"/>
  <c r="O69" i="89" s="1"/>
  <c r="L69" i="89"/>
  <c r="M69" i="89" s="1"/>
  <c r="N68" i="89"/>
  <c r="O68" i="89" s="1"/>
  <c r="L68" i="89"/>
  <c r="M68" i="89" s="1"/>
  <c r="N67" i="89"/>
  <c r="O67" i="89" s="1"/>
  <c r="L67" i="89"/>
  <c r="M67" i="89" s="1"/>
  <c r="N66" i="89"/>
  <c r="O66" i="89" s="1"/>
  <c r="L66" i="89"/>
  <c r="M66" i="89" s="1"/>
  <c r="N65" i="89"/>
  <c r="O65" i="89" s="1"/>
  <c r="L65" i="89"/>
  <c r="M65" i="89" s="1"/>
  <c r="N64" i="89"/>
  <c r="O64" i="89" s="1"/>
  <c r="L64" i="89"/>
  <c r="M64" i="89" s="1"/>
  <c r="N63" i="89"/>
  <c r="O63" i="89" s="1"/>
  <c r="L63" i="89"/>
  <c r="M63" i="89" s="1"/>
  <c r="N62" i="89"/>
  <c r="O62" i="89" s="1"/>
  <c r="L62" i="89"/>
  <c r="M62" i="89" s="1"/>
  <c r="N61" i="89"/>
  <c r="O61" i="89" s="1"/>
  <c r="L61" i="89"/>
  <c r="M61" i="89" s="1"/>
  <c r="N60" i="89"/>
  <c r="O60" i="89" s="1"/>
  <c r="L60" i="89"/>
  <c r="M60" i="89" s="1"/>
  <c r="N59" i="89"/>
  <c r="O59" i="89" s="1"/>
  <c r="L59" i="89"/>
  <c r="M59" i="89" s="1"/>
  <c r="N58" i="89"/>
  <c r="O58" i="89" s="1"/>
  <c r="L58" i="89"/>
  <c r="M58" i="89" s="1"/>
  <c r="N57" i="89"/>
  <c r="O57" i="89" s="1"/>
  <c r="L57" i="89"/>
  <c r="M57" i="89" s="1"/>
  <c r="N56" i="89"/>
  <c r="L56" i="89"/>
  <c r="N55" i="89"/>
  <c r="O55" i="89" s="1"/>
  <c r="L55" i="89"/>
  <c r="M55" i="89" s="1"/>
  <c r="N54" i="89"/>
  <c r="O54" i="89" s="1"/>
  <c r="L54" i="89"/>
  <c r="M54" i="89" s="1"/>
  <c r="N53" i="89"/>
  <c r="O53" i="89" s="1"/>
  <c r="L53" i="89"/>
  <c r="M53" i="89" s="1"/>
  <c r="N52" i="89"/>
  <c r="O52" i="89" s="1"/>
  <c r="L52" i="89"/>
  <c r="M52" i="89" s="1"/>
  <c r="N51" i="89"/>
  <c r="O51" i="89" s="1"/>
  <c r="L51" i="89"/>
  <c r="M51" i="89" s="1"/>
  <c r="N50" i="89"/>
  <c r="O50" i="89" s="1"/>
  <c r="L50" i="89"/>
  <c r="M50" i="89" s="1"/>
  <c r="N49" i="89"/>
  <c r="O49" i="89" s="1"/>
  <c r="L49" i="89"/>
  <c r="M49" i="89" s="1"/>
  <c r="N48" i="89"/>
  <c r="O48" i="89" s="1"/>
  <c r="L48" i="89"/>
  <c r="M48" i="89" s="1"/>
  <c r="N47" i="89"/>
  <c r="O47" i="89" s="1"/>
  <c r="L47" i="89"/>
  <c r="M47" i="89" s="1"/>
  <c r="N46" i="89"/>
  <c r="O46" i="89" s="1"/>
  <c r="L46" i="89"/>
  <c r="M46" i="89" s="1"/>
  <c r="N45" i="89"/>
  <c r="O45" i="89" s="1"/>
  <c r="L45" i="89"/>
  <c r="M45" i="89" s="1"/>
  <c r="N44" i="89"/>
  <c r="O44" i="89" s="1"/>
  <c r="L44" i="89"/>
  <c r="M44" i="89" s="1"/>
  <c r="N43" i="89"/>
  <c r="O43" i="89" s="1"/>
  <c r="L43" i="89"/>
  <c r="M43" i="89" s="1"/>
  <c r="N42" i="89"/>
  <c r="O42" i="89" s="1"/>
  <c r="L42" i="89"/>
  <c r="M42" i="89" s="1"/>
  <c r="N41" i="89"/>
  <c r="O41" i="89" s="1"/>
  <c r="L41" i="89"/>
  <c r="N40" i="89"/>
  <c r="O40" i="89" s="1"/>
  <c r="L40" i="89"/>
  <c r="M40" i="89" s="1"/>
  <c r="L39" i="89"/>
  <c r="L38" i="89"/>
  <c r="L37" i="89"/>
  <c r="P37" i="89" s="1"/>
  <c r="L36" i="89"/>
  <c r="P36" i="89" s="1"/>
  <c r="N35" i="89"/>
  <c r="O35" i="89" s="1"/>
  <c r="L35" i="89"/>
  <c r="L34" i="89"/>
  <c r="N33" i="89"/>
  <c r="O33" i="89" s="1"/>
  <c r="L33" i="89"/>
  <c r="L32" i="89"/>
  <c r="N31" i="89"/>
  <c r="O31" i="89" s="1"/>
  <c r="L31" i="89"/>
  <c r="N30" i="89"/>
  <c r="O30" i="89" s="1"/>
  <c r="L30" i="89"/>
  <c r="N29" i="89"/>
  <c r="O29" i="89" s="1"/>
  <c r="L29" i="89"/>
  <c r="N28" i="89"/>
  <c r="L28" i="89"/>
  <c r="P28" i="89" s="1"/>
  <c r="N27" i="89"/>
  <c r="O27" i="89" s="1"/>
  <c r="L27" i="89"/>
  <c r="N26" i="89"/>
  <c r="L26" i="89"/>
  <c r="N25" i="89"/>
  <c r="O25" i="89" s="1"/>
  <c r="L25" i="89"/>
  <c r="N24" i="89"/>
  <c r="O24" i="89" s="1"/>
  <c r="L24" i="89"/>
  <c r="L23" i="89"/>
  <c r="N22" i="89"/>
  <c r="O22" i="89" s="1"/>
  <c r="L22" i="89"/>
  <c r="L21" i="89"/>
  <c r="L20" i="89"/>
  <c r="P20" i="89" s="1"/>
  <c r="L19" i="89"/>
  <c r="N18" i="89"/>
  <c r="O18" i="89" s="1"/>
  <c r="L18" i="89"/>
  <c r="P18" i="89" s="1"/>
  <c r="N17" i="89"/>
  <c r="O17" i="89" s="1"/>
  <c r="L17" i="89"/>
  <c r="P17" i="89" s="1"/>
  <c r="N16" i="89"/>
  <c r="O16" i="89" s="1"/>
  <c r="L16" i="89"/>
  <c r="P16" i="89" s="1"/>
  <c r="N15" i="89"/>
  <c r="O15" i="89" s="1"/>
  <c r="L15" i="89"/>
  <c r="P15" i="89" s="1"/>
  <c r="N14" i="89"/>
  <c r="O14" i="89" s="1"/>
  <c r="L14" i="89"/>
  <c r="P14" i="89" s="1"/>
  <c r="N12" i="89"/>
  <c r="O12" i="89" s="1"/>
  <c r="L12" i="89"/>
  <c r="P12" i="89" s="1"/>
  <c r="L11" i="89"/>
  <c r="P11" i="89" s="1"/>
  <c r="N10" i="89"/>
  <c r="O10" i="89" s="1"/>
  <c r="L10" i="89"/>
  <c r="P10" i="89" s="1"/>
  <c r="N9" i="89"/>
  <c r="O9" i="89" s="1"/>
  <c r="L9" i="89"/>
  <c r="P9" i="89" s="1"/>
  <c r="N8" i="89"/>
  <c r="O8" i="89" s="1"/>
  <c r="L8" i="89"/>
  <c r="P8" i="89" s="1"/>
  <c r="N7" i="89"/>
  <c r="O7" i="89" s="1"/>
  <c r="L7" i="89"/>
  <c r="P7" i="89" s="1"/>
  <c r="N6" i="89"/>
  <c r="O6" i="89" s="1"/>
  <c r="L6" i="89"/>
  <c r="P6" i="89" s="1"/>
  <c r="N5" i="89"/>
  <c r="O5" i="89" s="1"/>
  <c r="L5" i="89"/>
  <c r="P5" i="89" s="1"/>
  <c r="N4" i="89"/>
  <c r="L4" i="89"/>
  <c r="P4" i="89" s="1"/>
  <c r="N3" i="89"/>
  <c r="O3" i="89" s="1"/>
  <c r="L3" i="89"/>
  <c r="P3" i="89" s="1"/>
  <c r="N2" i="89"/>
  <c r="O2" i="89" s="1"/>
  <c r="L2" i="89"/>
  <c r="N77" i="90"/>
  <c r="O77" i="90" s="1"/>
  <c r="L77" i="90"/>
  <c r="M77" i="90" s="1"/>
  <c r="N76" i="90"/>
  <c r="O76" i="90" s="1"/>
  <c r="L76" i="90"/>
  <c r="M76" i="90" s="1"/>
  <c r="N75" i="90"/>
  <c r="O75" i="90" s="1"/>
  <c r="L75" i="90"/>
  <c r="M75" i="90" s="1"/>
  <c r="N74" i="90"/>
  <c r="O74" i="90" s="1"/>
  <c r="L74" i="90"/>
  <c r="N73" i="90"/>
  <c r="O73" i="90" s="1"/>
  <c r="L73" i="90"/>
  <c r="M73" i="90" s="1"/>
  <c r="N72" i="90"/>
  <c r="O72" i="90" s="1"/>
  <c r="L72" i="90"/>
  <c r="M72" i="90" s="1"/>
  <c r="N71" i="90"/>
  <c r="O71" i="90" s="1"/>
  <c r="L71" i="90"/>
  <c r="M71" i="90" s="1"/>
  <c r="N70" i="90"/>
  <c r="O70" i="90" s="1"/>
  <c r="L70" i="90"/>
  <c r="M70" i="90" s="1"/>
  <c r="N69" i="90"/>
  <c r="O69" i="90" s="1"/>
  <c r="L69" i="90"/>
  <c r="N68" i="90"/>
  <c r="O68" i="90" s="1"/>
  <c r="L68" i="90"/>
  <c r="M68" i="90" s="1"/>
  <c r="N67" i="90"/>
  <c r="O67" i="90" s="1"/>
  <c r="L67" i="90"/>
  <c r="M67" i="90" s="1"/>
  <c r="L66" i="90"/>
  <c r="M66" i="90" s="1"/>
  <c r="N65" i="90"/>
  <c r="O65" i="90" s="1"/>
  <c r="L65" i="90"/>
  <c r="M65" i="90" s="1"/>
  <c r="N64" i="90"/>
  <c r="O64" i="90" s="1"/>
  <c r="L64" i="90"/>
  <c r="N63" i="90"/>
  <c r="O63" i="90" s="1"/>
  <c r="L63" i="90"/>
  <c r="M63" i="90" s="1"/>
  <c r="N62" i="90"/>
  <c r="O62" i="90" s="1"/>
  <c r="L62" i="90"/>
  <c r="M62" i="90" s="1"/>
  <c r="N61" i="90"/>
  <c r="O61" i="90" s="1"/>
  <c r="L61" i="90"/>
  <c r="M61" i="90" s="1"/>
  <c r="N60" i="90"/>
  <c r="O60" i="90" s="1"/>
  <c r="L60" i="90"/>
  <c r="M60" i="90" s="1"/>
  <c r="N59" i="90"/>
  <c r="O59" i="90" s="1"/>
  <c r="L59" i="90"/>
  <c r="M59" i="90" s="1"/>
  <c r="N58" i="90"/>
  <c r="O58" i="90" s="1"/>
  <c r="L58" i="90"/>
  <c r="M58" i="90" s="1"/>
  <c r="N57" i="90"/>
  <c r="O57" i="90" s="1"/>
  <c r="L57" i="90"/>
  <c r="M57" i="90" s="1"/>
  <c r="N56" i="90"/>
  <c r="O56" i="90" s="1"/>
  <c r="L56" i="90"/>
  <c r="M56" i="90" s="1"/>
  <c r="N55" i="90"/>
  <c r="O55" i="90" s="1"/>
  <c r="L55" i="90"/>
  <c r="M55" i="90" s="1"/>
  <c r="L54" i="90"/>
  <c r="M54" i="90" s="1"/>
  <c r="N53" i="90"/>
  <c r="O53" i="90" s="1"/>
  <c r="L53" i="90"/>
  <c r="M53" i="90" s="1"/>
  <c r="N52" i="90"/>
  <c r="O52" i="90" s="1"/>
  <c r="L52" i="90"/>
  <c r="M52" i="90" s="1"/>
  <c r="N51" i="90"/>
  <c r="O51" i="90" s="1"/>
  <c r="L51" i="90"/>
  <c r="M51" i="90" s="1"/>
  <c r="N50" i="90"/>
  <c r="L50" i="90"/>
  <c r="N49" i="90"/>
  <c r="O49" i="90" s="1"/>
  <c r="L49" i="90"/>
  <c r="M49" i="90" s="1"/>
  <c r="N48" i="90"/>
  <c r="O48" i="90" s="1"/>
  <c r="L48" i="90"/>
  <c r="M48" i="90" s="1"/>
  <c r="N47" i="90"/>
  <c r="O47" i="90" s="1"/>
  <c r="L47" i="90"/>
  <c r="M47" i="90" s="1"/>
  <c r="N46" i="90"/>
  <c r="O46" i="90" s="1"/>
  <c r="L46" i="90"/>
  <c r="M46" i="90" s="1"/>
  <c r="N45" i="90"/>
  <c r="O45" i="90" s="1"/>
  <c r="L45" i="90"/>
  <c r="M45" i="90" s="1"/>
  <c r="N44" i="90"/>
  <c r="O44" i="90" s="1"/>
  <c r="L44" i="90"/>
  <c r="M44" i="90" s="1"/>
  <c r="N43" i="90"/>
  <c r="O43" i="90" s="1"/>
  <c r="L43" i="90"/>
  <c r="N42" i="90"/>
  <c r="O42" i="90" s="1"/>
  <c r="L42" i="90"/>
  <c r="N41" i="90"/>
  <c r="O41" i="90" s="1"/>
  <c r="L41" i="90"/>
  <c r="N40" i="90"/>
  <c r="O40" i="90" s="1"/>
  <c r="L40" i="90"/>
  <c r="N39" i="90"/>
  <c r="O39" i="90" s="1"/>
  <c r="L39" i="90"/>
  <c r="N38" i="90"/>
  <c r="O38" i="90" s="1"/>
  <c r="L38" i="90"/>
  <c r="L37" i="90"/>
  <c r="M37" i="90" s="1"/>
  <c r="N36" i="90"/>
  <c r="O36" i="90" s="1"/>
  <c r="L36" i="90"/>
  <c r="L35" i="90"/>
  <c r="N34" i="90"/>
  <c r="L34" i="90"/>
  <c r="N33" i="90"/>
  <c r="O33" i="90" s="1"/>
  <c r="L33" i="90"/>
  <c r="N32" i="90"/>
  <c r="O32" i="90" s="1"/>
  <c r="L32" i="90"/>
  <c r="N31" i="90"/>
  <c r="O31" i="90" s="1"/>
  <c r="L31" i="90"/>
  <c r="N30" i="90"/>
  <c r="O30" i="90" s="1"/>
  <c r="L30" i="90"/>
  <c r="N29" i="90"/>
  <c r="L29" i="90"/>
  <c r="P29" i="90" s="1"/>
  <c r="L28" i="90"/>
  <c r="L27" i="90"/>
  <c r="L26" i="90"/>
  <c r="N25" i="90"/>
  <c r="O25" i="90" s="1"/>
  <c r="L25" i="90"/>
  <c r="P25" i="90" s="1"/>
  <c r="N24" i="90"/>
  <c r="O24" i="90" s="1"/>
  <c r="L24" i="90"/>
  <c r="P24" i="90" s="1"/>
  <c r="L23" i="90"/>
  <c r="P23" i="90" s="1"/>
  <c r="L22" i="90"/>
  <c r="L21" i="90"/>
  <c r="P21" i="90" s="1"/>
  <c r="L20" i="90"/>
  <c r="P20" i="90" s="1"/>
  <c r="N19" i="90"/>
  <c r="O19" i="90" s="1"/>
  <c r="L19" i="90"/>
  <c r="P19" i="90" s="1"/>
  <c r="L18" i="90"/>
  <c r="P18" i="90" s="1"/>
  <c r="L17" i="90"/>
  <c r="L16" i="90"/>
  <c r="N15" i="90"/>
  <c r="O15" i="90" s="1"/>
  <c r="L15" i="90"/>
  <c r="P15" i="90" s="1"/>
  <c r="N14" i="90"/>
  <c r="O14" i="90" s="1"/>
  <c r="L14" i="90"/>
  <c r="P14" i="90" s="1"/>
  <c r="N13" i="90"/>
  <c r="O13" i="90" s="1"/>
  <c r="L13" i="90"/>
  <c r="P13" i="90" s="1"/>
  <c r="L12" i="90"/>
  <c r="L11" i="90"/>
  <c r="P11" i="90" s="1"/>
  <c r="N10" i="90"/>
  <c r="O10" i="90" s="1"/>
  <c r="L10" i="90"/>
  <c r="P10" i="90" s="1"/>
  <c r="N9" i="90"/>
  <c r="O9" i="90" s="1"/>
  <c r="L9" i="90"/>
  <c r="P9" i="90" s="1"/>
  <c r="N8" i="90"/>
  <c r="O8" i="90" s="1"/>
  <c r="L8" i="90"/>
  <c r="P8" i="90" s="1"/>
  <c r="N7" i="90"/>
  <c r="O7" i="90" s="1"/>
  <c r="L7" i="90"/>
  <c r="P7" i="90" s="1"/>
  <c r="N6" i="90"/>
  <c r="O6" i="90" s="1"/>
  <c r="L6" i="90"/>
  <c r="P6" i="90" s="1"/>
  <c r="N5" i="90"/>
  <c r="O5" i="90" s="1"/>
  <c r="L5" i="90"/>
  <c r="P5" i="90" s="1"/>
  <c r="N4" i="90"/>
  <c r="O4" i="90" s="1"/>
  <c r="L4" i="90"/>
  <c r="P4" i="90" s="1"/>
  <c r="N3" i="90"/>
  <c r="O3" i="90" s="1"/>
  <c r="L3" i="90"/>
  <c r="P3" i="90" s="1"/>
  <c r="N2" i="90"/>
  <c r="O2" i="90" s="1"/>
  <c r="L2" i="90"/>
  <c r="N81" i="91"/>
  <c r="O81" i="91" s="1"/>
  <c r="L81" i="91"/>
  <c r="M81" i="91" s="1"/>
  <c r="N80" i="91"/>
  <c r="O80" i="91" s="1"/>
  <c r="L80" i="91"/>
  <c r="M80" i="91" s="1"/>
  <c r="N79" i="91"/>
  <c r="O79" i="91" s="1"/>
  <c r="L79" i="91"/>
  <c r="M79" i="91" s="1"/>
  <c r="N78" i="91"/>
  <c r="O78" i="91" s="1"/>
  <c r="L78" i="91"/>
  <c r="M78" i="91" s="1"/>
  <c r="N77" i="91"/>
  <c r="O77" i="91" s="1"/>
  <c r="L77" i="91"/>
  <c r="M77" i="91" s="1"/>
  <c r="N76" i="91"/>
  <c r="O76" i="91" s="1"/>
  <c r="L76" i="91"/>
  <c r="M76" i="91" s="1"/>
  <c r="N75" i="91"/>
  <c r="O75" i="91" s="1"/>
  <c r="L75" i="91"/>
  <c r="M75" i="91" s="1"/>
  <c r="N74" i="91"/>
  <c r="O74" i="91" s="1"/>
  <c r="L74" i="91"/>
  <c r="M74" i="91" s="1"/>
  <c r="N73" i="91"/>
  <c r="O73" i="91" s="1"/>
  <c r="L73" i="91"/>
  <c r="M73" i="91" s="1"/>
  <c r="N72" i="91"/>
  <c r="O72" i="91" s="1"/>
  <c r="L72" i="91"/>
  <c r="M72" i="91" s="1"/>
  <c r="N71" i="91"/>
  <c r="O71" i="91" s="1"/>
  <c r="L71" i="91"/>
  <c r="M71" i="91" s="1"/>
  <c r="N70" i="91"/>
  <c r="O70" i="91" s="1"/>
  <c r="L70" i="91"/>
  <c r="M70" i="91" s="1"/>
  <c r="N69" i="91"/>
  <c r="O69" i="91" s="1"/>
  <c r="L69" i="91"/>
  <c r="M69" i="91" s="1"/>
  <c r="N68" i="91"/>
  <c r="O68" i="91" s="1"/>
  <c r="L68" i="91"/>
  <c r="M68" i="91" s="1"/>
  <c r="N67" i="91"/>
  <c r="O67" i="91" s="1"/>
  <c r="L67" i="91"/>
  <c r="M67" i="91" s="1"/>
  <c r="N66" i="91"/>
  <c r="O66" i="91" s="1"/>
  <c r="L66" i="91"/>
  <c r="M66" i="91" s="1"/>
  <c r="N65" i="91"/>
  <c r="O65" i="91" s="1"/>
  <c r="L65" i="91"/>
  <c r="M65" i="91" s="1"/>
  <c r="N64" i="91"/>
  <c r="O64" i="91" s="1"/>
  <c r="L64" i="91"/>
  <c r="M64" i="91" s="1"/>
  <c r="N63" i="91"/>
  <c r="O63" i="91" s="1"/>
  <c r="L63" i="91"/>
  <c r="M63" i="91" s="1"/>
  <c r="N62" i="91"/>
  <c r="O62" i="91" s="1"/>
  <c r="L62" i="91"/>
  <c r="M62" i="91" s="1"/>
  <c r="N61" i="91"/>
  <c r="O61" i="91" s="1"/>
  <c r="L61" i="91"/>
  <c r="M61" i="91" s="1"/>
  <c r="N60" i="91"/>
  <c r="O60" i="91" s="1"/>
  <c r="L60" i="91"/>
  <c r="M60" i="91" s="1"/>
  <c r="N59" i="91"/>
  <c r="O59" i="91" s="1"/>
  <c r="L59" i="91"/>
  <c r="M59" i="91" s="1"/>
  <c r="N58" i="91"/>
  <c r="O58" i="91" s="1"/>
  <c r="L58" i="91"/>
  <c r="N57" i="91"/>
  <c r="L57" i="91"/>
  <c r="N56" i="91"/>
  <c r="O56" i="91" s="1"/>
  <c r="L56" i="91"/>
  <c r="N55" i="91"/>
  <c r="O55" i="91" s="1"/>
  <c r="L55" i="91"/>
  <c r="N54" i="91"/>
  <c r="O54" i="91" s="1"/>
  <c r="L54" i="91"/>
  <c r="N53" i="91"/>
  <c r="O53" i="91" s="1"/>
  <c r="L53" i="91"/>
  <c r="M53" i="91" s="1"/>
  <c r="N52" i="91"/>
  <c r="O52" i="91" s="1"/>
  <c r="L52" i="91"/>
  <c r="N51" i="91"/>
  <c r="O51" i="91" s="1"/>
  <c r="L51" i="91"/>
  <c r="N50" i="91"/>
  <c r="O50" i="91" s="1"/>
  <c r="L50" i="91"/>
  <c r="N49" i="91"/>
  <c r="O49" i="91" s="1"/>
  <c r="L49" i="91"/>
  <c r="N48" i="91"/>
  <c r="O48" i="91" s="1"/>
  <c r="L48" i="91"/>
  <c r="N47" i="91"/>
  <c r="O47" i="91" s="1"/>
  <c r="L47" i="91"/>
  <c r="N46" i="91"/>
  <c r="O46" i="91" s="1"/>
  <c r="L46" i="91"/>
  <c r="N45" i="91"/>
  <c r="O45" i="91" s="1"/>
  <c r="L45" i="91"/>
  <c r="N44" i="91"/>
  <c r="O44" i="91" s="1"/>
  <c r="L44" i="91"/>
  <c r="N43" i="91"/>
  <c r="O43" i="91" s="1"/>
  <c r="L43" i="91"/>
  <c r="M43" i="91" s="1"/>
  <c r="N42" i="91"/>
  <c r="O42" i="91" s="1"/>
  <c r="L42" i="91"/>
  <c r="L41" i="91"/>
  <c r="N40" i="91"/>
  <c r="O40" i="91" s="1"/>
  <c r="L40" i="91"/>
  <c r="N39" i="91"/>
  <c r="O39" i="91" s="1"/>
  <c r="L39" i="91"/>
  <c r="N38" i="91"/>
  <c r="O38" i="91" s="1"/>
  <c r="L38" i="91"/>
  <c r="N37" i="91"/>
  <c r="O37" i="91" s="1"/>
  <c r="L37" i="91"/>
  <c r="N36" i="91"/>
  <c r="O36" i="91" s="1"/>
  <c r="L36" i="91"/>
  <c r="N35" i="91"/>
  <c r="O35" i="91" s="1"/>
  <c r="L35" i="91"/>
  <c r="N34" i="91"/>
  <c r="O34" i="91" s="1"/>
  <c r="L34" i="91"/>
  <c r="N33" i="91"/>
  <c r="O33" i="91" s="1"/>
  <c r="L33" i="91"/>
  <c r="N32" i="91"/>
  <c r="O32" i="91" s="1"/>
  <c r="L32" i="91"/>
  <c r="L31" i="91"/>
  <c r="P31" i="91" s="1"/>
  <c r="N30" i="91"/>
  <c r="O30" i="91" s="1"/>
  <c r="L30" i="91"/>
  <c r="P30" i="91" s="1"/>
  <c r="N29" i="91"/>
  <c r="O29" i="91" s="1"/>
  <c r="L29" i="91"/>
  <c r="P29" i="91" s="1"/>
  <c r="N28" i="91"/>
  <c r="O28" i="91" s="1"/>
  <c r="L28" i="91"/>
  <c r="P28" i="91" s="1"/>
  <c r="N27" i="91"/>
  <c r="O27" i="91" s="1"/>
  <c r="L27" i="91"/>
  <c r="P27" i="91" s="1"/>
  <c r="L26" i="91"/>
  <c r="P26" i="91" s="1"/>
  <c r="L25" i="91"/>
  <c r="L24" i="91"/>
  <c r="P24" i="91" s="1"/>
  <c r="N23" i="91"/>
  <c r="O23" i="91" s="1"/>
  <c r="L23" i="91"/>
  <c r="P23" i="91" s="1"/>
  <c r="N22" i="91"/>
  <c r="O22" i="91" s="1"/>
  <c r="L22" i="91"/>
  <c r="P22" i="91" s="1"/>
  <c r="AC47" i="2" s="1"/>
  <c r="L21" i="91"/>
  <c r="N20" i="91"/>
  <c r="O20" i="91" s="1"/>
  <c r="L20" i="91"/>
  <c r="P20" i="91" s="1"/>
  <c r="L18" i="91"/>
  <c r="P18" i="91" s="1"/>
  <c r="L17" i="91"/>
  <c r="P17" i="91" s="1"/>
  <c r="N16" i="91"/>
  <c r="L16" i="91"/>
  <c r="P16" i="91" s="1"/>
  <c r="N15" i="91"/>
  <c r="O15" i="91" s="1"/>
  <c r="L15" i="91"/>
  <c r="P15" i="91" s="1"/>
  <c r="N13" i="91"/>
  <c r="O13" i="91" s="1"/>
  <c r="L13" i="91"/>
  <c r="P13" i="91" s="1"/>
  <c r="N12" i="91"/>
  <c r="O12" i="91" s="1"/>
  <c r="L12" i="91"/>
  <c r="P12" i="91" s="1"/>
  <c r="N11" i="91"/>
  <c r="O11" i="91" s="1"/>
  <c r="L11" i="91"/>
  <c r="P11" i="91" s="1"/>
  <c r="N10" i="91"/>
  <c r="O10" i="91" s="1"/>
  <c r="L10" i="91"/>
  <c r="P10" i="91" s="1"/>
  <c r="N9" i="91"/>
  <c r="L9" i="91"/>
  <c r="P9" i="91" s="1"/>
  <c r="N8" i="91"/>
  <c r="O8" i="91" s="1"/>
  <c r="L8" i="91"/>
  <c r="P8" i="91" s="1"/>
  <c r="N7" i="91"/>
  <c r="O7" i="91" s="1"/>
  <c r="L7" i="91"/>
  <c r="P7" i="91" s="1"/>
  <c r="N6" i="91"/>
  <c r="O6" i="91" s="1"/>
  <c r="L6" i="91"/>
  <c r="P6" i="91" s="1"/>
  <c r="N5" i="91"/>
  <c r="O5" i="91" s="1"/>
  <c r="L5" i="91"/>
  <c r="P5" i="91" s="1"/>
  <c r="N4" i="91"/>
  <c r="O4" i="91" s="1"/>
  <c r="L4" i="91"/>
  <c r="P4" i="91" s="1"/>
  <c r="N3" i="91"/>
  <c r="O3" i="91" s="1"/>
  <c r="L3" i="91"/>
  <c r="P3" i="91" s="1"/>
  <c r="N2" i="91"/>
  <c r="O2" i="91" s="1"/>
  <c r="L2" i="91"/>
  <c r="N79" i="92"/>
  <c r="O79" i="92" s="1"/>
  <c r="L79" i="92"/>
  <c r="M79" i="92" s="1"/>
  <c r="N78" i="92"/>
  <c r="O78" i="92" s="1"/>
  <c r="L78" i="92"/>
  <c r="M78" i="92" s="1"/>
  <c r="N77" i="92"/>
  <c r="O77" i="92" s="1"/>
  <c r="L77" i="92"/>
  <c r="M77" i="92" s="1"/>
  <c r="N76" i="92"/>
  <c r="O76" i="92" s="1"/>
  <c r="L76" i="92"/>
  <c r="M76" i="92" s="1"/>
  <c r="N75" i="92"/>
  <c r="O75" i="92" s="1"/>
  <c r="L75" i="92"/>
  <c r="M75" i="92" s="1"/>
  <c r="N74" i="92"/>
  <c r="O74" i="92" s="1"/>
  <c r="L74" i="92"/>
  <c r="M74" i="92" s="1"/>
  <c r="N73" i="92"/>
  <c r="O73" i="92" s="1"/>
  <c r="L73" i="92"/>
  <c r="M73" i="92" s="1"/>
  <c r="N72" i="92"/>
  <c r="O72" i="92" s="1"/>
  <c r="L72" i="92"/>
  <c r="M72" i="92" s="1"/>
  <c r="N71" i="92"/>
  <c r="O71" i="92" s="1"/>
  <c r="L71" i="92"/>
  <c r="M71" i="92" s="1"/>
  <c r="N70" i="92"/>
  <c r="O70" i="92" s="1"/>
  <c r="L70" i="92"/>
  <c r="M70" i="92" s="1"/>
  <c r="N69" i="92"/>
  <c r="O69" i="92" s="1"/>
  <c r="L69" i="92"/>
  <c r="M69" i="92" s="1"/>
  <c r="N68" i="92"/>
  <c r="O68" i="92" s="1"/>
  <c r="L68" i="92"/>
  <c r="M68" i="92" s="1"/>
  <c r="N67" i="92"/>
  <c r="O67" i="92" s="1"/>
  <c r="L67" i="92"/>
  <c r="M67" i="92" s="1"/>
  <c r="N66" i="92"/>
  <c r="O66" i="92" s="1"/>
  <c r="L66" i="92"/>
  <c r="M66" i="92" s="1"/>
  <c r="N65" i="92"/>
  <c r="O65" i="92" s="1"/>
  <c r="L65" i="92"/>
  <c r="M65" i="92" s="1"/>
  <c r="N64" i="92"/>
  <c r="O64" i="92" s="1"/>
  <c r="L64" i="92"/>
  <c r="M64" i="92" s="1"/>
  <c r="N63" i="92"/>
  <c r="O63" i="92" s="1"/>
  <c r="L63" i="92"/>
  <c r="M63" i="92" s="1"/>
  <c r="N62" i="92"/>
  <c r="O62" i="92" s="1"/>
  <c r="L62" i="92"/>
  <c r="M62" i="92" s="1"/>
  <c r="N61" i="92"/>
  <c r="O61" i="92" s="1"/>
  <c r="L61" i="92"/>
  <c r="M61" i="92" s="1"/>
  <c r="N60" i="92"/>
  <c r="O60" i="92" s="1"/>
  <c r="L60" i="92"/>
  <c r="M60" i="92" s="1"/>
  <c r="N59" i="92"/>
  <c r="O59" i="92" s="1"/>
  <c r="L59" i="92"/>
  <c r="M59" i="92" s="1"/>
  <c r="N58" i="92"/>
  <c r="O58" i="92" s="1"/>
  <c r="L58" i="92"/>
  <c r="M58" i="92" s="1"/>
  <c r="N57" i="92"/>
  <c r="O57" i="92" s="1"/>
  <c r="L57" i="92"/>
  <c r="M57" i="92" s="1"/>
  <c r="N56" i="92"/>
  <c r="O56" i="92" s="1"/>
  <c r="L56" i="92"/>
  <c r="M56" i="92" s="1"/>
  <c r="N55" i="92"/>
  <c r="O55" i="92" s="1"/>
  <c r="L55" i="92"/>
  <c r="M55" i="92" s="1"/>
  <c r="N54" i="92"/>
  <c r="O54" i="92" s="1"/>
  <c r="L54" i="92"/>
  <c r="M54" i="92" s="1"/>
  <c r="N53" i="92"/>
  <c r="O53" i="92" s="1"/>
  <c r="L53" i="92"/>
  <c r="M53" i="92" s="1"/>
  <c r="N52" i="92"/>
  <c r="O52" i="92" s="1"/>
  <c r="L52" i="92"/>
  <c r="M52" i="92" s="1"/>
  <c r="N51" i="92"/>
  <c r="O51" i="92" s="1"/>
  <c r="L51" i="92"/>
  <c r="M51" i="92" s="1"/>
  <c r="N50" i="92"/>
  <c r="O50" i="92" s="1"/>
  <c r="L50" i="92"/>
  <c r="M50" i="92" s="1"/>
  <c r="N49" i="92"/>
  <c r="O49" i="92" s="1"/>
  <c r="L49" i="92"/>
  <c r="M49" i="92" s="1"/>
  <c r="N48" i="92"/>
  <c r="O48" i="92" s="1"/>
  <c r="L48" i="92"/>
  <c r="M48" i="92" s="1"/>
  <c r="N47" i="92"/>
  <c r="O47" i="92" s="1"/>
  <c r="L47" i="92"/>
  <c r="M47" i="92" s="1"/>
  <c r="N46" i="92"/>
  <c r="O46" i="92" s="1"/>
  <c r="L46" i="92"/>
  <c r="N45" i="92"/>
  <c r="O45" i="92" s="1"/>
  <c r="L45" i="92"/>
  <c r="M45" i="92" s="1"/>
  <c r="N44" i="92"/>
  <c r="O44" i="92" s="1"/>
  <c r="L44" i="92"/>
  <c r="M44" i="92" s="1"/>
  <c r="N43" i="92"/>
  <c r="O43" i="92" s="1"/>
  <c r="L43" i="92"/>
  <c r="N42" i="92"/>
  <c r="O42" i="92" s="1"/>
  <c r="L42" i="92"/>
  <c r="N41" i="92"/>
  <c r="O41" i="92" s="1"/>
  <c r="L41" i="92"/>
  <c r="N40" i="92"/>
  <c r="O40" i="92" s="1"/>
  <c r="L40" i="92"/>
  <c r="N39" i="92"/>
  <c r="O39" i="92" s="1"/>
  <c r="L39" i="92"/>
  <c r="N38" i="92"/>
  <c r="O38" i="92" s="1"/>
  <c r="L38" i="92"/>
  <c r="N37" i="92"/>
  <c r="O37" i="92" s="1"/>
  <c r="L37" i="92"/>
  <c r="N36" i="92"/>
  <c r="O36" i="92" s="1"/>
  <c r="L36" i="92"/>
  <c r="N35" i="92"/>
  <c r="L35" i="92"/>
  <c r="P35" i="92" s="1"/>
  <c r="N34" i="92"/>
  <c r="O34" i="92" s="1"/>
  <c r="L34" i="92"/>
  <c r="N33" i="92"/>
  <c r="L33" i="92"/>
  <c r="N32" i="92"/>
  <c r="O32" i="92" s="1"/>
  <c r="L32" i="92"/>
  <c r="L31" i="92"/>
  <c r="L30" i="92"/>
  <c r="O29" i="92"/>
  <c r="L29" i="92"/>
  <c r="P29" i="92" s="1"/>
  <c r="O28" i="92"/>
  <c r="L28" i="92"/>
  <c r="L27" i="92"/>
  <c r="O26" i="92"/>
  <c r="L26" i="92"/>
  <c r="O25" i="92"/>
  <c r="L25" i="92"/>
  <c r="O24" i="92"/>
  <c r="L24" i="92"/>
  <c r="P24" i="92" s="1"/>
  <c r="O23" i="92"/>
  <c r="L23" i="92"/>
  <c r="P23" i="92" s="1"/>
  <c r="O22" i="92"/>
  <c r="L22" i="92"/>
  <c r="P22" i="92" s="1"/>
  <c r="L21" i="92"/>
  <c r="P21" i="92" s="1"/>
  <c r="N20" i="92"/>
  <c r="O20" i="92" s="1"/>
  <c r="L20" i="92"/>
  <c r="P20" i="92" s="1"/>
  <c r="L19" i="92"/>
  <c r="N18" i="92"/>
  <c r="O18" i="92" s="1"/>
  <c r="L18" i="92"/>
  <c r="P18" i="92" s="1"/>
  <c r="N17" i="92"/>
  <c r="O17" i="92" s="1"/>
  <c r="L17" i="92"/>
  <c r="P17" i="92" s="1"/>
  <c r="N16" i="92"/>
  <c r="O16" i="92" s="1"/>
  <c r="L16" i="92"/>
  <c r="P16" i="92" s="1"/>
  <c r="L15" i="92"/>
  <c r="L14" i="92"/>
  <c r="L13" i="92"/>
  <c r="P13" i="92" s="1"/>
  <c r="N12" i="92"/>
  <c r="O12" i="92" s="1"/>
  <c r="L12" i="92"/>
  <c r="P12" i="92" s="1"/>
  <c r="N11" i="92"/>
  <c r="O11" i="92" s="1"/>
  <c r="L11" i="92"/>
  <c r="P11" i="92" s="1"/>
  <c r="N10" i="92"/>
  <c r="O10" i="92" s="1"/>
  <c r="L10" i="92"/>
  <c r="P10" i="92" s="1"/>
  <c r="L9" i="92"/>
  <c r="P9" i="92" s="1"/>
  <c r="N8" i="92"/>
  <c r="O8" i="92" s="1"/>
  <c r="L8" i="92"/>
  <c r="P8" i="92" s="1"/>
  <c r="N7" i="92"/>
  <c r="AD39" i="2" s="1"/>
  <c r="L7" i="92"/>
  <c r="P7" i="92" s="1"/>
  <c r="L6" i="92"/>
  <c r="P6" i="92" s="1"/>
  <c r="N5" i="92"/>
  <c r="O5" i="92" s="1"/>
  <c r="L5" i="92"/>
  <c r="P5" i="92" s="1"/>
  <c r="N4" i="92"/>
  <c r="O4" i="92" s="1"/>
  <c r="L4" i="92"/>
  <c r="P4" i="92" s="1"/>
  <c r="N3" i="92"/>
  <c r="O3" i="92" s="1"/>
  <c r="L3" i="92"/>
  <c r="P3" i="92" s="1"/>
  <c r="N2" i="92"/>
  <c r="O2" i="92" s="1"/>
  <c r="L2" i="92"/>
  <c r="O79" i="93"/>
  <c r="L79" i="93"/>
  <c r="M79" i="93" s="1"/>
  <c r="O78" i="93"/>
  <c r="L78" i="93"/>
  <c r="M78" i="93" s="1"/>
  <c r="O77" i="93"/>
  <c r="L77" i="93"/>
  <c r="M77" i="93" s="1"/>
  <c r="O76" i="93"/>
  <c r="L76" i="93"/>
  <c r="M76" i="93" s="1"/>
  <c r="O75" i="93"/>
  <c r="L75" i="93"/>
  <c r="M75" i="93" s="1"/>
  <c r="O74" i="93"/>
  <c r="L74" i="93"/>
  <c r="M74" i="93" s="1"/>
  <c r="O73" i="93"/>
  <c r="L73" i="93"/>
  <c r="M73" i="93" s="1"/>
  <c r="O72" i="93"/>
  <c r="L72" i="93"/>
  <c r="M72" i="93" s="1"/>
  <c r="O71" i="93"/>
  <c r="L71" i="93"/>
  <c r="M71" i="93" s="1"/>
  <c r="O70" i="93"/>
  <c r="L70" i="93"/>
  <c r="M70" i="93" s="1"/>
  <c r="O69" i="93"/>
  <c r="L69" i="93"/>
  <c r="M69" i="93" s="1"/>
  <c r="O68" i="93"/>
  <c r="L68" i="93"/>
  <c r="M68" i="93" s="1"/>
  <c r="O67" i="93"/>
  <c r="L67" i="93"/>
  <c r="M67" i="93" s="1"/>
  <c r="O66" i="93"/>
  <c r="L66" i="93"/>
  <c r="M66" i="93" s="1"/>
  <c r="O65" i="93"/>
  <c r="L65" i="93"/>
  <c r="M65" i="93" s="1"/>
  <c r="O64" i="93"/>
  <c r="L64" i="93"/>
  <c r="M64" i="93" s="1"/>
  <c r="O63" i="93"/>
  <c r="L63" i="93"/>
  <c r="M63" i="93" s="1"/>
  <c r="O62" i="93"/>
  <c r="L62" i="93"/>
  <c r="M62" i="93" s="1"/>
  <c r="O61" i="93"/>
  <c r="L61" i="93"/>
  <c r="M61" i="93" s="1"/>
  <c r="O60" i="93"/>
  <c r="L60" i="93"/>
  <c r="M60" i="93" s="1"/>
  <c r="O59" i="93"/>
  <c r="L59" i="93"/>
  <c r="M59" i="93" s="1"/>
  <c r="O58" i="93"/>
  <c r="L58" i="93"/>
  <c r="M58" i="93" s="1"/>
  <c r="O57" i="93"/>
  <c r="L57" i="93"/>
  <c r="M57" i="93" s="1"/>
  <c r="O56" i="93"/>
  <c r="L56" i="93"/>
  <c r="M56" i="93" s="1"/>
  <c r="O55" i="93"/>
  <c r="L55" i="93"/>
  <c r="M55" i="93" s="1"/>
  <c r="O54" i="93"/>
  <c r="L54" i="93"/>
  <c r="M54" i="93" s="1"/>
  <c r="O53" i="93"/>
  <c r="L53" i="93"/>
  <c r="M53" i="93" s="1"/>
  <c r="O52" i="93"/>
  <c r="L52" i="93"/>
  <c r="M52" i="93" s="1"/>
  <c r="L51" i="93"/>
  <c r="M51" i="93" s="1"/>
  <c r="L50" i="93"/>
  <c r="M50" i="93" s="1"/>
  <c r="O49" i="93"/>
  <c r="L49" i="93"/>
  <c r="M49" i="93" s="1"/>
  <c r="O48" i="93"/>
  <c r="L48" i="93"/>
  <c r="M48" i="93" s="1"/>
  <c r="O47" i="93"/>
  <c r="L47" i="93"/>
  <c r="M47" i="93" s="1"/>
  <c r="O46" i="93"/>
  <c r="L46" i="93"/>
  <c r="M46" i="93" s="1"/>
  <c r="O45" i="93"/>
  <c r="L45" i="93"/>
  <c r="O44" i="93"/>
  <c r="L44" i="93"/>
  <c r="O43" i="93"/>
  <c r="L43" i="93"/>
  <c r="O42" i="93"/>
  <c r="L42" i="93"/>
  <c r="O41" i="93"/>
  <c r="L41" i="93"/>
  <c r="O40" i="93"/>
  <c r="L40" i="93"/>
  <c r="O39" i="93"/>
  <c r="L39" i="93"/>
  <c r="O38" i="93"/>
  <c r="L38" i="93"/>
  <c r="O37" i="93"/>
  <c r="L37" i="93"/>
  <c r="O36" i="93"/>
  <c r="L36" i="93"/>
  <c r="O35" i="93"/>
  <c r="L35" i="93"/>
  <c r="L34" i="93"/>
  <c r="O33" i="93"/>
  <c r="L33" i="93"/>
  <c r="O32" i="93"/>
  <c r="L32" i="93"/>
  <c r="L31" i="93"/>
  <c r="P31" i="93" s="1"/>
  <c r="L30" i="93"/>
  <c r="P30" i="93" s="1"/>
  <c r="L29" i="93"/>
  <c r="P29" i="93" s="1"/>
  <c r="L28" i="93"/>
  <c r="P28" i="93" s="1"/>
  <c r="O27" i="93"/>
  <c r="L27" i="93"/>
  <c r="P27" i="93" s="1"/>
  <c r="L26" i="93"/>
  <c r="P26" i="93" s="1"/>
  <c r="O25" i="93"/>
  <c r="L25" i="93"/>
  <c r="P25" i="93" s="1"/>
  <c r="L24" i="93"/>
  <c r="P24" i="93" s="1"/>
  <c r="O23" i="93"/>
  <c r="L23" i="93"/>
  <c r="P23" i="93" s="1"/>
  <c r="L22" i="93"/>
  <c r="P22" i="93" s="1"/>
  <c r="L21" i="93"/>
  <c r="P21" i="93" s="1"/>
  <c r="O20" i="93"/>
  <c r="L20" i="93"/>
  <c r="P20" i="93" s="1"/>
  <c r="L19" i="93"/>
  <c r="P19" i="93" s="1"/>
  <c r="O18" i="93"/>
  <c r="L18" i="93"/>
  <c r="P18" i="93" s="1"/>
  <c r="L17" i="93"/>
  <c r="P17" i="93" s="1"/>
  <c r="O16" i="93"/>
  <c r="L16" i="93"/>
  <c r="P16" i="93" s="1"/>
  <c r="L15" i="93"/>
  <c r="O14" i="93"/>
  <c r="L14" i="93"/>
  <c r="P14" i="93" s="1"/>
  <c r="O13" i="93"/>
  <c r="L13" i="93"/>
  <c r="P13" i="93" s="1"/>
  <c r="L12" i="93"/>
  <c r="P12" i="93" s="1"/>
  <c r="O11" i="93"/>
  <c r="L11" i="93"/>
  <c r="P11" i="93" s="1"/>
  <c r="L10" i="93"/>
  <c r="P10" i="93" s="1"/>
  <c r="O9" i="93"/>
  <c r="L9" i="93"/>
  <c r="P9" i="93" s="1"/>
  <c r="O8" i="93"/>
  <c r="L8" i="93"/>
  <c r="P8" i="93" s="1"/>
  <c r="O7" i="93"/>
  <c r="L7" i="93"/>
  <c r="P7" i="93" s="1"/>
  <c r="O6" i="93"/>
  <c r="L6" i="93"/>
  <c r="P6" i="93" s="1"/>
  <c r="O5" i="93"/>
  <c r="L5" i="93"/>
  <c r="P5" i="93" s="1"/>
  <c r="O4" i="93"/>
  <c r="L4" i="93"/>
  <c r="P4" i="93" s="1"/>
  <c r="O3" i="93"/>
  <c r="L3" i="93"/>
  <c r="P3" i="93" s="1"/>
  <c r="O2" i="93"/>
  <c r="L2" i="93"/>
  <c r="N80" i="94"/>
  <c r="O80" i="94" s="1"/>
  <c r="L80" i="94"/>
  <c r="M80" i="94" s="1"/>
  <c r="N79" i="94"/>
  <c r="O79" i="94" s="1"/>
  <c r="L79" i="94"/>
  <c r="M79" i="94" s="1"/>
  <c r="N78" i="94"/>
  <c r="O78" i="94" s="1"/>
  <c r="L78" i="94"/>
  <c r="M78" i="94" s="1"/>
  <c r="N77" i="94"/>
  <c r="O77" i="94" s="1"/>
  <c r="L77" i="94"/>
  <c r="M77" i="94" s="1"/>
  <c r="N76" i="94"/>
  <c r="O76" i="94" s="1"/>
  <c r="L76" i="94"/>
  <c r="M76" i="94" s="1"/>
  <c r="N75" i="94"/>
  <c r="O75" i="94" s="1"/>
  <c r="L75" i="94"/>
  <c r="M75" i="94" s="1"/>
  <c r="N74" i="94"/>
  <c r="O74" i="94" s="1"/>
  <c r="L74" i="94"/>
  <c r="M74" i="94" s="1"/>
  <c r="N73" i="94"/>
  <c r="O73" i="94" s="1"/>
  <c r="L73" i="94"/>
  <c r="M73" i="94" s="1"/>
  <c r="N72" i="94"/>
  <c r="O72" i="94" s="1"/>
  <c r="L72" i="94"/>
  <c r="M72" i="94" s="1"/>
  <c r="N71" i="94"/>
  <c r="O71" i="94" s="1"/>
  <c r="L71" i="94"/>
  <c r="M71" i="94" s="1"/>
  <c r="N70" i="94"/>
  <c r="O70" i="94" s="1"/>
  <c r="L70" i="94"/>
  <c r="M70" i="94" s="1"/>
  <c r="N69" i="94"/>
  <c r="O69" i="94" s="1"/>
  <c r="L69" i="94"/>
  <c r="M69" i="94" s="1"/>
  <c r="N68" i="94"/>
  <c r="O68" i="94" s="1"/>
  <c r="L68" i="94"/>
  <c r="M68" i="94" s="1"/>
  <c r="N67" i="94"/>
  <c r="O67" i="94" s="1"/>
  <c r="L67" i="94"/>
  <c r="M67" i="94" s="1"/>
  <c r="N66" i="94"/>
  <c r="O66" i="94" s="1"/>
  <c r="L66" i="94"/>
  <c r="M66" i="94" s="1"/>
  <c r="N65" i="94"/>
  <c r="O65" i="94" s="1"/>
  <c r="L65" i="94"/>
  <c r="M65" i="94" s="1"/>
  <c r="N64" i="94"/>
  <c r="O64" i="94" s="1"/>
  <c r="L64" i="94"/>
  <c r="M64" i="94" s="1"/>
  <c r="N63" i="94"/>
  <c r="O63" i="94" s="1"/>
  <c r="L63" i="94"/>
  <c r="M63" i="94" s="1"/>
  <c r="N62" i="94"/>
  <c r="O62" i="94" s="1"/>
  <c r="L62" i="94"/>
  <c r="M62" i="94" s="1"/>
  <c r="N61" i="94"/>
  <c r="O61" i="94" s="1"/>
  <c r="L61" i="94"/>
  <c r="M61" i="94" s="1"/>
  <c r="N60" i="94"/>
  <c r="O60" i="94" s="1"/>
  <c r="L60" i="94"/>
  <c r="M60" i="94" s="1"/>
  <c r="N59" i="94"/>
  <c r="O59" i="94" s="1"/>
  <c r="L59" i="94"/>
  <c r="M59" i="94" s="1"/>
  <c r="N58" i="94"/>
  <c r="O58" i="94" s="1"/>
  <c r="L58" i="94"/>
  <c r="M58" i="94" s="1"/>
  <c r="N57" i="94"/>
  <c r="O57" i="94" s="1"/>
  <c r="L57" i="94"/>
  <c r="M57" i="94" s="1"/>
  <c r="N56" i="94"/>
  <c r="O56" i="94" s="1"/>
  <c r="L56" i="94"/>
  <c r="M56" i="94" s="1"/>
  <c r="N55" i="94"/>
  <c r="O55" i="94" s="1"/>
  <c r="L55" i="94"/>
  <c r="M55" i="94" s="1"/>
  <c r="N54" i="94"/>
  <c r="O54" i="94" s="1"/>
  <c r="L54" i="94"/>
  <c r="M54" i="94" s="1"/>
  <c r="N53" i="94"/>
  <c r="O53" i="94" s="1"/>
  <c r="L53" i="94"/>
  <c r="M53" i="94" s="1"/>
  <c r="N52" i="94"/>
  <c r="O52" i="94" s="1"/>
  <c r="L52" i="94"/>
  <c r="M52" i="94" s="1"/>
  <c r="N51" i="94"/>
  <c r="O51" i="94" s="1"/>
  <c r="L51" i="94"/>
  <c r="M51" i="94" s="1"/>
  <c r="N50" i="94"/>
  <c r="O50" i="94" s="1"/>
  <c r="L50" i="94"/>
  <c r="M50" i="94" s="1"/>
  <c r="N49" i="94"/>
  <c r="O49" i="94" s="1"/>
  <c r="L49" i="94"/>
  <c r="M49" i="94" s="1"/>
  <c r="N48" i="94"/>
  <c r="O48" i="94" s="1"/>
  <c r="L48" i="94"/>
  <c r="M48" i="94" s="1"/>
  <c r="N47" i="94"/>
  <c r="O47" i="94" s="1"/>
  <c r="L47" i="94"/>
  <c r="M47" i="94" s="1"/>
  <c r="N46" i="94"/>
  <c r="O46" i="94" s="1"/>
  <c r="L46" i="94"/>
  <c r="M46" i="94" s="1"/>
  <c r="N45" i="94"/>
  <c r="O45" i="94" s="1"/>
  <c r="L45" i="94"/>
  <c r="M45" i="94" s="1"/>
  <c r="N44" i="94"/>
  <c r="O44" i="94" s="1"/>
  <c r="L44" i="94"/>
  <c r="M44" i="94" s="1"/>
  <c r="N43" i="94"/>
  <c r="O43" i="94" s="1"/>
  <c r="L43" i="94"/>
  <c r="M43" i="94" s="1"/>
  <c r="L42" i="94"/>
  <c r="M42" i="94" s="1"/>
  <c r="N41" i="94"/>
  <c r="O41" i="94" s="1"/>
  <c r="L41" i="94"/>
  <c r="P41" i="94" s="1"/>
  <c r="L40" i="94"/>
  <c r="P40" i="94" s="1"/>
  <c r="N39" i="94"/>
  <c r="O39" i="94" s="1"/>
  <c r="L39" i="94"/>
  <c r="P39" i="94" s="1"/>
  <c r="N38" i="94"/>
  <c r="L38" i="94"/>
  <c r="P38" i="94" s="1"/>
  <c r="N37" i="94"/>
  <c r="O37" i="94" s="1"/>
  <c r="L37" i="94"/>
  <c r="P37" i="94" s="1"/>
  <c r="N36" i="94"/>
  <c r="O36" i="94" s="1"/>
  <c r="L36" i="94"/>
  <c r="P36" i="94" s="1"/>
  <c r="N35" i="94"/>
  <c r="O35" i="94" s="1"/>
  <c r="L35" i="94"/>
  <c r="P35" i="94" s="1"/>
  <c r="N34" i="94"/>
  <c r="O34" i="94" s="1"/>
  <c r="L34" i="94"/>
  <c r="P34" i="94" s="1"/>
  <c r="N33" i="94"/>
  <c r="O33" i="94" s="1"/>
  <c r="L33" i="94"/>
  <c r="P33" i="94" s="1"/>
  <c r="L32" i="94"/>
  <c r="N31" i="94"/>
  <c r="O31" i="94" s="1"/>
  <c r="L31" i="94"/>
  <c r="P31" i="94" s="1"/>
  <c r="L30" i="94"/>
  <c r="N28" i="94"/>
  <c r="O28" i="94" s="1"/>
  <c r="L28" i="94"/>
  <c r="P28" i="94" s="1"/>
  <c r="N27" i="94"/>
  <c r="O27" i="94" s="1"/>
  <c r="L27" i="94"/>
  <c r="P27" i="94" s="1"/>
  <c r="L26" i="94"/>
  <c r="P26" i="94" s="1"/>
  <c r="N25" i="94"/>
  <c r="O25" i="94" s="1"/>
  <c r="L25" i="94"/>
  <c r="P25" i="94" s="1"/>
  <c r="N24" i="94"/>
  <c r="O24" i="94" s="1"/>
  <c r="L24" i="94"/>
  <c r="P24" i="94" s="1"/>
  <c r="N23" i="94"/>
  <c r="O23" i="94" s="1"/>
  <c r="L23" i="94"/>
  <c r="P23" i="94" s="1"/>
  <c r="N22" i="94"/>
  <c r="O22" i="94" s="1"/>
  <c r="L22" i="94"/>
  <c r="P22" i="94" s="1"/>
  <c r="L21" i="94"/>
  <c r="N20" i="94"/>
  <c r="O20" i="94" s="1"/>
  <c r="L20" i="94"/>
  <c r="P20" i="94" s="1"/>
  <c r="N19" i="94"/>
  <c r="O19" i="94" s="1"/>
  <c r="L19" i="94"/>
  <c r="P19" i="94" s="1"/>
  <c r="L18" i="94"/>
  <c r="P18" i="94" s="1"/>
  <c r="N17" i="94"/>
  <c r="O17" i="94" s="1"/>
  <c r="L17" i="94"/>
  <c r="P17" i="94" s="1"/>
  <c r="N16" i="94"/>
  <c r="O16" i="94" s="1"/>
  <c r="L16" i="94"/>
  <c r="P16" i="94" s="1"/>
  <c r="N15" i="94"/>
  <c r="O15" i="94" s="1"/>
  <c r="L15" i="94"/>
  <c r="P15" i="94" s="1"/>
  <c r="N14" i="94"/>
  <c r="O14" i="94" s="1"/>
  <c r="L14" i="94"/>
  <c r="P14" i="94" s="1"/>
  <c r="L13" i="94"/>
  <c r="N12" i="94"/>
  <c r="O12" i="94" s="1"/>
  <c r="L12" i="94"/>
  <c r="P12" i="94" s="1"/>
  <c r="L11" i="94"/>
  <c r="N10" i="94"/>
  <c r="O10" i="94" s="1"/>
  <c r="L10" i="94"/>
  <c r="P10" i="94" s="1"/>
  <c r="N9" i="94"/>
  <c r="O9" i="94" s="1"/>
  <c r="L9" i="94"/>
  <c r="P9" i="94" s="1"/>
  <c r="N8" i="94"/>
  <c r="O8" i="94" s="1"/>
  <c r="L8" i="94"/>
  <c r="P8" i="94" s="1"/>
  <c r="N7" i="94"/>
  <c r="O7" i="94" s="1"/>
  <c r="L7" i="94"/>
  <c r="P7" i="94" s="1"/>
  <c r="N6" i="94"/>
  <c r="O6" i="94" s="1"/>
  <c r="L6" i="94"/>
  <c r="P6" i="94" s="1"/>
  <c r="N5" i="94"/>
  <c r="O5" i="94" s="1"/>
  <c r="L5" i="94"/>
  <c r="P5" i="94" s="1"/>
  <c r="N4" i="94"/>
  <c r="O4" i="94" s="1"/>
  <c r="L4" i="94"/>
  <c r="P4" i="94" s="1"/>
  <c r="N3" i="94"/>
  <c r="O3" i="94" s="1"/>
  <c r="L3" i="94"/>
  <c r="P3" i="94" s="1"/>
  <c r="N2" i="94"/>
  <c r="O2" i="94" s="1"/>
  <c r="L2" i="94"/>
  <c r="N80" i="95"/>
  <c r="O80" i="95" s="1"/>
  <c r="L80" i="95"/>
  <c r="M80" i="95" s="1"/>
  <c r="N79" i="95"/>
  <c r="O79" i="95" s="1"/>
  <c r="L79" i="95"/>
  <c r="M79" i="95" s="1"/>
  <c r="N78" i="95"/>
  <c r="O78" i="95" s="1"/>
  <c r="L78" i="95"/>
  <c r="M78" i="95" s="1"/>
  <c r="N77" i="95"/>
  <c r="O77" i="95" s="1"/>
  <c r="L77" i="95"/>
  <c r="M77" i="95" s="1"/>
  <c r="N76" i="95"/>
  <c r="O76" i="95" s="1"/>
  <c r="L76" i="95"/>
  <c r="M76" i="95" s="1"/>
  <c r="N75" i="95"/>
  <c r="O75" i="95" s="1"/>
  <c r="L75" i="95"/>
  <c r="M75" i="95" s="1"/>
  <c r="N74" i="95"/>
  <c r="O74" i="95" s="1"/>
  <c r="L74" i="95"/>
  <c r="M74" i="95" s="1"/>
  <c r="N73" i="95"/>
  <c r="O73" i="95" s="1"/>
  <c r="L73" i="95"/>
  <c r="M73" i="95" s="1"/>
  <c r="N72" i="95"/>
  <c r="O72" i="95" s="1"/>
  <c r="L72" i="95"/>
  <c r="M72" i="95" s="1"/>
  <c r="N71" i="95"/>
  <c r="O71" i="95" s="1"/>
  <c r="L71" i="95"/>
  <c r="M71" i="95" s="1"/>
  <c r="N70" i="95"/>
  <c r="O70" i="95" s="1"/>
  <c r="L70" i="95"/>
  <c r="M70" i="95" s="1"/>
  <c r="N69" i="95"/>
  <c r="O69" i="95" s="1"/>
  <c r="L69" i="95"/>
  <c r="M69" i="95" s="1"/>
  <c r="N68" i="95"/>
  <c r="O68" i="95" s="1"/>
  <c r="L68" i="95"/>
  <c r="M68" i="95" s="1"/>
  <c r="N67" i="95"/>
  <c r="O67" i="95" s="1"/>
  <c r="L67" i="95"/>
  <c r="M67" i="95" s="1"/>
  <c r="N66" i="95"/>
  <c r="O66" i="95" s="1"/>
  <c r="L66" i="95"/>
  <c r="M66" i="95" s="1"/>
  <c r="N65" i="95"/>
  <c r="O65" i="95" s="1"/>
  <c r="L65" i="95"/>
  <c r="M65" i="95" s="1"/>
  <c r="N64" i="95"/>
  <c r="O64" i="95" s="1"/>
  <c r="L64" i="95"/>
  <c r="M64" i="95" s="1"/>
  <c r="N63" i="95"/>
  <c r="O63" i="95" s="1"/>
  <c r="L63" i="95"/>
  <c r="M63" i="95" s="1"/>
  <c r="N62" i="95"/>
  <c r="O62" i="95" s="1"/>
  <c r="L62" i="95"/>
  <c r="M62" i="95" s="1"/>
  <c r="N61" i="95"/>
  <c r="O61" i="95" s="1"/>
  <c r="L61" i="95"/>
  <c r="M61" i="95" s="1"/>
  <c r="N60" i="95"/>
  <c r="O60" i="95" s="1"/>
  <c r="L60" i="95"/>
  <c r="M60" i="95" s="1"/>
  <c r="N59" i="95"/>
  <c r="O59" i="95" s="1"/>
  <c r="L59" i="95"/>
  <c r="M59" i="95" s="1"/>
  <c r="N58" i="95"/>
  <c r="O58" i="95" s="1"/>
  <c r="L58" i="95"/>
  <c r="M58" i="95" s="1"/>
  <c r="N57" i="95"/>
  <c r="O57" i="95" s="1"/>
  <c r="L57" i="95"/>
  <c r="M57" i="95" s="1"/>
  <c r="N56" i="95"/>
  <c r="O56" i="95" s="1"/>
  <c r="L56" i="95"/>
  <c r="M56" i="95" s="1"/>
  <c r="N55" i="95"/>
  <c r="O55" i="95" s="1"/>
  <c r="L55" i="95"/>
  <c r="M55" i="95" s="1"/>
  <c r="N54" i="95"/>
  <c r="O54" i="95" s="1"/>
  <c r="L54" i="95"/>
  <c r="M54" i="95" s="1"/>
  <c r="N53" i="95"/>
  <c r="O53" i="95" s="1"/>
  <c r="L53" i="95"/>
  <c r="M53" i="95" s="1"/>
  <c r="N52" i="95"/>
  <c r="O52" i="95" s="1"/>
  <c r="L52" i="95"/>
  <c r="M52" i="95" s="1"/>
  <c r="N51" i="95"/>
  <c r="O51" i="95" s="1"/>
  <c r="L51" i="95"/>
  <c r="M51" i="95" s="1"/>
  <c r="N50" i="95"/>
  <c r="O50" i="95" s="1"/>
  <c r="L50" i="95"/>
  <c r="M50" i="95" s="1"/>
  <c r="N80" i="97"/>
  <c r="O80" i="97" s="1"/>
  <c r="L80" i="97"/>
  <c r="M80" i="97" s="1"/>
  <c r="N79" i="97"/>
  <c r="O79" i="97" s="1"/>
  <c r="L79" i="97"/>
  <c r="M79" i="97" s="1"/>
  <c r="N78" i="97"/>
  <c r="O78" i="97" s="1"/>
  <c r="L78" i="97"/>
  <c r="M78" i="97" s="1"/>
  <c r="N77" i="97"/>
  <c r="O77" i="97" s="1"/>
  <c r="L77" i="97"/>
  <c r="M77" i="97" s="1"/>
  <c r="N76" i="97"/>
  <c r="O76" i="97" s="1"/>
  <c r="L76" i="97"/>
  <c r="M76" i="97" s="1"/>
  <c r="N75" i="97"/>
  <c r="O75" i="97" s="1"/>
  <c r="L75" i="97"/>
  <c r="M75" i="97" s="1"/>
  <c r="N74" i="97"/>
  <c r="O74" i="97" s="1"/>
  <c r="L74" i="97"/>
  <c r="M74" i="97" s="1"/>
  <c r="N73" i="97"/>
  <c r="O73" i="97" s="1"/>
  <c r="L73" i="97"/>
  <c r="M73" i="97" s="1"/>
  <c r="N72" i="97"/>
  <c r="O72" i="97" s="1"/>
  <c r="L72" i="97"/>
  <c r="M72" i="97" s="1"/>
  <c r="N71" i="97"/>
  <c r="O71" i="97" s="1"/>
  <c r="L71" i="97"/>
  <c r="M71" i="97" s="1"/>
  <c r="N70" i="97"/>
  <c r="O70" i="97" s="1"/>
  <c r="L70" i="97"/>
  <c r="M70" i="97" s="1"/>
  <c r="N69" i="97"/>
  <c r="O69" i="97" s="1"/>
  <c r="L69" i="97"/>
  <c r="M69" i="97" s="1"/>
  <c r="N68" i="97"/>
  <c r="O68" i="97" s="1"/>
  <c r="L68" i="97"/>
  <c r="M68" i="97" s="1"/>
  <c r="N67" i="97"/>
  <c r="O67" i="97" s="1"/>
  <c r="L67" i="97"/>
  <c r="M67" i="97" s="1"/>
  <c r="N66" i="97"/>
  <c r="O66" i="97" s="1"/>
  <c r="L66" i="97"/>
  <c r="M66" i="97" s="1"/>
  <c r="N65" i="97"/>
  <c r="O65" i="97" s="1"/>
  <c r="L65" i="97"/>
  <c r="M65" i="97" s="1"/>
  <c r="N64" i="97"/>
  <c r="O64" i="97" s="1"/>
  <c r="L64" i="97"/>
  <c r="M64" i="97" s="1"/>
  <c r="N63" i="97"/>
  <c r="O63" i="97" s="1"/>
  <c r="L63" i="97"/>
  <c r="M63" i="97" s="1"/>
  <c r="N62" i="97"/>
  <c r="O62" i="97" s="1"/>
  <c r="L62" i="97"/>
  <c r="M62" i="97" s="1"/>
  <c r="N61" i="97"/>
  <c r="O61" i="97" s="1"/>
  <c r="L61" i="97"/>
  <c r="M61" i="97" s="1"/>
  <c r="N60" i="97"/>
  <c r="O60" i="97" s="1"/>
  <c r="L60" i="97"/>
  <c r="M60" i="97" s="1"/>
  <c r="N59" i="97"/>
  <c r="O59" i="97" s="1"/>
  <c r="L59" i="97"/>
  <c r="M59" i="97" s="1"/>
  <c r="N58" i="97"/>
  <c r="O58" i="97" s="1"/>
  <c r="L58" i="97"/>
  <c r="M58" i="97" s="1"/>
  <c r="N57" i="97"/>
  <c r="O57" i="97" s="1"/>
  <c r="L57" i="97"/>
  <c r="M57" i="97" s="1"/>
  <c r="N56" i="97"/>
  <c r="O56" i="97" s="1"/>
  <c r="L56" i="97"/>
  <c r="M56" i="97" s="1"/>
  <c r="N55" i="97"/>
  <c r="O55" i="97" s="1"/>
  <c r="L55" i="97"/>
  <c r="M55" i="97" s="1"/>
  <c r="N54" i="97"/>
  <c r="O54" i="97" s="1"/>
  <c r="L54" i="97"/>
  <c r="M54" i="97" s="1"/>
  <c r="N53" i="97"/>
  <c r="O53" i="97" s="1"/>
  <c r="L53" i="97"/>
  <c r="M53" i="97" s="1"/>
  <c r="N52" i="97"/>
  <c r="O52" i="97" s="1"/>
  <c r="L52" i="97"/>
  <c r="M52" i="97" s="1"/>
  <c r="N51" i="97"/>
  <c r="O51" i="97" s="1"/>
  <c r="L51" i="97"/>
  <c r="M51" i="97" s="1"/>
  <c r="N50" i="97"/>
  <c r="O50" i="97" s="1"/>
  <c r="L50" i="97"/>
  <c r="M50" i="97" s="1"/>
  <c r="N49" i="97"/>
  <c r="O49" i="97" s="1"/>
  <c r="L49" i="97"/>
  <c r="M49" i="97" s="1"/>
  <c r="N48" i="97"/>
  <c r="O48" i="97" s="1"/>
  <c r="L48" i="97"/>
  <c r="M48" i="97" s="1"/>
  <c r="N47" i="97"/>
  <c r="O47" i="97" s="1"/>
  <c r="L47" i="97"/>
  <c r="M47" i="97" s="1"/>
  <c r="N46" i="97"/>
  <c r="O46" i="97" s="1"/>
  <c r="L46" i="97"/>
  <c r="M46" i="97" s="1"/>
  <c r="N45" i="97"/>
  <c r="O45" i="97" s="1"/>
  <c r="L45" i="97"/>
  <c r="M45" i="97" s="1"/>
  <c r="N44" i="97"/>
  <c r="O44" i="97" s="1"/>
  <c r="L44" i="97"/>
  <c r="M44" i="97" s="1"/>
  <c r="N43" i="97"/>
  <c r="O43" i="97" s="1"/>
  <c r="L43" i="97"/>
  <c r="M43" i="97" s="1"/>
  <c r="N42" i="97"/>
  <c r="O42" i="97" s="1"/>
  <c r="L42" i="97"/>
  <c r="M42" i="97" s="1"/>
  <c r="N41" i="97"/>
  <c r="O41" i="97" s="1"/>
  <c r="L41" i="97"/>
  <c r="M41" i="97" s="1"/>
  <c r="N40" i="97"/>
  <c r="O40" i="97" s="1"/>
  <c r="L40" i="97"/>
  <c r="N39" i="97"/>
  <c r="O39" i="97" s="1"/>
  <c r="L39" i="97"/>
  <c r="N38" i="97"/>
  <c r="O38" i="97" s="1"/>
  <c r="L38" i="97"/>
  <c r="N37" i="97"/>
  <c r="O37" i="97" s="1"/>
  <c r="L37" i="97"/>
  <c r="N36" i="97"/>
  <c r="O36" i="97" s="1"/>
  <c r="L36" i="97"/>
  <c r="N35" i="97"/>
  <c r="O35" i="97" s="1"/>
  <c r="L35" i="97"/>
  <c r="N34" i="97"/>
  <c r="O34" i="97" s="1"/>
  <c r="L34" i="97"/>
  <c r="N33" i="97"/>
  <c r="O33" i="97" s="1"/>
  <c r="L33" i="97"/>
  <c r="N32" i="97"/>
  <c r="O32" i="97" s="1"/>
  <c r="L32" i="97"/>
  <c r="N31" i="97"/>
  <c r="O31" i="97" s="1"/>
  <c r="L31" i="97"/>
  <c r="N30" i="97"/>
  <c r="O30" i="97" s="1"/>
  <c r="L30" i="97"/>
  <c r="N28" i="97"/>
  <c r="O28" i="97" s="1"/>
  <c r="L28" i="97"/>
  <c r="N27" i="97"/>
  <c r="O27" i="97" s="1"/>
  <c r="L27" i="97"/>
  <c r="N26" i="97"/>
  <c r="O26" i="97" s="1"/>
  <c r="L26" i="97"/>
  <c r="N25" i="97"/>
  <c r="O25" i="97" s="1"/>
  <c r="L25" i="97"/>
  <c r="N24" i="97"/>
  <c r="O24" i="97" s="1"/>
  <c r="L24" i="97"/>
  <c r="N23" i="97"/>
  <c r="O23" i="97" s="1"/>
  <c r="L23" i="97"/>
  <c r="N22" i="97"/>
  <c r="O22" i="97" s="1"/>
  <c r="L22" i="97"/>
  <c r="N21" i="97"/>
  <c r="O21" i="97" s="1"/>
  <c r="L21" i="97"/>
  <c r="N20" i="97"/>
  <c r="L20" i="97"/>
  <c r="N19" i="97"/>
  <c r="O19" i="97" s="1"/>
  <c r="L19" i="97"/>
  <c r="N18" i="97"/>
  <c r="O18" i="97" s="1"/>
  <c r="L18" i="97"/>
  <c r="N17" i="97"/>
  <c r="O17" i="97" s="1"/>
  <c r="L17" i="97"/>
  <c r="N16" i="97"/>
  <c r="O16" i="97" s="1"/>
  <c r="L16" i="97"/>
  <c r="N15" i="97"/>
  <c r="O15" i="97" s="1"/>
  <c r="L15" i="97"/>
  <c r="L14" i="97"/>
  <c r="M14" i="97" s="1"/>
  <c r="N13" i="97"/>
  <c r="O13" i="97" s="1"/>
  <c r="L13" i="97"/>
  <c r="N12" i="97"/>
  <c r="O12" i="97" s="1"/>
  <c r="L12" i="97"/>
  <c r="N11" i="97"/>
  <c r="O11" i="97" s="1"/>
  <c r="L11" i="97"/>
  <c r="N10" i="97"/>
  <c r="O10" i="97" s="1"/>
  <c r="L10" i="97"/>
  <c r="L9" i="97"/>
  <c r="M9" i="97" s="1"/>
  <c r="L8" i="97"/>
  <c r="N8" i="97" s="1"/>
  <c r="O8" i="97" s="1"/>
  <c r="N7" i="97"/>
  <c r="O7" i="97" s="1"/>
  <c r="L7" i="97"/>
  <c r="N6" i="97"/>
  <c r="O6" i="97" s="1"/>
  <c r="L6" i="97"/>
  <c r="N5" i="97"/>
  <c r="O5" i="97" s="1"/>
  <c r="L5" i="97"/>
  <c r="N4" i="97"/>
  <c r="O4" i="97" s="1"/>
  <c r="L4" i="97"/>
  <c r="N3" i="97"/>
  <c r="O3" i="97" s="1"/>
  <c r="L3" i="97"/>
  <c r="N2" i="97"/>
  <c r="O2" i="97" s="1"/>
  <c r="L2" i="97"/>
  <c r="N55" i="96"/>
  <c r="O55" i="96" s="1"/>
  <c r="N56" i="96"/>
  <c r="O56" i="96" s="1"/>
  <c r="N57" i="96"/>
  <c r="O57" i="96" s="1"/>
  <c r="N58" i="96"/>
  <c r="O58" i="96" s="1"/>
  <c r="N59" i="96"/>
  <c r="O59" i="96" s="1"/>
  <c r="N60" i="96"/>
  <c r="O60" i="96" s="1"/>
  <c r="N61" i="96"/>
  <c r="O61" i="96" s="1"/>
  <c r="N62" i="96"/>
  <c r="O62" i="96" s="1"/>
  <c r="N63" i="96"/>
  <c r="O63" i="96" s="1"/>
  <c r="N64" i="96"/>
  <c r="O64" i="96" s="1"/>
  <c r="N65" i="96"/>
  <c r="O65" i="96" s="1"/>
  <c r="N66" i="96"/>
  <c r="O66" i="96" s="1"/>
  <c r="N67" i="96"/>
  <c r="O67" i="96" s="1"/>
  <c r="N68" i="96"/>
  <c r="O68" i="96" s="1"/>
  <c r="N69" i="96"/>
  <c r="O69" i="96" s="1"/>
  <c r="N70" i="96"/>
  <c r="O70" i="96" s="1"/>
  <c r="N71" i="96"/>
  <c r="O71" i="96" s="1"/>
  <c r="N72" i="96"/>
  <c r="O72" i="96" s="1"/>
  <c r="N73" i="96"/>
  <c r="O73" i="96" s="1"/>
  <c r="N74" i="96"/>
  <c r="O74" i="96" s="1"/>
  <c r="N75" i="96"/>
  <c r="O75" i="96" s="1"/>
  <c r="N76" i="96"/>
  <c r="O76" i="96" s="1"/>
  <c r="N77" i="96"/>
  <c r="O77" i="96" s="1"/>
  <c r="N78" i="96"/>
  <c r="O78" i="96" s="1"/>
  <c r="N79" i="96"/>
  <c r="O79" i="96" s="1"/>
  <c r="L55" i="96"/>
  <c r="M55" i="96" s="1"/>
  <c r="L56" i="96"/>
  <c r="M56" i="96" s="1"/>
  <c r="L57" i="96"/>
  <c r="M57" i="96" s="1"/>
  <c r="L58" i="96"/>
  <c r="M58" i="96" s="1"/>
  <c r="L59" i="96"/>
  <c r="M59" i="96" s="1"/>
  <c r="L60" i="96"/>
  <c r="M60" i="96" s="1"/>
  <c r="L61" i="96"/>
  <c r="M61" i="96" s="1"/>
  <c r="L62" i="96"/>
  <c r="M62" i="96" s="1"/>
  <c r="L63" i="96"/>
  <c r="M63" i="96" s="1"/>
  <c r="L64" i="96"/>
  <c r="M64" i="96" s="1"/>
  <c r="L65" i="96"/>
  <c r="M65" i="96" s="1"/>
  <c r="L66" i="96"/>
  <c r="M66" i="96" s="1"/>
  <c r="L67" i="96"/>
  <c r="M67" i="96" s="1"/>
  <c r="L68" i="96"/>
  <c r="M68" i="96" s="1"/>
  <c r="L69" i="96"/>
  <c r="M69" i="96" s="1"/>
  <c r="L70" i="96"/>
  <c r="M70" i="96" s="1"/>
  <c r="L71" i="96"/>
  <c r="M71" i="96" s="1"/>
  <c r="L72" i="96"/>
  <c r="M72" i="96" s="1"/>
  <c r="L73" i="96"/>
  <c r="M73" i="96" s="1"/>
  <c r="L74" i="96"/>
  <c r="M74" i="96" s="1"/>
  <c r="L75" i="96"/>
  <c r="M75" i="96" s="1"/>
  <c r="L76" i="96"/>
  <c r="M76" i="96" s="1"/>
  <c r="L77" i="96"/>
  <c r="M77" i="96" s="1"/>
  <c r="L78" i="96"/>
  <c r="M78" i="96" s="1"/>
  <c r="L79" i="96"/>
  <c r="M79" i="96" s="1"/>
  <c r="M72" i="77" l="1"/>
  <c r="P72" i="77"/>
  <c r="M76" i="77"/>
  <c r="P76" i="77"/>
  <c r="M80" i="77"/>
  <c r="P80" i="77"/>
  <c r="M45" i="77"/>
  <c r="P45" i="77"/>
  <c r="M53" i="77"/>
  <c r="P53" i="77"/>
  <c r="M69" i="77"/>
  <c r="P69" i="77"/>
  <c r="M73" i="77"/>
  <c r="P73" i="77"/>
  <c r="M77" i="77"/>
  <c r="P77" i="77"/>
  <c r="M81" i="77"/>
  <c r="P81" i="77"/>
  <c r="M58" i="77"/>
  <c r="P58" i="77"/>
  <c r="M70" i="77"/>
  <c r="P70" i="77"/>
  <c r="M74" i="77"/>
  <c r="P74" i="77"/>
  <c r="R167" i="2"/>
  <c r="S167" i="2" s="1"/>
  <c r="N167" i="2"/>
  <c r="M59" i="77"/>
  <c r="P59" i="77"/>
  <c r="M71" i="77"/>
  <c r="P71" i="77"/>
  <c r="M75" i="77"/>
  <c r="P75" i="77"/>
  <c r="P25" i="76"/>
  <c r="O19" i="2"/>
  <c r="N25" i="76"/>
  <c r="O25" i="76" s="1"/>
  <c r="M27" i="75"/>
  <c r="P27" i="75"/>
  <c r="O11" i="74"/>
  <c r="AD137" i="2"/>
  <c r="M65" i="74"/>
  <c r="P65" i="74"/>
  <c r="M69" i="74"/>
  <c r="P69" i="74"/>
  <c r="M73" i="74"/>
  <c r="P73" i="74"/>
  <c r="M77" i="74"/>
  <c r="P77" i="74"/>
  <c r="M81" i="74"/>
  <c r="P81" i="74"/>
  <c r="N33" i="74"/>
  <c r="P33" i="74"/>
  <c r="M45" i="74"/>
  <c r="P45" i="74"/>
  <c r="M64" i="74"/>
  <c r="P64" i="74"/>
  <c r="M68" i="74"/>
  <c r="P68" i="74"/>
  <c r="M72" i="74"/>
  <c r="P72" i="74"/>
  <c r="M76" i="74"/>
  <c r="P76" i="74"/>
  <c r="M80" i="74"/>
  <c r="P80" i="74"/>
  <c r="M66" i="74"/>
  <c r="P66" i="74"/>
  <c r="M70" i="74"/>
  <c r="P70" i="74"/>
  <c r="M78" i="74"/>
  <c r="P78" i="74"/>
  <c r="M67" i="74"/>
  <c r="P67" i="74"/>
  <c r="M79" i="74"/>
  <c r="P79" i="74"/>
  <c r="M47" i="74"/>
  <c r="P47" i="74"/>
  <c r="AD79" i="2"/>
  <c r="P7" i="73"/>
  <c r="N68" i="2"/>
  <c r="R68" i="2"/>
  <c r="S68" i="2" s="1"/>
  <c r="I68" i="67" s="1"/>
  <c r="N22" i="73"/>
  <c r="O22" i="73" s="1"/>
  <c r="N31" i="73"/>
  <c r="O31" i="73" s="1"/>
  <c r="N17" i="72"/>
  <c r="O17" i="72" s="1"/>
  <c r="M32" i="72"/>
  <c r="P32" i="72"/>
  <c r="N40" i="71"/>
  <c r="O40" i="71" s="1"/>
  <c r="O194" i="2"/>
  <c r="P45" i="71"/>
  <c r="R23" i="2"/>
  <c r="S23" i="2" s="1"/>
  <c r="I23" i="67" s="1"/>
  <c r="N23" i="2"/>
  <c r="M46" i="71"/>
  <c r="P46" i="71"/>
  <c r="R64" i="2"/>
  <c r="S64" i="2" s="1"/>
  <c r="M68" i="70"/>
  <c r="P68" i="70"/>
  <c r="AD50" i="2"/>
  <c r="AB50" i="2"/>
  <c r="M67" i="70"/>
  <c r="P67" i="70"/>
  <c r="M69" i="70"/>
  <c r="P69" i="70"/>
  <c r="AB64" i="2"/>
  <c r="M66" i="70"/>
  <c r="P66" i="70"/>
  <c r="M56" i="69"/>
  <c r="P56" i="69"/>
  <c r="M65" i="69"/>
  <c r="P65" i="69"/>
  <c r="M70" i="69"/>
  <c r="P70" i="69"/>
  <c r="M76" i="69"/>
  <c r="P76" i="69"/>
  <c r="M84" i="69"/>
  <c r="P84" i="69"/>
  <c r="M67" i="69"/>
  <c r="P67" i="69"/>
  <c r="M72" i="69"/>
  <c r="P72" i="69"/>
  <c r="M78" i="69"/>
  <c r="P78" i="69"/>
  <c r="M63" i="69"/>
  <c r="P63" i="69"/>
  <c r="M79" i="69"/>
  <c r="P79" i="69"/>
  <c r="M64" i="69"/>
  <c r="P64" i="69"/>
  <c r="M69" i="69"/>
  <c r="P69" i="69"/>
  <c r="M75" i="69"/>
  <c r="P75" i="69"/>
  <c r="M80" i="69"/>
  <c r="P80" i="69"/>
  <c r="M81" i="69"/>
  <c r="P81" i="69"/>
  <c r="M7" i="97"/>
  <c r="P7" i="97"/>
  <c r="N151" i="2"/>
  <c r="M15" i="97"/>
  <c r="P15" i="97"/>
  <c r="M23" i="97"/>
  <c r="P23" i="97"/>
  <c r="M13" i="97"/>
  <c r="P13" i="97"/>
  <c r="M21" i="97"/>
  <c r="P21" i="97"/>
  <c r="M27" i="97"/>
  <c r="P27" i="97"/>
  <c r="M32" i="97"/>
  <c r="P32" i="97"/>
  <c r="M38" i="97"/>
  <c r="P38" i="97"/>
  <c r="M4" i="97"/>
  <c r="P4" i="97"/>
  <c r="M12" i="97"/>
  <c r="P12" i="97"/>
  <c r="M20" i="97"/>
  <c r="P20" i="97"/>
  <c r="M3" i="97"/>
  <c r="P3" i="97"/>
  <c r="M5" i="97"/>
  <c r="P5" i="97"/>
  <c r="M11" i="97"/>
  <c r="P11" i="97"/>
  <c r="M19" i="97"/>
  <c r="P19" i="97"/>
  <c r="M30" i="97"/>
  <c r="P30" i="97"/>
  <c r="M40" i="97"/>
  <c r="P40" i="97"/>
  <c r="N9" i="97"/>
  <c r="O9" i="97" s="1"/>
  <c r="M6" i="97"/>
  <c r="P6" i="97"/>
  <c r="M10" i="97"/>
  <c r="P10" i="97"/>
  <c r="M16" i="97"/>
  <c r="P16" i="97"/>
  <c r="M18" i="97"/>
  <c r="P18" i="97"/>
  <c r="M22" i="97"/>
  <c r="P22" i="97"/>
  <c r="M24" i="97"/>
  <c r="P24" i="97"/>
  <c r="M26" i="97"/>
  <c r="P26" i="97"/>
  <c r="M28" i="97"/>
  <c r="P28" i="97"/>
  <c r="M31" i="97"/>
  <c r="P31" i="97"/>
  <c r="M33" i="97"/>
  <c r="P33" i="97"/>
  <c r="M35" i="97"/>
  <c r="P35" i="97"/>
  <c r="M37" i="97"/>
  <c r="P37" i="97"/>
  <c r="M39" i="97"/>
  <c r="P39" i="97"/>
  <c r="N14" i="97"/>
  <c r="O14" i="97" s="1"/>
  <c r="O20" i="97"/>
  <c r="AD72" i="2"/>
  <c r="M17" i="97"/>
  <c r="P17" i="97"/>
  <c r="M25" i="97"/>
  <c r="P25" i="97"/>
  <c r="M36" i="97"/>
  <c r="P36" i="97"/>
  <c r="P11" i="94"/>
  <c r="O149" i="2"/>
  <c r="N11" i="94"/>
  <c r="O11" i="94" s="1"/>
  <c r="N6" i="92"/>
  <c r="O6" i="92" s="1"/>
  <c r="M14" i="92"/>
  <c r="P14" i="92"/>
  <c r="O29" i="90"/>
  <c r="AD127" i="2"/>
  <c r="O4" i="89"/>
  <c r="AD180" i="2"/>
  <c r="M16" i="90"/>
  <c r="P16" i="90"/>
  <c r="M12" i="90"/>
  <c r="P12" i="90"/>
  <c r="M17" i="90"/>
  <c r="P17" i="90"/>
  <c r="M23" i="89"/>
  <c r="P23" i="89"/>
  <c r="N21" i="89"/>
  <c r="O21" i="89" s="1"/>
  <c r="P21" i="89"/>
  <c r="M22" i="89"/>
  <c r="P22" i="89"/>
  <c r="N18" i="88"/>
  <c r="O18" i="88" s="1"/>
  <c r="P16" i="82"/>
  <c r="AC48" i="2" s="1"/>
  <c r="N48" i="2"/>
  <c r="R48" i="2"/>
  <c r="S48" i="2" s="1"/>
  <c r="O9" i="82"/>
  <c r="AD166" i="2"/>
  <c r="O16" i="82"/>
  <c r="AD48" i="2"/>
  <c r="AB48" i="2"/>
  <c r="M28" i="88"/>
  <c r="P28" i="88"/>
  <c r="M31" i="88"/>
  <c r="P31" i="88"/>
  <c r="N9" i="88"/>
  <c r="O9" i="88" s="1"/>
  <c r="N15" i="88"/>
  <c r="O15" i="88" s="1"/>
  <c r="N17" i="88"/>
  <c r="O17" i="88" s="1"/>
  <c r="N20" i="88"/>
  <c r="O20" i="88" s="1"/>
  <c r="M29" i="88"/>
  <c r="P29" i="88"/>
  <c r="M32" i="88"/>
  <c r="P32" i="88"/>
  <c r="N27" i="88"/>
  <c r="O27" i="88" s="1"/>
  <c r="P27" i="88"/>
  <c r="M31" i="87"/>
  <c r="P31" i="87"/>
  <c r="M33" i="87"/>
  <c r="P33" i="87"/>
  <c r="N103" i="2"/>
  <c r="R103" i="2"/>
  <c r="S103" i="2" s="1"/>
  <c r="N7" i="87"/>
  <c r="O7" i="87" s="1"/>
  <c r="O2" i="87"/>
  <c r="AB103" i="2"/>
  <c r="AD103" i="2"/>
  <c r="N10" i="87"/>
  <c r="O10" i="87" s="1"/>
  <c r="P23" i="87"/>
  <c r="AC156" i="2" s="1"/>
  <c r="O156" i="2"/>
  <c r="R156" i="2"/>
  <c r="S156" i="2" s="1"/>
  <c r="M32" i="87"/>
  <c r="P32" i="87"/>
  <c r="M35" i="87"/>
  <c r="P35" i="87"/>
  <c r="O8" i="86"/>
  <c r="AD90" i="2"/>
  <c r="M18" i="86"/>
  <c r="P18" i="86"/>
  <c r="M40" i="85"/>
  <c r="P40" i="85"/>
  <c r="M42" i="85"/>
  <c r="P42" i="85"/>
  <c r="M44" i="85"/>
  <c r="P44" i="85"/>
  <c r="M46" i="85"/>
  <c r="P46" i="85"/>
  <c r="M48" i="85"/>
  <c r="P48" i="85"/>
  <c r="M50" i="85"/>
  <c r="P50" i="85"/>
  <c r="M52" i="85"/>
  <c r="P52" i="85"/>
  <c r="M54" i="85"/>
  <c r="P54" i="85"/>
  <c r="M56" i="85"/>
  <c r="P56" i="85"/>
  <c r="M58" i="85"/>
  <c r="P58" i="85"/>
  <c r="M60" i="85"/>
  <c r="P60" i="85"/>
  <c r="M64" i="85"/>
  <c r="P64" i="85"/>
  <c r="M66" i="85"/>
  <c r="P66" i="85"/>
  <c r="M35" i="85"/>
  <c r="P35" i="85"/>
  <c r="N37" i="85"/>
  <c r="O37" i="85" s="1"/>
  <c r="P37" i="85"/>
  <c r="M34" i="85"/>
  <c r="P34" i="85"/>
  <c r="M36" i="85"/>
  <c r="P36" i="85"/>
  <c r="N39" i="85"/>
  <c r="O39" i="85" s="1"/>
  <c r="P39" i="85"/>
  <c r="O65" i="85"/>
  <c r="AD116" i="2"/>
  <c r="O35" i="85"/>
  <c r="M38" i="85"/>
  <c r="P38" i="85"/>
  <c r="M41" i="85"/>
  <c r="P41" i="85"/>
  <c r="M43" i="85"/>
  <c r="P43" i="85"/>
  <c r="M47" i="85"/>
  <c r="P47" i="85"/>
  <c r="M49" i="85"/>
  <c r="P49" i="85"/>
  <c r="M51" i="85"/>
  <c r="P51" i="85"/>
  <c r="M53" i="85"/>
  <c r="P53" i="85"/>
  <c r="M55" i="85"/>
  <c r="P55" i="85"/>
  <c r="M59" i="85"/>
  <c r="P59" i="85"/>
  <c r="M63" i="85"/>
  <c r="P63" i="85"/>
  <c r="M65" i="85"/>
  <c r="P65" i="85"/>
  <c r="AC116" i="2" s="1"/>
  <c r="N7" i="84"/>
  <c r="O7" i="84" s="1"/>
  <c r="N6" i="83"/>
  <c r="O6" i="83" s="1"/>
  <c r="N8" i="83"/>
  <c r="O8" i="83" s="1"/>
  <c r="M12" i="83"/>
  <c r="P12" i="83"/>
  <c r="M21" i="83"/>
  <c r="P21" i="83"/>
  <c r="AD104" i="2"/>
  <c r="R175" i="2"/>
  <c r="S175" i="2" s="1"/>
  <c r="N175" i="2"/>
  <c r="P34" i="74"/>
  <c r="O86" i="2"/>
  <c r="M41" i="77"/>
  <c r="P41" i="77"/>
  <c r="N92" i="2"/>
  <c r="N13" i="81"/>
  <c r="M44" i="81"/>
  <c r="P44" i="81"/>
  <c r="N16" i="81"/>
  <c r="O16" i="81" s="1"/>
  <c r="N18" i="81"/>
  <c r="O18" i="81" s="1"/>
  <c r="M43" i="81"/>
  <c r="P43" i="81"/>
  <c r="M45" i="81"/>
  <c r="P45" i="81"/>
  <c r="M36" i="77"/>
  <c r="P36" i="77"/>
  <c r="M39" i="77"/>
  <c r="P39" i="77"/>
  <c r="M43" i="77"/>
  <c r="P43" i="77"/>
  <c r="M47" i="77"/>
  <c r="P47" i="77"/>
  <c r="M49" i="77"/>
  <c r="P49" i="77"/>
  <c r="M51" i="77"/>
  <c r="P51" i="77"/>
  <c r="M55" i="77"/>
  <c r="AH167" i="2" s="1"/>
  <c r="P55" i="77"/>
  <c r="AC167" i="2" s="1"/>
  <c r="M57" i="77"/>
  <c r="P57" i="77"/>
  <c r="M61" i="77"/>
  <c r="P61" i="77"/>
  <c r="M63" i="77"/>
  <c r="P63" i="77"/>
  <c r="M65" i="77"/>
  <c r="P65" i="77"/>
  <c r="M67" i="77"/>
  <c r="P67" i="77"/>
  <c r="M32" i="77"/>
  <c r="P32" i="77"/>
  <c r="N32" i="77"/>
  <c r="O32" i="77" s="1"/>
  <c r="M34" i="77"/>
  <c r="P34" i="77"/>
  <c r="M37" i="77"/>
  <c r="P37" i="77"/>
  <c r="M40" i="77"/>
  <c r="P40" i="77"/>
  <c r="M42" i="77"/>
  <c r="P42" i="77"/>
  <c r="M44" i="77"/>
  <c r="P44" i="77"/>
  <c r="M46" i="77"/>
  <c r="P46" i="77"/>
  <c r="M48" i="77"/>
  <c r="P48" i="77"/>
  <c r="M50" i="77"/>
  <c r="P50" i="77"/>
  <c r="M52" i="77"/>
  <c r="P52" i="77"/>
  <c r="M54" i="77"/>
  <c r="P54" i="77"/>
  <c r="M56" i="77"/>
  <c r="P56" i="77"/>
  <c r="M60" i="77"/>
  <c r="P60" i="77"/>
  <c r="M62" i="77"/>
  <c r="P62" i="77"/>
  <c r="M64" i="77"/>
  <c r="P64" i="77"/>
  <c r="M66" i="77"/>
  <c r="P66" i="77"/>
  <c r="M31" i="77"/>
  <c r="P31" i="77"/>
  <c r="M33" i="77"/>
  <c r="P33" i="77"/>
  <c r="M35" i="77"/>
  <c r="P35" i="77"/>
  <c r="O41" i="2"/>
  <c r="P13" i="76"/>
  <c r="M36" i="76"/>
  <c r="P36" i="76"/>
  <c r="M52" i="76"/>
  <c r="P52" i="76"/>
  <c r="N10" i="76"/>
  <c r="O10" i="76" s="1"/>
  <c r="P10" i="76"/>
  <c r="N21" i="76"/>
  <c r="O21" i="76" s="1"/>
  <c r="P21" i="76"/>
  <c r="M51" i="76"/>
  <c r="P51" i="76"/>
  <c r="M53" i="76"/>
  <c r="P53" i="76"/>
  <c r="M11" i="76"/>
  <c r="P11" i="76"/>
  <c r="M49" i="76"/>
  <c r="P49" i="76"/>
  <c r="O106" i="2"/>
  <c r="P16" i="75"/>
  <c r="M44" i="75"/>
  <c r="P44" i="75"/>
  <c r="M51" i="75"/>
  <c r="P51" i="75"/>
  <c r="M56" i="75"/>
  <c r="P56" i="75"/>
  <c r="M67" i="75"/>
  <c r="P67" i="75"/>
  <c r="O69" i="75"/>
  <c r="AD117" i="2"/>
  <c r="O73" i="75"/>
  <c r="O40" i="2"/>
  <c r="P10" i="75"/>
  <c r="N12" i="75"/>
  <c r="P12" i="75"/>
  <c r="N15" i="75"/>
  <c r="O15" i="75" s="1"/>
  <c r="P15" i="75"/>
  <c r="M25" i="75"/>
  <c r="P25" i="75"/>
  <c r="P24" i="2"/>
  <c r="P29" i="75"/>
  <c r="M31" i="75"/>
  <c r="P31" i="75"/>
  <c r="M33" i="75"/>
  <c r="P33" i="75"/>
  <c r="M35" i="75"/>
  <c r="P35" i="75"/>
  <c r="M37" i="75"/>
  <c r="P37" i="75"/>
  <c r="M39" i="75"/>
  <c r="P39" i="75"/>
  <c r="N41" i="75"/>
  <c r="P41" i="75"/>
  <c r="AC65" i="2" s="1"/>
  <c r="N65" i="2"/>
  <c r="R65" i="2"/>
  <c r="S65" i="2" s="1"/>
  <c r="M46" i="75"/>
  <c r="P46" i="75"/>
  <c r="M48" i="75"/>
  <c r="P48" i="75"/>
  <c r="N53" i="75"/>
  <c r="P53" i="75"/>
  <c r="M58" i="75"/>
  <c r="P58" i="75"/>
  <c r="M60" i="75"/>
  <c r="P60" i="75"/>
  <c r="M62" i="75"/>
  <c r="P62" i="75"/>
  <c r="M64" i="75"/>
  <c r="P64" i="75"/>
  <c r="M66" i="75"/>
  <c r="P66" i="75"/>
  <c r="M69" i="75"/>
  <c r="P69" i="75"/>
  <c r="M71" i="75"/>
  <c r="P71" i="75"/>
  <c r="M73" i="75"/>
  <c r="P73" i="75"/>
  <c r="M75" i="75"/>
  <c r="P75" i="75"/>
  <c r="P20" i="75"/>
  <c r="N171" i="2"/>
  <c r="M26" i="75"/>
  <c r="P26" i="75"/>
  <c r="M32" i="75"/>
  <c r="P32" i="75"/>
  <c r="M34" i="75"/>
  <c r="P34" i="75"/>
  <c r="M38" i="75"/>
  <c r="P38" i="75"/>
  <c r="M40" i="75"/>
  <c r="P40" i="75"/>
  <c r="M47" i="75"/>
  <c r="P47" i="75"/>
  <c r="M49" i="75"/>
  <c r="P49" i="75"/>
  <c r="M61" i="75"/>
  <c r="P61" i="75"/>
  <c r="M63" i="75"/>
  <c r="P63" i="75"/>
  <c r="M65" i="75"/>
  <c r="P65" i="75"/>
  <c r="M72" i="75"/>
  <c r="P72" i="75"/>
  <c r="M74" i="75"/>
  <c r="P74" i="75"/>
  <c r="AD88" i="2"/>
  <c r="O37" i="2"/>
  <c r="P9" i="75"/>
  <c r="N14" i="75"/>
  <c r="O14" i="75" s="1"/>
  <c r="P14" i="75"/>
  <c r="M50" i="75"/>
  <c r="P50" i="75"/>
  <c r="N52" i="75"/>
  <c r="O52" i="75" s="1"/>
  <c r="P52" i="75"/>
  <c r="M55" i="75"/>
  <c r="P55" i="75"/>
  <c r="M57" i="75"/>
  <c r="P57" i="75"/>
  <c r="N68" i="75"/>
  <c r="P68" i="75"/>
  <c r="O6" i="74"/>
  <c r="AD160" i="2"/>
  <c r="N34" i="74"/>
  <c r="O34" i="74" s="1"/>
  <c r="N39" i="74"/>
  <c r="M42" i="74"/>
  <c r="P42" i="74"/>
  <c r="M49" i="74"/>
  <c r="P49" i="74"/>
  <c r="M53" i="74"/>
  <c r="P53" i="74"/>
  <c r="M57" i="74"/>
  <c r="P57" i="74"/>
  <c r="M59" i="74"/>
  <c r="P59" i="74"/>
  <c r="M61" i="74"/>
  <c r="P61" i="74"/>
  <c r="M63" i="74"/>
  <c r="P63" i="74"/>
  <c r="M48" i="74"/>
  <c r="P48" i="74"/>
  <c r="M52" i="74"/>
  <c r="P52" i="74"/>
  <c r="M54" i="74"/>
  <c r="P54" i="74"/>
  <c r="M56" i="74"/>
  <c r="P56" i="74"/>
  <c r="M58" i="74"/>
  <c r="P58" i="74"/>
  <c r="M60" i="74"/>
  <c r="P60" i="74"/>
  <c r="M62" i="74"/>
  <c r="P62" i="74"/>
  <c r="N26" i="74"/>
  <c r="O26" i="74" s="1"/>
  <c r="P14" i="73"/>
  <c r="AC73" i="2" s="1"/>
  <c r="N73" i="2"/>
  <c r="R73" i="2"/>
  <c r="S73" i="2" s="1"/>
  <c r="P20" i="73"/>
  <c r="AC190" i="2" s="1"/>
  <c r="N190" i="2"/>
  <c r="R190" i="2"/>
  <c r="S190" i="2" s="1"/>
  <c r="P13" i="73"/>
  <c r="N70" i="2"/>
  <c r="R70" i="2"/>
  <c r="S70" i="2" s="1"/>
  <c r="N7" i="73"/>
  <c r="N9" i="73"/>
  <c r="AD73" i="2"/>
  <c r="AB73" i="2"/>
  <c r="O20" i="73"/>
  <c r="AD190" i="2"/>
  <c r="AB190" i="2"/>
  <c r="N4" i="73"/>
  <c r="O4" i="73" s="1"/>
  <c r="P4" i="73"/>
  <c r="P6" i="73"/>
  <c r="O88" i="2"/>
  <c r="O40" i="72"/>
  <c r="M20" i="72"/>
  <c r="P20" i="72"/>
  <c r="N23" i="70"/>
  <c r="M56" i="70"/>
  <c r="P56" i="70"/>
  <c r="R181" i="2"/>
  <c r="S181" i="2" s="1"/>
  <c r="N181" i="2"/>
  <c r="N22" i="70"/>
  <c r="M18" i="69"/>
  <c r="P18" i="69"/>
  <c r="M22" i="69"/>
  <c r="P22" i="69"/>
  <c r="N26" i="69"/>
  <c r="AD157" i="2" s="1"/>
  <c r="P26" i="69"/>
  <c r="M34" i="69"/>
  <c r="P34" i="69"/>
  <c r="N27" i="69"/>
  <c r="P27" i="69"/>
  <c r="M32" i="94"/>
  <c r="P32" i="94"/>
  <c r="M21" i="94"/>
  <c r="P21" i="94"/>
  <c r="M13" i="94"/>
  <c r="P13" i="94"/>
  <c r="M30" i="94"/>
  <c r="P30" i="94"/>
  <c r="M35" i="93"/>
  <c r="P35" i="93"/>
  <c r="M37" i="93"/>
  <c r="P37" i="93"/>
  <c r="M39" i="93"/>
  <c r="P39" i="93"/>
  <c r="M41" i="93"/>
  <c r="P41" i="93"/>
  <c r="M43" i="93"/>
  <c r="P43" i="93"/>
  <c r="M45" i="93"/>
  <c r="P45" i="93"/>
  <c r="M33" i="93"/>
  <c r="P33" i="93"/>
  <c r="N15" i="93"/>
  <c r="P15" i="93"/>
  <c r="M36" i="93"/>
  <c r="P36" i="93"/>
  <c r="M38" i="93"/>
  <c r="P38" i="93"/>
  <c r="M40" i="93"/>
  <c r="P40" i="93"/>
  <c r="M42" i="93"/>
  <c r="P42" i="93"/>
  <c r="M44" i="93"/>
  <c r="P44" i="93"/>
  <c r="M32" i="93"/>
  <c r="P32" i="93"/>
  <c r="O110" i="2"/>
  <c r="P34" i="93"/>
  <c r="M25" i="92"/>
  <c r="P25" i="92"/>
  <c r="O27" i="92"/>
  <c r="P27" i="92"/>
  <c r="O7" i="92"/>
  <c r="AD144" i="2"/>
  <c r="N9" i="92"/>
  <c r="O9" i="92" s="1"/>
  <c r="N13" i="92"/>
  <c r="O13" i="92" s="1"/>
  <c r="M28" i="92"/>
  <c r="P28" i="92"/>
  <c r="O98" i="2"/>
  <c r="P30" i="92"/>
  <c r="M33" i="92"/>
  <c r="P33" i="92"/>
  <c r="M37" i="92"/>
  <c r="P37" i="92"/>
  <c r="M39" i="92"/>
  <c r="P39" i="92"/>
  <c r="M41" i="92"/>
  <c r="P41" i="92"/>
  <c r="M43" i="92"/>
  <c r="P43" i="92"/>
  <c r="M19" i="92"/>
  <c r="P19" i="92"/>
  <c r="M26" i="92"/>
  <c r="P26" i="92"/>
  <c r="M31" i="92"/>
  <c r="P31" i="92"/>
  <c r="O33" i="92"/>
  <c r="AD132" i="2"/>
  <c r="M15" i="92"/>
  <c r="P15" i="92"/>
  <c r="M32" i="92"/>
  <c r="P32" i="92"/>
  <c r="M34" i="92"/>
  <c r="P34" i="92"/>
  <c r="M36" i="92"/>
  <c r="P36" i="92"/>
  <c r="M38" i="92"/>
  <c r="P38" i="92"/>
  <c r="M40" i="92"/>
  <c r="P40" i="92"/>
  <c r="M42" i="92"/>
  <c r="P42" i="92"/>
  <c r="M32" i="91"/>
  <c r="P32" i="91"/>
  <c r="M25" i="91"/>
  <c r="P25" i="91"/>
  <c r="M45" i="91"/>
  <c r="P45" i="91"/>
  <c r="M47" i="91"/>
  <c r="P47" i="91"/>
  <c r="M49" i="91"/>
  <c r="P49" i="91"/>
  <c r="M51" i="91"/>
  <c r="P51" i="91"/>
  <c r="M55" i="91"/>
  <c r="P55" i="91"/>
  <c r="M57" i="91"/>
  <c r="P57" i="91"/>
  <c r="M33" i="91"/>
  <c r="P33" i="91"/>
  <c r="M35" i="91"/>
  <c r="P35" i="91"/>
  <c r="M37" i="91"/>
  <c r="P37" i="91"/>
  <c r="M39" i="91"/>
  <c r="P39" i="91"/>
  <c r="M41" i="91"/>
  <c r="P41" i="91"/>
  <c r="O57" i="91"/>
  <c r="M34" i="91"/>
  <c r="P34" i="91"/>
  <c r="M36" i="91"/>
  <c r="P36" i="91"/>
  <c r="M38" i="91"/>
  <c r="P38" i="91"/>
  <c r="M40" i="91"/>
  <c r="P40" i="91"/>
  <c r="N21" i="91"/>
  <c r="O21" i="91" s="1"/>
  <c r="P21" i="91"/>
  <c r="M42" i="91"/>
  <c r="P42" i="91"/>
  <c r="M44" i="91"/>
  <c r="P44" i="91"/>
  <c r="M46" i="91"/>
  <c r="P46" i="91"/>
  <c r="M48" i="91"/>
  <c r="P48" i="91"/>
  <c r="M50" i="91"/>
  <c r="P50" i="91"/>
  <c r="M52" i="91"/>
  <c r="P52" i="91"/>
  <c r="M54" i="91"/>
  <c r="P54" i="91"/>
  <c r="M56" i="91"/>
  <c r="P56" i="91"/>
  <c r="M58" i="91"/>
  <c r="P58" i="91"/>
  <c r="N13" i="76"/>
  <c r="N36" i="76"/>
  <c r="M37" i="76"/>
  <c r="P37" i="76"/>
  <c r="O6" i="85"/>
  <c r="AD173" i="2"/>
  <c r="AB173" i="2"/>
  <c r="O11" i="85"/>
  <c r="AD108" i="2"/>
  <c r="P6" i="85"/>
  <c r="R173" i="2"/>
  <c r="S173" i="2" s="1"/>
  <c r="O32" i="85"/>
  <c r="AD86" i="2"/>
  <c r="M32" i="85"/>
  <c r="P32" i="85"/>
  <c r="M27" i="90"/>
  <c r="P27" i="90"/>
  <c r="M30" i="90"/>
  <c r="P30" i="90"/>
  <c r="M32" i="90"/>
  <c r="P32" i="90"/>
  <c r="M34" i="90"/>
  <c r="P34" i="90"/>
  <c r="M36" i="90"/>
  <c r="P36" i="90"/>
  <c r="M38" i="90"/>
  <c r="P38" i="90"/>
  <c r="M40" i="90"/>
  <c r="P40" i="90"/>
  <c r="M42" i="90"/>
  <c r="P42" i="90"/>
  <c r="P22" i="90"/>
  <c r="O112" i="2"/>
  <c r="M28" i="90"/>
  <c r="P28" i="90"/>
  <c r="O34" i="90"/>
  <c r="AD158" i="2"/>
  <c r="N11" i="90"/>
  <c r="O11" i="90" s="1"/>
  <c r="M31" i="90"/>
  <c r="P31" i="90"/>
  <c r="M33" i="90"/>
  <c r="P33" i="90"/>
  <c r="M35" i="90"/>
  <c r="O151" i="2"/>
  <c r="M39" i="90"/>
  <c r="P39" i="90"/>
  <c r="M41" i="90"/>
  <c r="P41" i="90"/>
  <c r="M43" i="90"/>
  <c r="P43" i="90"/>
  <c r="M26" i="90"/>
  <c r="P26" i="90"/>
  <c r="N35" i="90"/>
  <c r="N37" i="90"/>
  <c r="O37" i="90" s="1"/>
  <c r="O26" i="89"/>
  <c r="M33" i="89"/>
  <c r="P33" i="89"/>
  <c r="M39" i="89"/>
  <c r="P39" i="89"/>
  <c r="N11" i="89"/>
  <c r="O11" i="89" s="1"/>
  <c r="N23" i="89"/>
  <c r="O23" i="89" s="1"/>
  <c r="M34" i="89"/>
  <c r="P34" i="89"/>
  <c r="M21" i="89"/>
  <c r="O49" i="2"/>
  <c r="M25" i="89"/>
  <c r="P25" i="89"/>
  <c r="M27" i="89"/>
  <c r="P27" i="89"/>
  <c r="M29" i="89"/>
  <c r="P29" i="89"/>
  <c r="M31" i="89"/>
  <c r="P31" i="89"/>
  <c r="P19" i="89"/>
  <c r="O28" i="2"/>
  <c r="M24" i="89"/>
  <c r="P24" i="89"/>
  <c r="M26" i="89"/>
  <c r="P26" i="89"/>
  <c r="M30" i="89"/>
  <c r="P30" i="89"/>
  <c r="M32" i="89"/>
  <c r="P32" i="89"/>
  <c r="M35" i="89"/>
  <c r="P35" i="89"/>
  <c r="M38" i="89"/>
  <c r="P38" i="89"/>
  <c r="M41" i="89"/>
  <c r="P41" i="89"/>
  <c r="AD146" i="2"/>
  <c r="M19" i="88"/>
  <c r="P19" i="88"/>
  <c r="M8" i="88"/>
  <c r="P8" i="88"/>
  <c r="M10" i="88"/>
  <c r="P10" i="88"/>
  <c r="M9" i="87"/>
  <c r="P9" i="87"/>
  <c r="M15" i="87"/>
  <c r="P15" i="87"/>
  <c r="M19" i="87"/>
  <c r="P19" i="87"/>
  <c r="M12" i="87"/>
  <c r="P12" i="87"/>
  <c r="M16" i="87"/>
  <c r="P16" i="87"/>
  <c r="M20" i="87"/>
  <c r="P20" i="87"/>
  <c r="M29" i="87"/>
  <c r="P29" i="87"/>
  <c r="AD196" i="2"/>
  <c r="M27" i="87"/>
  <c r="P27" i="87"/>
  <c r="M13" i="87"/>
  <c r="P13" i="87"/>
  <c r="M17" i="87"/>
  <c r="P17" i="87"/>
  <c r="M28" i="87"/>
  <c r="P28" i="87"/>
  <c r="M30" i="87"/>
  <c r="P30" i="87"/>
  <c r="N14" i="87"/>
  <c r="O14" i="87" s="1"/>
  <c r="P14" i="87"/>
  <c r="M18" i="87"/>
  <c r="P18" i="87"/>
  <c r="N16" i="86"/>
  <c r="M25" i="86"/>
  <c r="P25" i="86"/>
  <c r="N28" i="86"/>
  <c r="O28" i="86" s="1"/>
  <c r="P28" i="86"/>
  <c r="N29" i="86"/>
  <c r="O29" i="86" s="1"/>
  <c r="P29" i="86"/>
  <c r="AD164" i="2"/>
  <c r="O8" i="85"/>
  <c r="M21" i="85"/>
  <c r="P21" i="85"/>
  <c r="M30" i="85"/>
  <c r="P30" i="85"/>
  <c r="M33" i="85"/>
  <c r="P33" i="85"/>
  <c r="N12" i="85"/>
  <c r="P12" i="85"/>
  <c r="M17" i="85"/>
  <c r="P17" i="85"/>
  <c r="M31" i="85"/>
  <c r="P31" i="85"/>
  <c r="M17" i="84"/>
  <c r="P17" i="84"/>
  <c r="N24" i="84"/>
  <c r="O24" i="84" s="1"/>
  <c r="P24" i="84"/>
  <c r="M36" i="84"/>
  <c r="P36" i="84"/>
  <c r="M36" i="83"/>
  <c r="P36" i="83"/>
  <c r="M38" i="83"/>
  <c r="P38" i="83"/>
  <c r="M40" i="83"/>
  <c r="P40" i="83"/>
  <c r="M42" i="83"/>
  <c r="P42" i="83"/>
  <c r="M44" i="83"/>
  <c r="P44" i="83"/>
  <c r="M46" i="83"/>
  <c r="P46" i="83"/>
  <c r="M48" i="83"/>
  <c r="P48" i="83"/>
  <c r="M50" i="83"/>
  <c r="P50" i="83"/>
  <c r="M52" i="83"/>
  <c r="P52" i="83"/>
  <c r="M54" i="83"/>
  <c r="P54" i="83"/>
  <c r="M56" i="83"/>
  <c r="P56" i="83"/>
  <c r="M58" i="83"/>
  <c r="P58" i="83"/>
  <c r="M60" i="83"/>
  <c r="P60" i="83"/>
  <c r="M62" i="83"/>
  <c r="P62" i="83"/>
  <c r="M64" i="83"/>
  <c r="P64" i="83"/>
  <c r="M66" i="83"/>
  <c r="P66" i="83"/>
  <c r="M14" i="83"/>
  <c r="P14" i="83"/>
  <c r="N17" i="83"/>
  <c r="O17" i="83" s="1"/>
  <c r="P28" i="83"/>
  <c r="AC163" i="2" s="1"/>
  <c r="R163" i="2"/>
  <c r="S163" i="2" s="1"/>
  <c r="N163" i="2"/>
  <c r="M15" i="83"/>
  <c r="P15" i="83"/>
  <c r="M26" i="83"/>
  <c r="P26" i="83"/>
  <c r="O28" i="83"/>
  <c r="M37" i="83"/>
  <c r="P37" i="83"/>
  <c r="M39" i="83"/>
  <c r="P39" i="83"/>
  <c r="M41" i="83"/>
  <c r="P41" i="83"/>
  <c r="M43" i="83"/>
  <c r="P43" i="83"/>
  <c r="M45" i="83"/>
  <c r="P45" i="83"/>
  <c r="M47" i="83"/>
  <c r="P47" i="83"/>
  <c r="M49" i="83"/>
  <c r="P49" i="83"/>
  <c r="M51" i="83"/>
  <c r="P51" i="83"/>
  <c r="M53" i="83"/>
  <c r="P53" i="83"/>
  <c r="M57" i="83"/>
  <c r="P57" i="83"/>
  <c r="M59" i="83"/>
  <c r="P59" i="83"/>
  <c r="M61" i="83"/>
  <c r="P61" i="83"/>
  <c r="M63" i="83"/>
  <c r="P63" i="83"/>
  <c r="M65" i="83"/>
  <c r="P65" i="83"/>
  <c r="N9" i="83"/>
  <c r="O9" i="83" s="1"/>
  <c r="N17" i="82"/>
  <c r="O17" i="82" s="1"/>
  <c r="N19" i="82"/>
  <c r="O19" i="82" s="1"/>
  <c r="N11" i="82"/>
  <c r="O11" i="82" s="1"/>
  <c r="P28" i="82"/>
  <c r="AC55" i="2" s="1"/>
  <c r="R55" i="2"/>
  <c r="S55" i="2" s="1"/>
  <c r="N55" i="2"/>
  <c r="M27" i="81"/>
  <c r="P27" i="81"/>
  <c r="M30" i="81"/>
  <c r="P30" i="81"/>
  <c r="M33" i="81"/>
  <c r="P33" i="81"/>
  <c r="M35" i="81"/>
  <c r="P35" i="81"/>
  <c r="M42" i="81"/>
  <c r="P42" i="81"/>
  <c r="M29" i="81"/>
  <c r="P29" i="81"/>
  <c r="M36" i="81"/>
  <c r="P36" i="81"/>
  <c r="O14" i="81"/>
  <c r="AD148" i="2"/>
  <c r="M34" i="81"/>
  <c r="P34" i="81"/>
  <c r="M41" i="81"/>
  <c r="P41" i="81"/>
  <c r="P15" i="81"/>
  <c r="O31" i="2"/>
  <c r="M37" i="81"/>
  <c r="P37" i="81"/>
  <c r="M39" i="81"/>
  <c r="P39" i="81"/>
  <c r="M11" i="81"/>
  <c r="P11" i="81"/>
  <c r="M2" i="81"/>
  <c r="P2" i="81"/>
  <c r="O4" i="81"/>
  <c r="O58" i="78"/>
  <c r="AD98" i="2"/>
  <c r="M58" i="78"/>
  <c r="P58" i="78"/>
  <c r="M50" i="79"/>
  <c r="P50" i="79"/>
  <c r="M39" i="79"/>
  <c r="P39" i="79"/>
  <c r="M41" i="79"/>
  <c r="P41" i="79"/>
  <c r="M43" i="79"/>
  <c r="P43" i="79"/>
  <c r="M45" i="79"/>
  <c r="P45" i="79"/>
  <c r="M47" i="79"/>
  <c r="P47" i="79"/>
  <c r="O51" i="79"/>
  <c r="AB175" i="2"/>
  <c r="AD175" i="2"/>
  <c r="M40" i="79"/>
  <c r="P40" i="79"/>
  <c r="M42" i="79"/>
  <c r="P42" i="79"/>
  <c r="M44" i="79"/>
  <c r="P44" i="79"/>
  <c r="M46" i="79"/>
  <c r="P46" i="79"/>
  <c r="M48" i="79"/>
  <c r="P48" i="79"/>
  <c r="O54" i="79"/>
  <c r="AD172" i="2"/>
  <c r="M20" i="78"/>
  <c r="P20" i="78"/>
  <c r="M41" i="78"/>
  <c r="P41" i="78"/>
  <c r="M43" i="78"/>
  <c r="P43" i="78"/>
  <c r="M45" i="78"/>
  <c r="P45" i="78"/>
  <c r="M47" i="78"/>
  <c r="P47" i="78"/>
  <c r="M51" i="78"/>
  <c r="P51" i="78"/>
  <c r="M53" i="78"/>
  <c r="P53" i="78"/>
  <c r="M55" i="78"/>
  <c r="P55" i="78"/>
  <c r="M57" i="78"/>
  <c r="P57" i="78"/>
  <c r="M59" i="78"/>
  <c r="P59" i="78"/>
  <c r="M61" i="78"/>
  <c r="P61" i="78"/>
  <c r="M63" i="78"/>
  <c r="P63" i="78"/>
  <c r="M65" i="78"/>
  <c r="P65" i="78"/>
  <c r="M67" i="78"/>
  <c r="P67" i="78"/>
  <c r="M69" i="78"/>
  <c r="P69" i="78"/>
  <c r="M71" i="78"/>
  <c r="P71" i="78"/>
  <c r="M23" i="78"/>
  <c r="P23" i="78"/>
  <c r="M37" i="78"/>
  <c r="P37" i="78"/>
  <c r="O57" i="78"/>
  <c r="P2" i="78"/>
  <c r="AC95" i="2" s="1"/>
  <c r="N95" i="2"/>
  <c r="R95" i="2"/>
  <c r="S95" i="2" s="1"/>
  <c r="M18" i="78"/>
  <c r="O77" i="2"/>
  <c r="N24" i="78"/>
  <c r="P24" i="78"/>
  <c r="M40" i="78"/>
  <c r="P40" i="78"/>
  <c r="M42" i="78"/>
  <c r="P42" i="78"/>
  <c r="M44" i="78"/>
  <c r="P44" i="78"/>
  <c r="M46" i="78"/>
  <c r="P46" i="78"/>
  <c r="M48" i="78"/>
  <c r="P48" i="78"/>
  <c r="M50" i="78"/>
  <c r="P50" i="78"/>
  <c r="M52" i="78"/>
  <c r="P52" i="78"/>
  <c r="M54" i="78"/>
  <c r="P54" i="78"/>
  <c r="M56" i="78"/>
  <c r="N96" i="2"/>
  <c r="R96" i="2"/>
  <c r="S96" i="2" s="1"/>
  <c r="P56" i="78"/>
  <c r="AC96" i="2" s="1"/>
  <c r="M60" i="78"/>
  <c r="P60" i="78"/>
  <c r="M62" i="78"/>
  <c r="P62" i="78"/>
  <c r="M64" i="78"/>
  <c r="P64" i="78"/>
  <c r="M66" i="78"/>
  <c r="P66" i="78"/>
  <c r="M68" i="78"/>
  <c r="P68" i="78"/>
  <c r="N189" i="2"/>
  <c r="M70" i="78"/>
  <c r="P70" i="78"/>
  <c r="M72" i="78"/>
  <c r="P72" i="78"/>
  <c r="O2" i="78"/>
  <c r="AD95" i="2"/>
  <c r="AB95" i="2"/>
  <c r="O16" i="78"/>
  <c r="AD84" i="2"/>
  <c r="M19" i="78"/>
  <c r="P19" i="78"/>
  <c r="N25" i="78"/>
  <c r="O25" i="78" s="1"/>
  <c r="P25" i="78"/>
  <c r="M38" i="78"/>
  <c r="P38" i="78"/>
  <c r="O56" i="78"/>
  <c r="AB96" i="2"/>
  <c r="AD96" i="2"/>
  <c r="O64" i="78"/>
  <c r="O68" i="78"/>
  <c r="M27" i="76"/>
  <c r="P27" i="76"/>
  <c r="O42" i="76"/>
  <c r="M28" i="76"/>
  <c r="P28" i="76"/>
  <c r="M38" i="76"/>
  <c r="P38" i="76"/>
  <c r="M41" i="76"/>
  <c r="P41" i="76"/>
  <c r="M43" i="76"/>
  <c r="P43" i="76"/>
  <c r="M45" i="76"/>
  <c r="P45" i="76"/>
  <c r="AD15" i="2"/>
  <c r="O2" i="76"/>
  <c r="M12" i="76"/>
  <c r="P12" i="76"/>
  <c r="M29" i="76"/>
  <c r="P29" i="76"/>
  <c r="O36" i="76"/>
  <c r="M19" i="76"/>
  <c r="P19" i="76"/>
  <c r="M30" i="76"/>
  <c r="P30" i="76"/>
  <c r="M35" i="76"/>
  <c r="P35" i="76"/>
  <c r="M40" i="76"/>
  <c r="P40" i="76"/>
  <c r="M42" i="76"/>
  <c r="P42" i="76"/>
  <c r="M44" i="76"/>
  <c r="P44" i="76"/>
  <c r="M46" i="76"/>
  <c r="P46" i="76"/>
  <c r="M48" i="76"/>
  <c r="P48" i="76"/>
  <c r="AD59" i="2"/>
  <c r="N16" i="75"/>
  <c r="O24" i="75"/>
  <c r="O2" i="75"/>
  <c r="M22" i="75"/>
  <c r="P22" i="75"/>
  <c r="M24" i="75"/>
  <c r="P24" i="75"/>
  <c r="AC174" i="2" s="1"/>
  <c r="N9" i="75"/>
  <c r="O9" i="75" s="1"/>
  <c r="M23" i="75"/>
  <c r="AH175" i="2" s="1"/>
  <c r="P23" i="75"/>
  <c r="AC175" i="2" s="1"/>
  <c r="P16" i="74"/>
  <c r="M24" i="74"/>
  <c r="P24" i="74"/>
  <c r="M41" i="74"/>
  <c r="P41" i="74"/>
  <c r="AC77" i="2" s="1"/>
  <c r="O2" i="74"/>
  <c r="AD56" i="2"/>
  <c r="N40" i="74"/>
  <c r="AD99" i="2" s="1"/>
  <c r="P40" i="74"/>
  <c r="M48" i="73"/>
  <c r="P48" i="73"/>
  <c r="M66" i="73"/>
  <c r="P66" i="73"/>
  <c r="O6" i="73"/>
  <c r="AD40" i="2"/>
  <c r="O34" i="73"/>
  <c r="R170" i="2"/>
  <c r="S170" i="2" s="1"/>
  <c r="N170" i="2"/>
  <c r="M41" i="73"/>
  <c r="P41" i="73"/>
  <c r="M43" i="73"/>
  <c r="P43" i="73"/>
  <c r="M45" i="73"/>
  <c r="P45" i="73"/>
  <c r="M50" i="73"/>
  <c r="P50" i="73"/>
  <c r="M52" i="73"/>
  <c r="P52" i="73"/>
  <c r="M54" i="73"/>
  <c r="P54" i="73"/>
  <c r="M56" i="73"/>
  <c r="P56" i="73"/>
  <c r="M58" i="73"/>
  <c r="P58" i="73"/>
  <c r="M60" i="73"/>
  <c r="P60" i="73"/>
  <c r="M62" i="73"/>
  <c r="P62" i="73"/>
  <c r="M64" i="73"/>
  <c r="P64" i="73"/>
  <c r="M68" i="73"/>
  <c r="P68" i="73"/>
  <c r="M70" i="73"/>
  <c r="P70" i="73"/>
  <c r="M72" i="73"/>
  <c r="P72" i="73"/>
  <c r="M74" i="73"/>
  <c r="P74" i="73"/>
  <c r="M76" i="73"/>
  <c r="P76" i="73"/>
  <c r="O3" i="73"/>
  <c r="O10" i="73"/>
  <c r="M30" i="73"/>
  <c r="P30" i="73"/>
  <c r="O36" i="73"/>
  <c r="AD87" i="2"/>
  <c r="O61" i="73"/>
  <c r="N67" i="73"/>
  <c r="O67" i="73" s="1"/>
  <c r="O2" i="73"/>
  <c r="O11" i="73"/>
  <c r="M17" i="73"/>
  <c r="P17" i="73"/>
  <c r="M23" i="73"/>
  <c r="P23" i="73"/>
  <c r="O56" i="73"/>
  <c r="AD75" i="2"/>
  <c r="P3" i="73"/>
  <c r="N143" i="2"/>
  <c r="M21" i="73"/>
  <c r="P21" i="73"/>
  <c r="M24" i="73"/>
  <c r="P24" i="73"/>
  <c r="M40" i="73"/>
  <c r="P40" i="73"/>
  <c r="M44" i="73"/>
  <c r="P44" i="73"/>
  <c r="M47" i="73"/>
  <c r="P47" i="73"/>
  <c r="M49" i="73"/>
  <c r="P49" i="73"/>
  <c r="M51" i="73"/>
  <c r="P51" i="73"/>
  <c r="M55" i="73"/>
  <c r="P55" i="73"/>
  <c r="M57" i="73"/>
  <c r="P57" i="73"/>
  <c r="M59" i="73"/>
  <c r="P59" i="73"/>
  <c r="M61" i="73"/>
  <c r="P61" i="73"/>
  <c r="M63" i="73"/>
  <c r="P63" i="73"/>
  <c r="M65" i="73"/>
  <c r="P65" i="73"/>
  <c r="M69" i="73"/>
  <c r="P69" i="73"/>
  <c r="M71" i="73"/>
  <c r="P71" i="73"/>
  <c r="M73" i="73"/>
  <c r="P73" i="73"/>
  <c r="M75" i="73"/>
  <c r="P75" i="73"/>
  <c r="M77" i="73"/>
  <c r="P77" i="73"/>
  <c r="N23" i="72"/>
  <c r="O23" i="72" s="1"/>
  <c r="P23" i="72"/>
  <c r="M35" i="72"/>
  <c r="P35" i="72"/>
  <c r="M40" i="72"/>
  <c r="P40" i="72"/>
  <c r="M42" i="72"/>
  <c r="P42" i="72"/>
  <c r="M44" i="72"/>
  <c r="P44" i="72"/>
  <c r="M46" i="72"/>
  <c r="P46" i="72"/>
  <c r="M48" i="72"/>
  <c r="P48" i="72"/>
  <c r="M50" i="72"/>
  <c r="P50" i="72"/>
  <c r="M52" i="72"/>
  <c r="P52" i="72"/>
  <c r="M56" i="72"/>
  <c r="P56" i="72"/>
  <c r="M58" i="72"/>
  <c r="P58" i="72"/>
  <c r="M62" i="72"/>
  <c r="P62" i="72"/>
  <c r="M64" i="72"/>
  <c r="P64" i="72"/>
  <c r="M66" i="72"/>
  <c r="P66" i="72"/>
  <c r="M68" i="72"/>
  <c r="P68" i="72"/>
  <c r="M70" i="72"/>
  <c r="P70" i="72"/>
  <c r="M74" i="72"/>
  <c r="P74" i="72"/>
  <c r="M76" i="72"/>
  <c r="P76" i="72"/>
  <c r="M80" i="72"/>
  <c r="P80" i="72"/>
  <c r="O36" i="72"/>
  <c r="M41" i="72"/>
  <c r="P41" i="72"/>
  <c r="M43" i="72"/>
  <c r="P43" i="72"/>
  <c r="M49" i="72"/>
  <c r="P49" i="72"/>
  <c r="M53" i="72"/>
  <c r="P53" i="72"/>
  <c r="M55" i="72"/>
  <c r="P55" i="72"/>
  <c r="M57" i="72"/>
  <c r="P57" i="72"/>
  <c r="M59" i="72"/>
  <c r="P59" i="72"/>
  <c r="M61" i="72"/>
  <c r="P61" i="72"/>
  <c r="M63" i="72"/>
  <c r="P63" i="72"/>
  <c r="M65" i="72"/>
  <c r="P65" i="72"/>
  <c r="M67" i="72"/>
  <c r="P67" i="72"/>
  <c r="M71" i="72"/>
  <c r="P71" i="72"/>
  <c r="M73" i="72"/>
  <c r="P73" i="72"/>
  <c r="M75" i="72"/>
  <c r="P75" i="72"/>
  <c r="M77" i="72"/>
  <c r="P77" i="72"/>
  <c r="M79" i="72"/>
  <c r="P79" i="72"/>
  <c r="O4" i="72"/>
  <c r="AD100" i="2"/>
  <c r="O66" i="72"/>
  <c r="O68" i="72"/>
  <c r="O7" i="72"/>
  <c r="M28" i="72"/>
  <c r="P28" i="72"/>
  <c r="O65" i="72"/>
  <c r="O67" i="72"/>
  <c r="O75" i="72"/>
  <c r="O77" i="72"/>
  <c r="O33" i="71"/>
  <c r="N42" i="71"/>
  <c r="O42" i="71" s="1"/>
  <c r="P42" i="71"/>
  <c r="M58" i="71"/>
  <c r="P58" i="71"/>
  <c r="N28" i="71"/>
  <c r="P28" i="71"/>
  <c r="M41" i="71"/>
  <c r="P41" i="71"/>
  <c r="M44" i="71"/>
  <c r="P44" i="71"/>
  <c r="M51" i="71"/>
  <c r="P51" i="71"/>
  <c r="M53" i="71"/>
  <c r="P53" i="71"/>
  <c r="M62" i="71"/>
  <c r="P62" i="71"/>
  <c r="M64" i="71"/>
  <c r="P64" i="71"/>
  <c r="M66" i="71"/>
  <c r="P66" i="71"/>
  <c r="M70" i="71"/>
  <c r="P70" i="71"/>
  <c r="M72" i="71"/>
  <c r="P72" i="71"/>
  <c r="O68" i="71"/>
  <c r="N13" i="71"/>
  <c r="O27" i="71"/>
  <c r="O37" i="71"/>
  <c r="M54" i="71"/>
  <c r="P54" i="71"/>
  <c r="N56" i="71"/>
  <c r="P56" i="71"/>
  <c r="M63" i="71"/>
  <c r="P63" i="71"/>
  <c r="M65" i="71"/>
  <c r="P65" i="71"/>
  <c r="M48" i="71"/>
  <c r="P48" i="71"/>
  <c r="M57" i="71"/>
  <c r="P57" i="71"/>
  <c r="O71" i="71"/>
  <c r="O14" i="70"/>
  <c r="M20" i="70"/>
  <c r="AH181" i="2" s="1"/>
  <c r="P20" i="70"/>
  <c r="AC181" i="2" s="1"/>
  <c r="M47" i="70"/>
  <c r="P47" i="70"/>
  <c r="M49" i="70"/>
  <c r="P49" i="70"/>
  <c r="M51" i="70"/>
  <c r="P51" i="70"/>
  <c r="M53" i="70"/>
  <c r="P53" i="70"/>
  <c r="M55" i="70"/>
  <c r="P55" i="70"/>
  <c r="AC94" i="2" s="1"/>
  <c r="M57" i="70"/>
  <c r="P57" i="70"/>
  <c r="M59" i="70"/>
  <c r="P59" i="70"/>
  <c r="M61" i="70"/>
  <c r="P61" i="70"/>
  <c r="M63" i="70"/>
  <c r="P63" i="70"/>
  <c r="M19" i="70"/>
  <c r="P19" i="70"/>
  <c r="M15" i="70"/>
  <c r="P15" i="70"/>
  <c r="O47" i="70"/>
  <c r="O51" i="70"/>
  <c r="O53" i="70"/>
  <c r="O55" i="70"/>
  <c r="O61" i="70"/>
  <c r="M9" i="70"/>
  <c r="P9" i="70"/>
  <c r="O21" i="70"/>
  <c r="M44" i="70"/>
  <c r="P44" i="70"/>
  <c r="M48" i="70"/>
  <c r="P48" i="70"/>
  <c r="M50" i="70"/>
  <c r="P50" i="70"/>
  <c r="M52" i="70"/>
  <c r="P52" i="70"/>
  <c r="M54" i="70"/>
  <c r="P54" i="70"/>
  <c r="M58" i="70"/>
  <c r="P58" i="70"/>
  <c r="M60" i="70"/>
  <c r="P60" i="70"/>
  <c r="M62" i="70"/>
  <c r="P62" i="70"/>
  <c r="M64" i="70"/>
  <c r="P64" i="70"/>
  <c r="O50" i="70"/>
  <c r="AD128" i="2"/>
  <c r="P30" i="69"/>
  <c r="N21" i="2"/>
  <c r="R21" i="2"/>
  <c r="S21" i="2" s="1"/>
  <c r="I21" i="67" s="1"/>
  <c r="M36" i="69"/>
  <c r="P36" i="69"/>
  <c r="O57" i="69"/>
  <c r="O62" i="69"/>
  <c r="N20" i="69"/>
  <c r="N22" i="69"/>
  <c r="AD80" i="2"/>
  <c r="M32" i="69"/>
  <c r="P32" i="69"/>
  <c r="N34" i="69"/>
  <c r="M37" i="69"/>
  <c r="N49" i="2"/>
  <c r="R49" i="2"/>
  <c r="S49" i="2" s="1"/>
  <c r="P37" i="69"/>
  <c r="M39" i="69"/>
  <c r="P39" i="69"/>
  <c r="M41" i="69"/>
  <c r="P41" i="69"/>
  <c r="M43" i="69"/>
  <c r="P43" i="69"/>
  <c r="M46" i="69"/>
  <c r="P46" i="69"/>
  <c r="M48" i="69"/>
  <c r="P48" i="69"/>
  <c r="M59" i="69"/>
  <c r="P59" i="69"/>
  <c r="M61" i="69"/>
  <c r="P61" i="69"/>
  <c r="M24" i="69"/>
  <c r="P24" i="69"/>
  <c r="M33" i="69"/>
  <c r="P33" i="69"/>
  <c r="M35" i="69"/>
  <c r="P35" i="69"/>
  <c r="N19" i="69"/>
  <c r="N21" i="69"/>
  <c r="M26" i="69"/>
  <c r="O59" i="2"/>
  <c r="M29" i="69"/>
  <c r="P29" i="69"/>
  <c r="N29" i="2"/>
  <c r="R29" i="2"/>
  <c r="S29" i="2" s="1"/>
  <c r="M38" i="69"/>
  <c r="P38" i="69"/>
  <c r="M40" i="69"/>
  <c r="P40" i="69"/>
  <c r="M42" i="69"/>
  <c r="P42" i="69"/>
  <c r="AC79" i="2" s="1"/>
  <c r="M44" i="69"/>
  <c r="P44" i="69"/>
  <c r="M49" i="69"/>
  <c r="P49" i="69"/>
  <c r="M57" i="69"/>
  <c r="P57" i="69"/>
  <c r="M60" i="69"/>
  <c r="N149" i="2"/>
  <c r="P60" i="69"/>
  <c r="R149" i="2"/>
  <c r="S149" i="2" s="1"/>
  <c r="M62" i="69"/>
  <c r="P62" i="69"/>
  <c r="M34" i="97"/>
  <c r="P34" i="97"/>
  <c r="M8" i="97"/>
  <c r="P8" i="97"/>
  <c r="M2" i="97"/>
  <c r="P2" i="97"/>
  <c r="N41" i="74"/>
  <c r="O41" i="74" s="1"/>
  <c r="N32" i="72"/>
  <c r="N2" i="81"/>
  <c r="O2" i="81" s="1"/>
  <c r="N15" i="83"/>
  <c r="O15" i="83" s="1"/>
  <c r="N28" i="90"/>
  <c r="O28" i="90" s="1"/>
  <c r="N21" i="83"/>
  <c r="O21" i="83" s="1"/>
  <c r="N18" i="86"/>
  <c r="O18" i="86" s="1"/>
  <c r="N30" i="73"/>
  <c r="O30" i="73" s="1"/>
  <c r="N20" i="72"/>
  <c r="N21" i="94"/>
  <c r="O21" i="94" s="1"/>
  <c r="M10" i="93"/>
  <c r="N10" i="93"/>
  <c r="O10" i="93" s="1"/>
  <c r="M22" i="93"/>
  <c r="N22" i="93"/>
  <c r="O22" i="93" s="1"/>
  <c r="N14" i="92"/>
  <c r="O14" i="92" s="1"/>
  <c r="N24" i="74"/>
  <c r="N42" i="74"/>
  <c r="O42" i="74" s="1"/>
  <c r="M19" i="72"/>
  <c r="M34" i="72"/>
  <c r="M36" i="72"/>
  <c r="N24" i="71"/>
  <c r="P24" i="71"/>
  <c r="M12" i="70"/>
  <c r="P12" i="70"/>
  <c r="M21" i="70"/>
  <c r="P21" i="70"/>
  <c r="M23" i="70"/>
  <c r="P23" i="70"/>
  <c r="M25" i="70"/>
  <c r="P25" i="70"/>
  <c r="M20" i="69"/>
  <c r="P20" i="69"/>
  <c r="M28" i="93"/>
  <c r="N28" i="93"/>
  <c r="O28" i="93" s="1"/>
  <c r="N25" i="86"/>
  <c r="O25" i="86" s="1"/>
  <c r="M3" i="72"/>
  <c r="M7" i="72"/>
  <c r="M11" i="72"/>
  <c r="M13" i="72"/>
  <c r="M15" i="72"/>
  <c r="M17" i="72"/>
  <c r="N17" i="71"/>
  <c r="P17" i="71"/>
  <c r="M26" i="71"/>
  <c r="P26" i="71"/>
  <c r="M31" i="71"/>
  <c r="P31" i="71"/>
  <c r="M35" i="71"/>
  <c r="P35" i="71"/>
  <c r="M5" i="70"/>
  <c r="P5" i="70"/>
  <c r="M16" i="70"/>
  <c r="P16" i="70"/>
  <c r="M28" i="70"/>
  <c r="P28" i="70"/>
  <c r="M32" i="70"/>
  <c r="P32" i="70"/>
  <c r="M34" i="70"/>
  <c r="P34" i="70"/>
  <c r="M38" i="70"/>
  <c r="AH64" i="2" s="1"/>
  <c r="P38" i="70"/>
  <c r="AC64" i="2" s="1"/>
  <c r="M40" i="70"/>
  <c r="P40" i="70"/>
  <c r="M2" i="69"/>
  <c r="P2" i="69"/>
  <c r="M6" i="69"/>
  <c r="P6" i="69"/>
  <c r="M12" i="69"/>
  <c r="P12" i="69"/>
  <c r="M15" i="69"/>
  <c r="P15" i="69"/>
  <c r="M24" i="72"/>
  <c r="M27" i="72"/>
  <c r="M33" i="72"/>
  <c r="M19" i="71"/>
  <c r="P19" i="71"/>
  <c r="M10" i="70"/>
  <c r="P10" i="70"/>
  <c r="M24" i="70"/>
  <c r="P24" i="70"/>
  <c r="M26" i="70"/>
  <c r="P26" i="70"/>
  <c r="M41" i="70"/>
  <c r="P41" i="70"/>
  <c r="M12" i="93"/>
  <c r="N12" i="93"/>
  <c r="O12" i="93" s="1"/>
  <c r="M17" i="93"/>
  <c r="N17" i="93"/>
  <c r="O17" i="93" s="1"/>
  <c r="M19" i="93"/>
  <c r="N19" i="93"/>
  <c r="O19" i="93" s="1"/>
  <c r="M21" i="93"/>
  <c r="N21" i="93"/>
  <c r="N26" i="90"/>
  <c r="O26" i="90" s="1"/>
  <c r="N12" i="87"/>
  <c r="O12" i="87" s="1"/>
  <c r="N18" i="78"/>
  <c r="O18" i="78" s="1"/>
  <c r="N23" i="78"/>
  <c r="O23" i="78" s="1"/>
  <c r="M4" i="72"/>
  <c r="M6" i="72"/>
  <c r="M10" i="72"/>
  <c r="M12" i="72"/>
  <c r="M14" i="72"/>
  <c r="M18" i="72"/>
  <c r="M25" i="72"/>
  <c r="N35" i="72"/>
  <c r="O35" i="72" s="1"/>
  <c r="M38" i="72"/>
  <c r="N15" i="71"/>
  <c r="P15" i="71"/>
  <c r="O145" i="2"/>
  <c r="P22" i="71"/>
  <c r="AC23" i="2" s="1"/>
  <c r="M27" i="71"/>
  <c r="P27" i="71"/>
  <c r="M30" i="71"/>
  <c r="P30" i="71"/>
  <c r="M33" i="71"/>
  <c r="P33" i="71"/>
  <c r="M2" i="70"/>
  <c r="P2" i="70"/>
  <c r="Q84" i="2"/>
  <c r="P4" i="70"/>
  <c r="M8" i="70"/>
  <c r="P8" i="70"/>
  <c r="M17" i="70"/>
  <c r="AH50" i="2" s="1"/>
  <c r="P17" i="70"/>
  <c r="AC50" i="2" s="1"/>
  <c r="M27" i="70"/>
  <c r="P27" i="70"/>
  <c r="AC112" i="2" s="1"/>
  <c r="M29" i="70"/>
  <c r="P29" i="70"/>
  <c r="M31" i="70"/>
  <c r="P31" i="70"/>
  <c r="M33" i="70"/>
  <c r="P33" i="70"/>
  <c r="M35" i="70"/>
  <c r="P35" i="70"/>
  <c r="M37" i="70"/>
  <c r="P37" i="70"/>
  <c r="M39" i="70"/>
  <c r="P39" i="70"/>
  <c r="M42" i="70"/>
  <c r="P42" i="70"/>
  <c r="M24" i="94"/>
  <c r="M3" i="94"/>
  <c r="M5" i="94"/>
  <c r="M7" i="94"/>
  <c r="M9" i="94"/>
  <c r="M11" i="94"/>
  <c r="M15" i="94"/>
  <c r="M17" i="94"/>
  <c r="M28" i="94"/>
  <c r="M31" i="94"/>
  <c r="M33" i="94"/>
  <c r="M35" i="94"/>
  <c r="M37" i="94"/>
  <c r="M39" i="94"/>
  <c r="N13" i="94"/>
  <c r="O13" i="94" s="1"/>
  <c r="M20" i="94"/>
  <c r="M22" i="94"/>
  <c r="M2" i="94"/>
  <c r="P2" i="94"/>
  <c r="M4" i="94"/>
  <c r="M6" i="94"/>
  <c r="M8" i="94"/>
  <c r="M10" i="94"/>
  <c r="M12" i="94"/>
  <c r="M14" i="94"/>
  <c r="M16" i="94"/>
  <c r="M18" i="94"/>
  <c r="M27" i="94"/>
  <c r="M34" i="94"/>
  <c r="M36" i="94"/>
  <c r="M38" i="94"/>
  <c r="M40" i="94"/>
  <c r="M19" i="94"/>
  <c r="M23" i="94"/>
  <c r="M25" i="94"/>
  <c r="N30" i="94"/>
  <c r="O30" i="94" s="1"/>
  <c r="N32" i="94"/>
  <c r="O32" i="94" s="1"/>
  <c r="O38" i="94"/>
  <c r="M41" i="94"/>
  <c r="M3" i="93"/>
  <c r="M5" i="93"/>
  <c r="M7" i="93"/>
  <c r="M9" i="93"/>
  <c r="M11" i="93"/>
  <c r="M13" i="93"/>
  <c r="M15" i="93"/>
  <c r="O94" i="2"/>
  <c r="M26" i="93"/>
  <c r="M16" i="93"/>
  <c r="M18" i="93"/>
  <c r="M20" i="93"/>
  <c r="M27" i="93"/>
  <c r="M29" i="93"/>
  <c r="M2" i="93"/>
  <c r="P2" i="93"/>
  <c r="M4" i="93"/>
  <c r="M6" i="93"/>
  <c r="M8" i="93"/>
  <c r="M14" i="93"/>
  <c r="M23" i="93"/>
  <c r="M25" i="93"/>
  <c r="M30" i="93"/>
  <c r="M31" i="93"/>
  <c r="N12" i="76"/>
  <c r="O12" i="76" s="1"/>
  <c r="M7" i="92"/>
  <c r="M23" i="92"/>
  <c r="M3" i="92"/>
  <c r="M5" i="92"/>
  <c r="M9" i="92"/>
  <c r="M11" i="92"/>
  <c r="M13" i="92"/>
  <c r="M17" i="92"/>
  <c r="M21" i="92"/>
  <c r="N15" i="92"/>
  <c r="O15" i="92" s="1"/>
  <c r="N19" i="92"/>
  <c r="O19" i="92" s="1"/>
  <c r="M22" i="92"/>
  <c r="M24" i="92"/>
  <c r="M2" i="92"/>
  <c r="P2" i="92"/>
  <c r="M4" i="92"/>
  <c r="M6" i="92"/>
  <c r="M8" i="92"/>
  <c r="M12" i="92"/>
  <c r="M16" i="92"/>
  <c r="M18" i="92"/>
  <c r="M20" i="92"/>
  <c r="M18" i="91"/>
  <c r="M27" i="91"/>
  <c r="M29" i="91"/>
  <c r="M31" i="91"/>
  <c r="M11" i="91"/>
  <c r="M3" i="91"/>
  <c r="M5" i="91"/>
  <c r="M7" i="91"/>
  <c r="M20" i="91"/>
  <c r="M22" i="91"/>
  <c r="M24" i="91"/>
  <c r="M28" i="91"/>
  <c r="M30" i="91"/>
  <c r="M2" i="91"/>
  <c r="P2" i="91"/>
  <c r="M4" i="91"/>
  <c r="M6" i="91"/>
  <c r="M8" i="91"/>
  <c r="M10" i="91"/>
  <c r="M12" i="91"/>
  <c r="M15" i="91"/>
  <c r="M17" i="91"/>
  <c r="M21" i="91"/>
  <c r="O38" i="2"/>
  <c r="M23" i="91"/>
  <c r="M26" i="91"/>
  <c r="M2" i="90"/>
  <c r="P2" i="90"/>
  <c r="M6" i="90"/>
  <c r="M10" i="90"/>
  <c r="M22" i="90"/>
  <c r="M21" i="90"/>
  <c r="M4" i="90"/>
  <c r="M8" i="90"/>
  <c r="M14" i="90"/>
  <c r="M19" i="90"/>
  <c r="M25" i="90"/>
  <c r="M29" i="90"/>
  <c r="N12" i="90"/>
  <c r="O12" i="90" s="1"/>
  <c r="N16" i="90"/>
  <c r="O16" i="90" s="1"/>
  <c r="M23" i="90"/>
  <c r="N27" i="90"/>
  <c r="O27" i="90" s="1"/>
  <c r="M3" i="90"/>
  <c r="M5" i="90"/>
  <c r="M7" i="90"/>
  <c r="M9" i="90"/>
  <c r="M11" i="90"/>
  <c r="M13" i="90"/>
  <c r="M15" i="90"/>
  <c r="M20" i="90"/>
  <c r="M24" i="90"/>
  <c r="M2" i="89"/>
  <c r="P2" i="89"/>
  <c r="M4" i="89"/>
  <c r="M6" i="89"/>
  <c r="M8" i="89"/>
  <c r="M10" i="89"/>
  <c r="M12" i="89"/>
  <c r="M15" i="89"/>
  <c r="M17" i="89"/>
  <c r="M19" i="89"/>
  <c r="M20" i="89"/>
  <c r="M3" i="89"/>
  <c r="M5" i="89"/>
  <c r="M7" i="89"/>
  <c r="M9" i="89"/>
  <c r="M11" i="89"/>
  <c r="M14" i="89"/>
  <c r="M16" i="89"/>
  <c r="M18" i="89"/>
  <c r="M3" i="88"/>
  <c r="M5" i="88"/>
  <c r="M7" i="88"/>
  <c r="M9" i="88"/>
  <c r="M12" i="88"/>
  <c r="M14" i="88"/>
  <c r="AC74" i="2"/>
  <c r="M16" i="88"/>
  <c r="M18" i="88"/>
  <c r="M23" i="88"/>
  <c r="O72" i="2"/>
  <c r="M2" i="88"/>
  <c r="P2" i="88"/>
  <c r="M4" i="88"/>
  <c r="M6" i="88"/>
  <c r="Q136" i="2"/>
  <c r="M11" i="88"/>
  <c r="M13" i="88"/>
  <c r="M15" i="88"/>
  <c r="M17" i="88"/>
  <c r="M24" i="88"/>
  <c r="N10" i="88"/>
  <c r="O10" i="88" s="1"/>
  <c r="O14" i="88"/>
  <c r="M21" i="88"/>
  <c r="N8" i="88"/>
  <c r="O8" i="88" s="1"/>
  <c r="M20" i="88"/>
  <c r="M22" i="88"/>
  <c r="M25" i="88"/>
  <c r="M24" i="87"/>
  <c r="M26" i="87"/>
  <c r="M3" i="87"/>
  <c r="M5" i="87"/>
  <c r="M7" i="87"/>
  <c r="M11" i="87"/>
  <c r="N17" i="87"/>
  <c r="O17" i="87" s="1"/>
  <c r="M22" i="87"/>
  <c r="N9" i="87"/>
  <c r="N13" i="87"/>
  <c r="O13" i="87" s="1"/>
  <c r="N20" i="87"/>
  <c r="O20" i="87" s="1"/>
  <c r="M25" i="87"/>
  <c r="M2" i="87"/>
  <c r="AH103" i="2" s="1"/>
  <c r="P2" i="87"/>
  <c r="AC103" i="2" s="1"/>
  <c r="M4" i="87"/>
  <c r="M6" i="87"/>
  <c r="M8" i="87"/>
  <c r="M10" i="87"/>
  <c r="N16" i="87"/>
  <c r="O16" i="87" s="1"/>
  <c r="N18" i="87"/>
  <c r="O18" i="87" s="1"/>
  <c r="M21" i="87"/>
  <c r="N23" i="87"/>
  <c r="M24" i="86"/>
  <c r="M26" i="86"/>
  <c r="M32" i="86"/>
  <c r="M34" i="86"/>
  <c r="M36" i="86"/>
  <c r="M38" i="86"/>
  <c r="M3" i="86"/>
  <c r="M5" i="86"/>
  <c r="M7" i="86"/>
  <c r="M9" i="86"/>
  <c r="M11" i="86"/>
  <c r="M13" i="86"/>
  <c r="M15" i="86"/>
  <c r="M17" i="86"/>
  <c r="M19" i="86"/>
  <c r="M21" i="86"/>
  <c r="M2" i="86"/>
  <c r="P2" i="86"/>
  <c r="M4" i="86"/>
  <c r="M6" i="86"/>
  <c r="M8" i="86"/>
  <c r="M10" i="86"/>
  <c r="M12" i="86"/>
  <c r="M14" i="86"/>
  <c r="M16" i="86"/>
  <c r="M20" i="86"/>
  <c r="M23" i="86"/>
  <c r="M27" i="86"/>
  <c r="M29" i="86"/>
  <c r="M31" i="86"/>
  <c r="M33" i="86"/>
  <c r="M35" i="86"/>
  <c r="M37" i="86"/>
  <c r="AH196" i="2"/>
  <c r="M3" i="85"/>
  <c r="M5" i="85"/>
  <c r="M8" i="85"/>
  <c r="M11" i="85"/>
  <c r="M13" i="85"/>
  <c r="N17" i="85"/>
  <c r="O17" i="85" s="1"/>
  <c r="N21" i="85"/>
  <c r="O21" i="85" s="1"/>
  <c r="M26" i="85"/>
  <c r="M18" i="85"/>
  <c r="M20" i="85"/>
  <c r="M22" i="85"/>
  <c r="M24" i="85"/>
  <c r="M29" i="85"/>
  <c r="M23" i="85"/>
  <c r="M2" i="85"/>
  <c r="P2" i="85"/>
  <c r="M4" i="85"/>
  <c r="M6" i="85"/>
  <c r="AH173" i="2" s="1"/>
  <c r="M7" i="85"/>
  <c r="M9" i="85"/>
  <c r="M12" i="85"/>
  <c r="O182" i="2"/>
  <c r="M14" i="85"/>
  <c r="M25" i="85"/>
  <c r="M27" i="85"/>
  <c r="O12" i="85"/>
  <c r="M15" i="85"/>
  <c r="M19" i="85"/>
  <c r="M28" i="85"/>
  <c r="M4" i="84"/>
  <c r="M10" i="84"/>
  <c r="M12" i="84"/>
  <c r="M14" i="84"/>
  <c r="M16" i="84"/>
  <c r="M33" i="84"/>
  <c r="M35" i="84"/>
  <c r="M37" i="84"/>
  <c r="M39" i="84"/>
  <c r="M42" i="84"/>
  <c r="M46" i="84"/>
  <c r="M48" i="84"/>
  <c r="M50" i="84"/>
  <c r="M52" i="84"/>
  <c r="M3" i="84"/>
  <c r="M5" i="84"/>
  <c r="M7" i="84"/>
  <c r="M9" i="84"/>
  <c r="M11" i="84"/>
  <c r="M13" i="84"/>
  <c r="M15" i="84"/>
  <c r="M22" i="84"/>
  <c r="M32" i="84"/>
  <c r="M34" i="84"/>
  <c r="M38" i="84"/>
  <c r="M41" i="84"/>
  <c r="M43" i="84"/>
  <c r="M45" i="84"/>
  <c r="M47" i="84"/>
  <c r="M49" i="84"/>
  <c r="M51" i="84"/>
  <c r="M20" i="84"/>
  <c r="M25" i="84"/>
  <c r="M27" i="84"/>
  <c r="M30" i="84"/>
  <c r="N36" i="84"/>
  <c r="O36" i="84" s="1"/>
  <c r="O43" i="84"/>
  <c r="M19" i="84"/>
  <c r="M21" i="84"/>
  <c r="M26" i="84"/>
  <c r="N44" i="84"/>
  <c r="O44" i="84" s="1"/>
  <c r="M2" i="84"/>
  <c r="P2" i="84"/>
  <c r="M6" i="84"/>
  <c r="M23" i="84"/>
  <c r="M28" i="84"/>
  <c r="M3" i="83"/>
  <c r="M5" i="83"/>
  <c r="M7" i="83"/>
  <c r="M9" i="83"/>
  <c r="N14" i="83"/>
  <c r="O14" i="83" s="1"/>
  <c r="M17" i="83"/>
  <c r="M28" i="83"/>
  <c r="AH163" i="2" s="1"/>
  <c r="M30" i="83"/>
  <c r="M13" i="83"/>
  <c r="AC187" i="2"/>
  <c r="M20" i="83"/>
  <c r="M22" i="83"/>
  <c r="M24" i="83"/>
  <c r="N26" i="83"/>
  <c r="O26" i="83" s="1"/>
  <c r="M31" i="83"/>
  <c r="M33" i="83"/>
  <c r="M35" i="83"/>
  <c r="M2" i="83"/>
  <c r="P2" i="83"/>
  <c r="M4" i="83"/>
  <c r="M6" i="83"/>
  <c r="M8" i="83"/>
  <c r="M10" i="83"/>
  <c r="O13" i="83"/>
  <c r="M18" i="83"/>
  <c r="M25" i="83"/>
  <c r="O111" i="2"/>
  <c r="M27" i="83"/>
  <c r="M29" i="83"/>
  <c r="N11" i="83"/>
  <c r="O11" i="83" s="1"/>
  <c r="M19" i="83"/>
  <c r="M23" i="83"/>
  <c r="N25" i="83"/>
  <c r="O25" i="83" s="1"/>
  <c r="AC88" i="2" s="1"/>
  <c r="M32" i="83"/>
  <c r="M34" i="83"/>
  <c r="M16" i="82"/>
  <c r="AH48" i="2" s="1"/>
  <c r="M18" i="82"/>
  <c r="M20" i="82"/>
  <c r="M23" i="82"/>
  <c r="M26" i="82"/>
  <c r="M28" i="82"/>
  <c r="AH55" i="2" s="1"/>
  <c r="M35" i="82"/>
  <c r="M37" i="82"/>
  <c r="M2" i="82"/>
  <c r="P2" i="82"/>
  <c r="M4" i="82"/>
  <c r="M6" i="82"/>
  <c r="M8" i="82"/>
  <c r="M12" i="82"/>
  <c r="M14" i="82"/>
  <c r="M24" i="82"/>
  <c r="M29" i="82"/>
  <c r="M31" i="82"/>
  <c r="M38" i="82"/>
  <c r="M17" i="82"/>
  <c r="M19" i="82"/>
  <c r="M22" i="82"/>
  <c r="M27" i="82"/>
  <c r="M34" i="82"/>
  <c r="M36" i="82"/>
  <c r="M3" i="82"/>
  <c r="M5" i="82"/>
  <c r="M7" i="82"/>
  <c r="M9" i="82"/>
  <c r="M11" i="82"/>
  <c r="M13" i="82"/>
  <c r="M15" i="82"/>
  <c r="M30" i="82"/>
  <c r="M32" i="82"/>
  <c r="M39" i="82"/>
  <c r="M17" i="81"/>
  <c r="O192" i="2"/>
  <c r="M7" i="81"/>
  <c r="M9" i="81"/>
  <c r="M15" i="81"/>
  <c r="M21" i="81"/>
  <c r="M24" i="81"/>
  <c r="N26" i="81"/>
  <c r="O26" i="81" s="1"/>
  <c r="N11" i="81"/>
  <c r="O11" i="81" s="1"/>
  <c r="M16" i="81"/>
  <c r="M18" i="81"/>
  <c r="M4" i="81"/>
  <c r="M6" i="81"/>
  <c r="M8" i="81"/>
  <c r="M10" i="81"/>
  <c r="M14" i="81"/>
  <c r="M23" i="81"/>
  <c r="M25" i="81"/>
  <c r="M21" i="78"/>
  <c r="M27" i="78"/>
  <c r="M29" i="78"/>
  <c r="M31" i="78"/>
  <c r="M33" i="78"/>
  <c r="M35" i="78"/>
  <c r="M3" i="78"/>
  <c r="M5" i="78"/>
  <c r="M7" i="78"/>
  <c r="M9" i="78"/>
  <c r="M11" i="78"/>
  <c r="M13" i="78"/>
  <c r="M15" i="78"/>
  <c r="M17" i="78"/>
  <c r="N19" i="78"/>
  <c r="O19" i="78" s="1"/>
  <c r="M22" i="78"/>
  <c r="M26" i="78"/>
  <c r="M28" i="78"/>
  <c r="M30" i="78"/>
  <c r="M32" i="78"/>
  <c r="M34" i="78"/>
  <c r="M36" i="78"/>
  <c r="M2" i="78"/>
  <c r="AH95" i="2" s="1"/>
  <c r="M4" i="78"/>
  <c r="M6" i="78"/>
  <c r="M8" i="78"/>
  <c r="M10" i="78"/>
  <c r="M12" i="78"/>
  <c r="M14" i="78"/>
  <c r="M16" i="78"/>
  <c r="M21" i="76"/>
  <c r="M3" i="76"/>
  <c r="M5" i="76"/>
  <c r="M7" i="76"/>
  <c r="M9" i="76"/>
  <c r="M13" i="76"/>
  <c r="M15" i="76"/>
  <c r="M26" i="76"/>
  <c r="N28" i="76"/>
  <c r="O28" i="76" s="1"/>
  <c r="M34" i="76"/>
  <c r="N11" i="76"/>
  <c r="O11" i="76" s="1"/>
  <c r="N19" i="76"/>
  <c r="O19" i="76" s="1"/>
  <c r="M22" i="76"/>
  <c r="M24" i="76"/>
  <c r="O124" i="2"/>
  <c r="M32" i="76"/>
  <c r="M2" i="76"/>
  <c r="P2" i="76"/>
  <c r="M6" i="76"/>
  <c r="M8" i="76"/>
  <c r="M10" i="76"/>
  <c r="M14" i="76"/>
  <c r="M16" i="76"/>
  <c r="M20" i="76"/>
  <c r="M23" i="76"/>
  <c r="M25" i="76"/>
  <c r="M33" i="76"/>
  <c r="M7" i="75"/>
  <c r="M9" i="75"/>
  <c r="M11" i="75"/>
  <c r="M13" i="75"/>
  <c r="M15" i="75"/>
  <c r="M17" i="75"/>
  <c r="M20" i="75"/>
  <c r="M2" i="75"/>
  <c r="P2" i="75"/>
  <c r="M4" i="75"/>
  <c r="M6" i="75"/>
  <c r="M8" i="75"/>
  <c r="M10" i="75"/>
  <c r="M14" i="75"/>
  <c r="M16" i="75"/>
  <c r="M18" i="75"/>
  <c r="M21" i="75"/>
  <c r="M19" i="75"/>
  <c r="N21" i="73"/>
  <c r="AB16" i="2" s="1"/>
  <c r="N24" i="73"/>
  <c r="O24" i="73" s="1"/>
  <c r="M23" i="74"/>
  <c r="M25" i="74"/>
  <c r="M27" i="74"/>
  <c r="M29" i="74"/>
  <c r="M32" i="74"/>
  <c r="M34" i="74"/>
  <c r="M43" i="74"/>
  <c r="M3" i="74"/>
  <c r="M7" i="74"/>
  <c r="M9" i="74"/>
  <c r="M11" i="74"/>
  <c r="M20" i="74"/>
  <c r="M37" i="74"/>
  <c r="M22" i="74"/>
  <c r="M26" i="74"/>
  <c r="M28" i="74"/>
  <c r="M30" i="74"/>
  <c r="M33" i="74"/>
  <c r="M35" i="74"/>
  <c r="M40" i="74"/>
  <c r="O80" i="2"/>
  <c r="M44" i="74"/>
  <c r="M2" i="74"/>
  <c r="P2" i="74"/>
  <c r="M4" i="74"/>
  <c r="M6" i="74"/>
  <c r="M10" i="74"/>
  <c r="M12" i="74"/>
  <c r="M14" i="74"/>
  <c r="M17" i="74"/>
  <c r="M19" i="74"/>
  <c r="N38" i="74"/>
  <c r="O38" i="73"/>
  <c r="M6" i="73"/>
  <c r="M8" i="73"/>
  <c r="M10" i="73"/>
  <c r="M12" i="73"/>
  <c r="M15" i="73"/>
  <c r="M20" i="73"/>
  <c r="M22" i="73"/>
  <c r="M25" i="73"/>
  <c r="M27" i="73"/>
  <c r="M31" i="73"/>
  <c r="M33" i="73"/>
  <c r="M35" i="73"/>
  <c r="O45" i="2"/>
  <c r="N17" i="73"/>
  <c r="O17" i="73" s="1"/>
  <c r="N23" i="73"/>
  <c r="O23" i="73" s="1"/>
  <c r="M2" i="73"/>
  <c r="AH170" i="2" s="1"/>
  <c r="P2" i="73"/>
  <c r="M4" i="73"/>
  <c r="M5" i="73"/>
  <c r="M7" i="73"/>
  <c r="AH68" i="2" s="1"/>
  <c r="M9" i="73"/>
  <c r="M11" i="73"/>
  <c r="M18" i="73"/>
  <c r="M26" i="73"/>
  <c r="M29" i="73"/>
  <c r="M34" i="73"/>
  <c r="M36" i="73"/>
  <c r="M38" i="73"/>
  <c r="M14" i="70"/>
  <c r="M39" i="72"/>
  <c r="M21" i="72"/>
  <c r="O141" i="2"/>
  <c r="O171" i="2"/>
  <c r="R171" i="2"/>
  <c r="S171" i="2" s="1"/>
  <c r="N16" i="71"/>
  <c r="N9" i="70"/>
  <c r="AD161" i="2" s="1"/>
  <c r="N20" i="70"/>
  <c r="N19" i="70"/>
  <c r="M18" i="70"/>
  <c r="O35" i="2"/>
  <c r="N18" i="70"/>
  <c r="O18" i="70" s="1"/>
  <c r="M4" i="69"/>
  <c r="N18" i="69"/>
  <c r="N40" i="94"/>
  <c r="O40" i="94" s="1"/>
  <c r="N42" i="94"/>
  <c r="O42" i="94" s="1"/>
  <c r="O29" i="93"/>
  <c r="M24" i="93"/>
  <c r="AH60" i="2" s="1"/>
  <c r="N60" i="2"/>
  <c r="R60" i="2"/>
  <c r="S60" i="2" s="1"/>
  <c r="O24" i="93"/>
  <c r="AB60" i="2"/>
  <c r="O26" i="93"/>
  <c r="AC60" i="2"/>
  <c r="O30" i="93"/>
  <c r="O21" i="93"/>
  <c r="O31" i="93"/>
  <c r="O31" i="92"/>
  <c r="O21" i="92"/>
  <c r="M10" i="92"/>
  <c r="N54" i="2"/>
  <c r="M29" i="92"/>
  <c r="N100" i="2"/>
  <c r="O36" i="2"/>
  <c r="N24" i="91"/>
  <c r="N26" i="91"/>
  <c r="O26" i="91" s="1"/>
  <c r="N17" i="91"/>
  <c r="O17" i="91" s="1"/>
  <c r="M16" i="91"/>
  <c r="R54" i="2"/>
  <c r="S54" i="2" s="1"/>
  <c r="N25" i="91"/>
  <c r="O25" i="91" s="1"/>
  <c r="O16" i="91"/>
  <c r="N20" i="90"/>
  <c r="O20" i="90" s="1"/>
  <c r="N17" i="90"/>
  <c r="O17" i="90" s="1"/>
  <c r="N21" i="90"/>
  <c r="O21" i="90" s="1"/>
  <c r="N23" i="90"/>
  <c r="O23" i="90" s="1"/>
  <c r="N22" i="90"/>
  <c r="N38" i="89"/>
  <c r="O38" i="89" s="1"/>
  <c r="N19" i="89"/>
  <c r="O19" i="89" s="1"/>
  <c r="N34" i="89"/>
  <c r="O34" i="89" s="1"/>
  <c r="M37" i="89"/>
  <c r="O51" i="2"/>
  <c r="O119" i="2"/>
  <c r="N37" i="89"/>
  <c r="O37" i="89" s="1"/>
  <c r="N39" i="89"/>
  <c r="O39" i="89" s="1"/>
  <c r="N33" i="88"/>
  <c r="O33" i="88" s="1"/>
  <c r="N35" i="88"/>
  <c r="O35" i="88" s="1"/>
  <c r="N19" i="88"/>
  <c r="O19" i="88" s="1"/>
  <c r="N35" i="87"/>
  <c r="O35" i="87" s="1"/>
  <c r="N15" i="87"/>
  <c r="O15" i="87" s="1"/>
  <c r="N19" i="87"/>
  <c r="O19" i="87" s="1"/>
  <c r="N27" i="87"/>
  <c r="O27" i="87" s="1"/>
  <c r="M23" i="87"/>
  <c r="AH156" i="2" s="1"/>
  <c r="O128" i="2"/>
  <c r="O14" i="86"/>
  <c r="AC124" i="2" s="1"/>
  <c r="N53" i="86"/>
  <c r="O53" i="86" s="1"/>
  <c r="N21" i="86"/>
  <c r="O21" i="86" s="1"/>
  <c r="M22" i="86"/>
  <c r="O52" i="2"/>
  <c r="M28" i="86"/>
  <c r="O82" i="2"/>
  <c r="M30" i="86"/>
  <c r="O126" i="2"/>
  <c r="O52" i="86"/>
  <c r="M16" i="85"/>
  <c r="N158" i="2"/>
  <c r="N27" i="85"/>
  <c r="N31" i="85"/>
  <c r="O31" i="85" s="1"/>
  <c r="N14" i="85"/>
  <c r="O14" i="85" s="1"/>
  <c r="O32" i="84"/>
  <c r="N17" i="84"/>
  <c r="N21" i="84"/>
  <c r="O21" i="84" s="1"/>
  <c r="M18" i="84"/>
  <c r="O101" i="2"/>
  <c r="M24" i="84"/>
  <c r="O97" i="2"/>
  <c r="M11" i="83"/>
  <c r="O147" i="2"/>
  <c r="O19" i="83"/>
  <c r="M16" i="83"/>
  <c r="O104" i="2"/>
  <c r="N24" i="83"/>
  <c r="N30" i="83"/>
  <c r="O30" i="83" s="1"/>
  <c r="N10" i="83"/>
  <c r="N12" i="83"/>
  <c r="O12" i="83" s="1"/>
  <c r="N16" i="83"/>
  <c r="AD82" i="2" s="1"/>
  <c r="M33" i="82"/>
  <c r="O146" i="2"/>
  <c r="N15" i="82"/>
  <c r="O15" i="82" s="1"/>
  <c r="N37" i="82"/>
  <c r="O37" i="82" s="1"/>
  <c r="M25" i="82"/>
  <c r="O75" i="2"/>
  <c r="N33" i="82"/>
  <c r="M10" i="82"/>
  <c r="O66" i="2"/>
  <c r="N25" i="82"/>
  <c r="N21" i="81"/>
  <c r="O21" i="81" s="1"/>
  <c r="M26" i="81"/>
  <c r="O17" i="2"/>
  <c r="O37" i="81"/>
  <c r="AC148" i="2" s="1"/>
  <c r="M22" i="81"/>
  <c r="O85" i="2"/>
  <c r="M32" i="81"/>
  <c r="O134" i="2"/>
  <c r="N19" i="81"/>
  <c r="O19" i="81" s="1"/>
  <c r="N32" i="81"/>
  <c r="O32" i="81" s="1"/>
  <c r="N36" i="81"/>
  <c r="O36" i="81" s="1"/>
  <c r="O12" i="81"/>
  <c r="AC157" i="2" s="1"/>
  <c r="AB157" i="2"/>
  <c r="M12" i="81"/>
  <c r="AH157" i="2" s="1"/>
  <c r="R157" i="2"/>
  <c r="S157" i="2" s="1"/>
  <c r="N157" i="2"/>
  <c r="O7" i="81"/>
  <c r="AC159" i="2" s="1"/>
  <c r="O39" i="79"/>
  <c r="AB143" i="2"/>
  <c r="O99" i="2"/>
  <c r="O184" i="2"/>
  <c r="R143" i="2"/>
  <c r="S143" i="2" s="1"/>
  <c r="O143" i="2"/>
  <c r="O125" i="2"/>
  <c r="N20" i="76"/>
  <c r="O20" i="76" s="1"/>
  <c r="N22" i="76"/>
  <c r="O40" i="76"/>
  <c r="AC152" i="2" s="1"/>
  <c r="N30" i="76"/>
  <c r="O30" i="76" s="1"/>
  <c r="N32" i="76"/>
  <c r="O32" i="76" s="1"/>
  <c r="O13" i="78"/>
  <c r="O33" i="78"/>
  <c r="N20" i="78"/>
  <c r="O20" i="78" s="1"/>
  <c r="O26" i="78"/>
  <c r="O34" i="78"/>
  <c r="N36" i="78"/>
  <c r="O36" i="78" s="1"/>
  <c r="N39" i="78"/>
  <c r="M45" i="75"/>
  <c r="O118" i="2"/>
  <c r="N66" i="75"/>
  <c r="O66" i="75" s="1"/>
  <c r="N19" i="75"/>
  <c r="O19" i="75" s="1"/>
  <c r="N45" i="75"/>
  <c r="AB80" i="2"/>
  <c r="O23" i="77"/>
  <c r="O35" i="77"/>
  <c r="O21" i="77"/>
  <c r="O136" i="2"/>
  <c r="N27" i="76"/>
  <c r="O27" i="76" s="1"/>
  <c r="N29" i="76"/>
  <c r="O9" i="76"/>
  <c r="M41" i="75"/>
  <c r="AH65" i="2" s="1"/>
  <c r="O7" i="2"/>
  <c r="M52" i="75"/>
  <c r="O161" i="2"/>
  <c r="M68" i="75"/>
  <c r="O81" i="2"/>
  <c r="AB174" i="2"/>
  <c r="O17" i="75"/>
  <c r="O21" i="75"/>
  <c r="O35" i="75"/>
  <c r="O41" i="75"/>
  <c r="O45" i="75"/>
  <c r="O60" i="75"/>
  <c r="O68" i="75"/>
  <c r="N18" i="75"/>
  <c r="O18" i="75" s="1"/>
  <c r="O20" i="75"/>
  <c r="O40" i="75"/>
  <c r="N49" i="75"/>
  <c r="O49" i="75" s="1"/>
  <c r="N57" i="75"/>
  <c r="O57" i="75" s="1"/>
  <c r="O46" i="74"/>
  <c r="M15" i="74"/>
  <c r="O8" i="2"/>
  <c r="M36" i="74"/>
  <c r="O166" i="2"/>
  <c r="N20" i="74"/>
  <c r="O20" i="74" s="1"/>
  <c r="O32" i="74"/>
  <c r="N36" i="74"/>
  <c r="O40" i="74"/>
  <c r="O48" i="74"/>
  <c r="AB166" i="2"/>
  <c r="O19" i="74"/>
  <c r="O22" i="74"/>
  <c r="O24" i="74"/>
  <c r="O33" i="74"/>
  <c r="O39" i="74"/>
  <c r="O51" i="74"/>
  <c r="O14" i="73"/>
  <c r="M16" i="73"/>
  <c r="O189" i="2"/>
  <c r="N12" i="73"/>
  <c r="O12" i="73" s="1"/>
  <c r="N16" i="73"/>
  <c r="N18" i="73"/>
  <c r="O18" i="73" s="1"/>
  <c r="R189" i="2"/>
  <c r="S189" i="2" s="1"/>
  <c r="O9" i="73"/>
  <c r="M14" i="73"/>
  <c r="O91" i="2"/>
  <c r="M37" i="73"/>
  <c r="N164" i="2"/>
  <c r="M26" i="72"/>
  <c r="O84" i="2"/>
  <c r="N26" i="72"/>
  <c r="O26" i="72" s="1"/>
  <c r="O35" i="71"/>
  <c r="O12" i="70"/>
  <c r="O4" i="69"/>
  <c r="O6" i="69"/>
  <c r="O12" i="69"/>
  <c r="O15" i="69"/>
  <c r="O18" i="69"/>
  <c r="O20" i="69"/>
  <c r="O34" i="69"/>
  <c r="O41" i="71"/>
  <c r="O37" i="69"/>
  <c r="O43" i="69"/>
  <c r="O48" i="69"/>
  <c r="O29" i="72"/>
  <c r="O30" i="71"/>
  <c r="O14" i="69"/>
  <c r="O16" i="69"/>
  <c r="O19" i="69"/>
  <c r="O21" i="69"/>
  <c r="O35" i="69"/>
  <c r="O25" i="72"/>
  <c r="O15" i="71"/>
  <c r="O23" i="70"/>
  <c r="O38" i="69"/>
  <c r="O42" i="69"/>
  <c r="O44" i="69"/>
  <c r="O49" i="69"/>
  <c r="N19" i="72"/>
  <c r="O19" i="72" s="1"/>
  <c r="N24" i="72"/>
  <c r="O24" i="72" s="1"/>
  <c r="N28" i="72"/>
  <c r="O28" i="72" s="1"/>
  <c r="M37" i="72"/>
  <c r="O76" i="2"/>
  <c r="O89" i="2"/>
  <c r="N18" i="72"/>
  <c r="O18" i="72" s="1"/>
  <c r="N37" i="72"/>
  <c r="M30" i="69"/>
  <c r="N30" i="69"/>
  <c r="O180" i="2"/>
  <c r="M53" i="84"/>
  <c r="AB115" i="2"/>
  <c r="O39" i="73"/>
  <c r="N29" i="69"/>
  <c r="N22" i="71"/>
  <c r="O22" i="71" s="1"/>
  <c r="N21" i="71"/>
  <c r="O21" i="71" s="1"/>
  <c r="O18" i="2"/>
  <c r="O17" i="71"/>
  <c r="AB164" i="2"/>
  <c r="O164" i="2"/>
  <c r="R164" i="2"/>
  <c r="M15" i="71"/>
  <c r="O169" i="2"/>
  <c r="N15" i="70"/>
  <c r="M30" i="70"/>
  <c r="O27" i="2"/>
  <c r="R117" i="2"/>
  <c r="S117" i="2" s="1"/>
  <c r="N117" i="2"/>
  <c r="N36" i="69"/>
  <c r="N24" i="69"/>
  <c r="M38" i="77"/>
  <c r="N15" i="74"/>
  <c r="O5" i="74"/>
  <c r="O13" i="74"/>
  <c r="N19" i="73"/>
  <c r="O19" i="73" s="1"/>
  <c r="M19" i="73"/>
  <c r="N36" i="71"/>
  <c r="O36" i="71" s="1"/>
  <c r="M36" i="71"/>
  <c r="AH182" i="2"/>
  <c r="N182" i="2"/>
  <c r="R182" i="2"/>
  <c r="S182" i="2" s="1"/>
  <c r="AB182" i="2"/>
  <c r="N18" i="94"/>
  <c r="O18" i="94" s="1"/>
  <c r="M26" i="94"/>
  <c r="O10" i="2"/>
  <c r="N26" i="94"/>
  <c r="O26" i="94" s="1"/>
  <c r="M34" i="93"/>
  <c r="R99" i="2"/>
  <c r="S99" i="2" s="1"/>
  <c r="N99" i="2"/>
  <c r="O51" i="93"/>
  <c r="N4" i="2"/>
  <c r="O50" i="93"/>
  <c r="M35" i="92"/>
  <c r="N7" i="2"/>
  <c r="R7" i="2"/>
  <c r="S7" i="2" s="1"/>
  <c r="M27" i="92"/>
  <c r="O121" i="2"/>
  <c r="O30" i="92"/>
  <c r="AC98" i="2" s="1"/>
  <c r="AB120" i="2"/>
  <c r="M30" i="92"/>
  <c r="AH120" i="2" s="1"/>
  <c r="N120" i="2"/>
  <c r="R120" i="2"/>
  <c r="S120" i="2" s="1"/>
  <c r="O35" i="92"/>
  <c r="M46" i="92"/>
  <c r="O58" i="2"/>
  <c r="M9" i="91"/>
  <c r="AH160" i="2" s="1"/>
  <c r="R160" i="2"/>
  <c r="S160" i="2" s="1"/>
  <c r="N160" i="2"/>
  <c r="M13" i="91"/>
  <c r="N196" i="2"/>
  <c r="O9" i="91"/>
  <c r="AB160" i="2"/>
  <c r="N18" i="91"/>
  <c r="O18" i="91" s="1"/>
  <c r="AC87" i="2" s="1"/>
  <c r="N31" i="91"/>
  <c r="O31" i="91" s="1"/>
  <c r="N41" i="91"/>
  <c r="O41" i="91" s="1"/>
  <c r="M18" i="90"/>
  <c r="O187" i="2"/>
  <c r="M50" i="90"/>
  <c r="R75" i="2"/>
  <c r="S75" i="2" s="1"/>
  <c r="N75" i="2"/>
  <c r="M74" i="90"/>
  <c r="N78" i="2"/>
  <c r="N18" i="90"/>
  <c r="O18" i="90" s="1"/>
  <c r="O50" i="90"/>
  <c r="AB75" i="2"/>
  <c r="N66" i="90"/>
  <c r="O66" i="90" s="1"/>
  <c r="N54" i="90"/>
  <c r="O54" i="90" s="1"/>
  <c r="M64" i="90"/>
  <c r="N110" i="2"/>
  <c r="M69" i="90"/>
  <c r="O90" i="2"/>
  <c r="O56" i="89"/>
  <c r="AB6" i="2"/>
  <c r="O28" i="89"/>
  <c r="O183" i="2"/>
  <c r="M36" i="89"/>
  <c r="O153" i="2"/>
  <c r="M28" i="89"/>
  <c r="N32" i="89"/>
  <c r="O32" i="89" s="1"/>
  <c r="N20" i="89"/>
  <c r="N36" i="89"/>
  <c r="O36" i="89" s="1"/>
  <c r="M56" i="89"/>
  <c r="AH6" i="2" s="1"/>
  <c r="R6" i="2"/>
  <c r="S6" i="2" s="1"/>
  <c r="N6" i="2"/>
  <c r="O32" i="2"/>
  <c r="O42" i="2"/>
  <c r="AB90" i="2"/>
  <c r="M26" i="88"/>
  <c r="N22" i="88"/>
  <c r="O22" i="88" s="1"/>
  <c r="N25" i="88"/>
  <c r="O25" i="88" s="1"/>
  <c r="N26" i="88"/>
  <c r="O26" i="88" s="1"/>
  <c r="M36" i="88"/>
  <c r="N24" i="88"/>
  <c r="O24" i="88" s="1"/>
  <c r="M27" i="88"/>
  <c r="N36" i="88"/>
  <c r="O36" i="88" s="1"/>
  <c r="N49" i="87"/>
  <c r="O49" i="87" s="1"/>
  <c r="O47" i="87"/>
  <c r="AB194" i="2"/>
  <c r="AH91" i="2"/>
  <c r="M34" i="87"/>
  <c r="O196" i="2"/>
  <c r="R196" i="2"/>
  <c r="M43" i="87"/>
  <c r="O87" i="2"/>
  <c r="N43" i="87"/>
  <c r="O43" i="87" s="1"/>
  <c r="N50" i="87"/>
  <c r="O50" i="87" s="1"/>
  <c r="M44" i="87"/>
  <c r="O131" i="2"/>
  <c r="N34" i="87"/>
  <c r="M36" i="87"/>
  <c r="O108" i="2"/>
  <c r="M14" i="87"/>
  <c r="N36" i="87"/>
  <c r="O36" i="87" s="1"/>
  <c r="M40" i="87"/>
  <c r="N191" i="2"/>
  <c r="M47" i="87"/>
  <c r="R194" i="2"/>
  <c r="S194" i="2" s="1"/>
  <c r="N194" i="2"/>
  <c r="M54" i="87"/>
  <c r="O135" i="2"/>
  <c r="R4" i="2"/>
  <c r="S4" i="2" s="1"/>
  <c r="R97" i="2"/>
  <c r="S97" i="2" s="1"/>
  <c r="N97" i="2"/>
  <c r="N24" i="85"/>
  <c r="O24" i="85" s="1"/>
  <c r="M39" i="85"/>
  <c r="M45" i="85"/>
  <c r="AH177" i="2" s="1"/>
  <c r="R177" i="2"/>
  <c r="S177" i="2" s="1"/>
  <c r="I178" i="67" s="1"/>
  <c r="O177" i="2"/>
  <c r="M57" i="85"/>
  <c r="N153" i="2"/>
  <c r="O45" i="85"/>
  <c r="AB177" i="2"/>
  <c r="M37" i="85"/>
  <c r="O74" i="2"/>
  <c r="N38" i="85"/>
  <c r="O38" i="85" s="1"/>
  <c r="M63" i="84"/>
  <c r="R153" i="2"/>
  <c r="S153" i="2" s="1"/>
  <c r="N54" i="84"/>
  <c r="O54" i="84" s="1"/>
  <c r="N58" i="84"/>
  <c r="O58" i="84" s="1"/>
  <c r="O63" i="84"/>
  <c r="R192" i="2"/>
  <c r="S192" i="2" s="1"/>
  <c r="N192" i="2"/>
  <c r="AB159" i="2"/>
  <c r="N30" i="84"/>
  <c r="O30" i="84" s="1"/>
  <c r="M8" i="84"/>
  <c r="N159" i="2"/>
  <c r="N27" i="84"/>
  <c r="O27" i="84" s="1"/>
  <c r="M29" i="84"/>
  <c r="O154" i="2"/>
  <c r="M31" i="84"/>
  <c r="N114" i="2"/>
  <c r="N29" i="84"/>
  <c r="O29" i="84" s="1"/>
  <c r="N53" i="84"/>
  <c r="O53" i="84" s="1"/>
  <c r="O69" i="84"/>
  <c r="AB192" i="2"/>
  <c r="AH152" i="2"/>
  <c r="N18" i="83"/>
  <c r="O18" i="83" s="1"/>
  <c r="N140" i="2"/>
  <c r="R140" i="2"/>
  <c r="S140" i="2" s="1"/>
  <c r="M55" i="83"/>
  <c r="AH140" i="2" s="1"/>
  <c r="AB4" i="2"/>
  <c r="O50" i="82"/>
  <c r="O25" i="82"/>
  <c r="AC75" i="2" s="1"/>
  <c r="O100" i="2"/>
  <c r="N23" i="82"/>
  <c r="O23" i="82" s="1"/>
  <c r="N28" i="82"/>
  <c r="N47" i="82"/>
  <c r="O47" i="82" s="1"/>
  <c r="M50" i="82"/>
  <c r="N51" i="82"/>
  <c r="O51" i="82" s="1"/>
  <c r="N132" i="2"/>
  <c r="O5" i="81"/>
  <c r="N22" i="81"/>
  <c r="O22" i="81" s="1"/>
  <c r="O46" i="81"/>
  <c r="AB191" i="2"/>
  <c r="M13" i="81"/>
  <c r="AH15" i="2" s="1"/>
  <c r="N15" i="2"/>
  <c r="R15" i="2"/>
  <c r="S15" i="2" s="1"/>
  <c r="M31" i="81"/>
  <c r="O16" i="2"/>
  <c r="M38" i="81"/>
  <c r="M40" i="81"/>
  <c r="O188" i="2"/>
  <c r="O3" i="81"/>
  <c r="AB185" i="2"/>
  <c r="M5" i="81"/>
  <c r="N188" i="2"/>
  <c r="R188" i="2"/>
  <c r="S188" i="2" s="1"/>
  <c r="M3" i="81"/>
  <c r="R185" i="2"/>
  <c r="S185" i="2" s="1"/>
  <c r="N185" i="2"/>
  <c r="O13" i="81"/>
  <c r="AB15" i="2"/>
  <c r="N15" i="81"/>
  <c r="O15" i="81" s="1"/>
  <c r="M19" i="81"/>
  <c r="N31" i="81"/>
  <c r="O31" i="81" s="1"/>
  <c r="O38" i="81"/>
  <c r="N40" i="81"/>
  <c r="O40" i="81" s="1"/>
  <c r="R191" i="2"/>
  <c r="O191" i="2"/>
  <c r="O107" i="2"/>
  <c r="M49" i="79"/>
  <c r="O133" i="2"/>
  <c r="M75" i="79"/>
  <c r="N112" i="2"/>
  <c r="N49" i="79"/>
  <c r="O49" i="79" s="1"/>
  <c r="O75" i="79"/>
  <c r="M70" i="79"/>
  <c r="AH104" i="2" s="1"/>
  <c r="N104" i="2"/>
  <c r="R104" i="2"/>
  <c r="S104" i="2" s="1"/>
  <c r="M78" i="79"/>
  <c r="R146" i="2"/>
  <c r="S146" i="2" s="1"/>
  <c r="N146" i="2"/>
  <c r="O78" i="79"/>
  <c r="AB146" i="2"/>
  <c r="AB92" i="2"/>
  <c r="AH92" i="2"/>
  <c r="R92" i="2"/>
  <c r="S92" i="2" s="1"/>
  <c r="O92" i="2"/>
  <c r="O93" i="2"/>
  <c r="AB88" i="2"/>
  <c r="O69" i="2"/>
  <c r="M25" i="78"/>
  <c r="N79" i="2"/>
  <c r="O39" i="78"/>
  <c r="N124" i="2"/>
  <c r="M24" i="78"/>
  <c r="M39" i="78"/>
  <c r="O127" i="2"/>
  <c r="O37" i="77"/>
  <c r="O24" i="77"/>
  <c r="O10" i="77"/>
  <c r="O55" i="76"/>
  <c r="AB158" i="2"/>
  <c r="R161" i="2"/>
  <c r="S161" i="2" s="1"/>
  <c r="N161" i="2"/>
  <c r="O71" i="2"/>
  <c r="M54" i="76"/>
  <c r="AH79" i="2" s="1"/>
  <c r="R79" i="2"/>
  <c r="S79" i="2" s="1"/>
  <c r="O79" i="2"/>
  <c r="M68" i="76"/>
  <c r="AH154" i="2" s="1"/>
  <c r="R154" i="2"/>
  <c r="S154" i="2" s="1"/>
  <c r="N154" i="2"/>
  <c r="M71" i="76"/>
  <c r="N123" i="2"/>
  <c r="O41" i="76"/>
  <c r="M50" i="76"/>
  <c r="AH114" i="2" s="1"/>
  <c r="O114" i="2"/>
  <c r="R114" i="2"/>
  <c r="S114" i="2" s="1"/>
  <c r="N54" i="76"/>
  <c r="O54" i="76" s="1"/>
  <c r="N107" i="2"/>
  <c r="M4" i="76"/>
  <c r="AH161" i="2" s="1"/>
  <c r="N24" i="76"/>
  <c r="O24" i="76" s="1"/>
  <c r="N105" i="2"/>
  <c r="M31" i="76"/>
  <c r="AH82" i="2" s="1"/>
  <c r="N82" i="2"/>
  <c r="R82" i="2"/>
  <c r="S82" i="2" s="1"/>
  <c r="M66" i="76"/>
  <c r="N106" i="2"/>
  <c r="O68" i="76"/>
  <c r="AB154" i="2"/>
  <c r="O4" i="76"/>
  <c r="AB161" i="2"/>
  <c r="O31" i="76"/>
  <c r="AB82" i="2"/>
  <c r="M47" i="76"/>
  <c r="O11" i="2"/>
  <c r="N50" i="76"/>
  <c r="O50" i="76" s="1"/>
  <c r="M55" i="76"/>
  <c r="AH158" i="2" s="1"/>
  <c r="O158" i="2"/>
  <c r="R158" i="2"/>
  <c r="S158" i="2" s="1"/>
  <c r="AH148" i="2"/>
  <c r="N101" i="2"/>
  <c r="R101" i="2"/>
  <c r="S101" i="2" s="1"/>
  <c r="O3" i="75"/>
  <c r="M5" i="75"/>
  <c r="M29" i="75"/>
  <c r="M54" i="75"/>
  <c r="R84" i="2"/>
  <c r="S84" i="2" s="1"/>
  <c r="N84" i="2"/>
  <c r="O53" i="75"/>
  <c r="O5" i="75"/>
  <c r="AB101" i="2"/>
  <c r="O22" i="75"/>
  <c r="AB172" i="2"/>
  <c r="M12" i="75"/>
  <c r="N136" i="2"/>
  <c r="R136" i="2"/>
  <c r="S136" i="2" s="1"/>
  <c r="M28" i="75"/>
  <c r="P22" i="2"/>
  <c r="M36" i="75"/>
  <c r="AH162" i="2" s="1"/>
  <c r="R162" i="2"/>
  <c r="N162" i="2"/>
  <c r="M3" i="75"/>
  <c r="AH174" i="2" s="1"/>
  <c r="N174" i="2"/>
  <c r="R174" i="2"/>
  <c r="S174" i="2" s="1"/>
  <c r="O12" i="75"/>
  <c r="AB136" i="2"/>
  <c r="AH172" i="2"/>
  <c r="R172" i="2"/>
  <c r="N172" i="2"/>
  <c r="M30" i="75"/>
  <c r="AH108" i="2" s="1"/>
  <c r="R108" i="2"/>
  <c r="S108" i="2" s="1"/>
  <c r="N108" i="2"/>
  <c r="O36" i="75"/>
  <c r="AB162" i="2"/>
  <c r="M43" i="75"/>
  <c r="M53" i="75"/>
  <c r="AH106" i="2" s="1"/>
  <c r="R106" i="2"/>
  <c r="S106" i="2" s="1"/>
  <c r="O54" i="75"/>
  <c r="M46" i="74"/>
  <c r="AH116" i="2" s="1"/>
  <c r="N116" i="2"/>
  <c r="R116" i="2"/>
  <c r="S116" i="2" s="1"/>
  <c r="M51" i="74"/>
  <c r="AH159" i="2" s="1"/>
  <c r="R159" i="2"/>
  <c r="S159" i="2" s="1"/>
  <c r="M75" i="74"/>
  <c r="AH90" i="2" s="1"/>
  <c r="R90" i="2"/>
  <c r="S90" i="2" s="1"/>
  <c r="N90" i="2"/>
  <c r="O38" i="74"/>
  <c r="O57" i="74"/>
  <c r="M38" i="74"/>
  <c r="N126" i="2"/>
  <c r="R126" i="2"/>
  <c r="S126" i="2" s="1"/>
  <c r="M5" i="74"/>
  <c r="M8" i="74"/>
  <c r="M13" i="74"/>
  <c r="M16" i="74"/>
  <c r="O130" i="2"/>
  <c r="M39" i="74"/>
  <c r="AH88" i="2" s="1"/>
  <c r="N88" i="2"/>
  <c r="R88" i="2"/>
  <c r="S88" i="2" s="1"/>
  <c r="M50" i="74"/>
  <c r="AH74" i="2" s="1"/>
  <c r="R74" i="2"/>
  <c r="S74" i="2" s="1"/>
  <c r="N74" i="2"/>
  <c r="M55" i="74"/>
  <c r="M71" i="74"/>
  <c r="N77" i="2"/>
  <c r="AB56" i="2"/>
  <c r="N16" i="74"/>
  <c r="M18" i="74"/>
  <c r="O24" i="2"/>
  <c r="O61" i="74"/>
  <c r="O69" i="74"/>
  <c r="M13" i="73"/>
  <c r="R78" i="2"/>
  <c r="S78" i="2" s="1"/>
  <c r="O78" i="2"/>
  <c r="O7" i="73"/>
  <c r="AB152" i="2"/>
  <c r="M53" i="73"/>
  <c r="AH180" i="2" s="1"/>
  <c r="R180" i="2"/>
  <c r="S180" i="2" s="1"/>
  <c r="N180" i="2"/>
  <c r="AB169" i="2"/>
  <c r="O53" i="73"/>
  <c r="R169" i="2"/>
  <c r="S169" i="2" s="1"/>
  <c r="O129" i="2"/>
  <c r="M3" i="73"/>
  <c r="AH143" i="2" s="1"/>
  <c r="N186" i="2"/>
  <c r="N152" i="2"/>
  <c r="R152" i="2"/>
  <c r="S152" i="2" s="1"/>
  <c r="N13" i="73"/>
  <c r="M32" i="73"/>
  <c r="N169" i="2"/>
  <c r="N87" i="2"/>
  <c r="R132" i="2"/>
  <c r="S132" i="2" s="1"/>
  <c r="O132" i="2"/>
  <c r="M39" i="73"/>
  <c r="AH115" i="2" s="1"/>
  <c r="N115" i="2"/>
  <c r="R115" i="2"/>
  <c r="S115" i="2" s="1"/>
  <c r="M42" i="73"/>
  <c r="AH169" i="2"/>
  <c r="O33" i="69"/>
  <c r="AB97" i="2"/>
  <c r="O39" i="69"/>
  <c r="AB99" i="2"/>
  <c r="O41" i="69"/>
  <c r="O46" i="69"/>
  <c r="AB140" i="2"/>
  <c r="O2" i="69"/>
  <c r="AB108" i="2"/>
  <c r="O26" i="69"/>
  <c r="AB78" i="2"/>
  <c r="O40" i="69"/>
  <c r="O60" i="69"/>
  <c r="AB114" i="2"/>
  <c r="O69" i="69"/>
  <c r="O78" i="69"/>
  <c r="AB104" i="2"/>
  <c r="O54" i="72"/>
  <c r="M8" i="72"/>
  <c r="AH102" i="2" s="1"/>
  <c r="R102" i="2"/>
  <c r="S102" i="2" s="1"/>
  <c r="N102" i="2"/>
  <c r="AH186" i="2"/>
  <c r="R186" i="2"/>
  <c r="S186" i="2" s="1"/>
  <c r="O186" i="2"/>
  <c r="M45" i="72"/>
  <c r="AH41" i="2" s="1"/>
  <c r="N41" i="2"/>
  <c r="R41" i="2"/>
  <c r="S41" i="2" s="1"/>
  <c r="N80" i="2"/>
  <c r="R80" i="2"/>
  <c r="S80" i="2" s="1"/>
  <c r="M2" i="72"/>
  <c r="M5" i="72"/>
  <c r="N21" i="72"/>
  <c r="AB186" i="2" s="1"/>
  <c r="M51" i="72"/>
  <c r="M54" i="72"/>
  <c r="R56" i="2"/>
  <c r="S56" i="2" s="1"/>
  <c r="N56" i="2"/>
  <c r="AH131" i="2"/>
  <c r="M30" i="72"/>
  <c r="O105" i="2"/>
  <c r="M47" i="72"/>
  <c r="N113" i="2"/>
  <c r="M60" i="72"/>
  <c r="R166" i="2"/>
  <c r="S166" i="2" s="1"/>
  <c r="N166" i="2"/>
  <c r="N148" i="2"/>
  <c r="R148" i="2"/>
  <c r="S148" i="2" s="1"/>
  <c r="M9" i="72"/>
  <c r="AH166" i="2" s="1"/>
  <c r="M16" i="72"/>
  <c r="O20" i="72"/>
  <c r="M23" i="72"/>
  <c r="M29" i="72"/>
  <c r="N30" i="72"/>
  <c r="AB148" i="2"/>
  <c r="O3" i="72"/>
  <c r="O51" i="72"/>
  <c r="O60" i="72"/>
  <c r="O5" i="72"/>
  <c r="O8" i="72"/>
  <c r="AB102" i="2"/>
  <c r="O9" i="72"/>
  <c r="O16" i="72"/>
  <c r="O56" i="71"/>
  <c r="AB155" i="2"/>
  <c r="O24" i="71"/>
  <c r="O14" i="71"/>
  <c r="M20" i="71"/>
  <c r="M22" i="71"/>
  <c r="N67" i="2"/>
  <c r="R67" i="2"/>
  <c r="S67" i="2" s="1"/>
  <c r="R91" i="2"/>
  <c r="S91" i="2" s="1"/>
  <c r="N91" i="2"/>
  <c r="O12" i="2"/>
  <c r="M39" i="71"/>
  <c r="M43" i="71"/>
  <c r="M45" i="71"/>
  <c r="AH194" i="2" s="1"/>
  <c r="O46" i="71"/>
  <c r="O50" i="71"/>
  <c r="O52" i="71"/>
  <c r="O60" i="71"/>
  <c r="O69" i="71"/>
  <c r="M71" i="71"/>
  <c r="M73" i="71"/>
  <c r="AH128" i="2" s="1"/>
  <c r="R128" i="2"/>
  <c r="S128" i="2" s="1"/>
  <c r="N128" i="2"/>
  <c r="M77" i="71"/>
  <c r="R98" i="2"/>
  <c r="N98" i="2"/>
  <c r="O80" i="71"/>
  <c r="M90" i="71"/>
  <c r="M6" i="71"/>
  <c r="M14" i="71"/>
  <c r="M50" i="71"/>
  <c r="M52" i="71"/>
  <c r="M56" i="71"/>
  <c r="AH155" i="2" s="1"/>
  <c r="R155" i="2"/>
  <c r="O155" i="2"/>
  <c r="M60" i="71"/>
  <c r="R131" i="2"/>
  <c r="S131" i="2" s="1"/>
  <c r="N131" i="2"/>
  <c r="M67" i="71"/>
  <c r="M69" i="71"/>
  <c r="AH127" i="2" s="1"/>
  <c r="R127" i="2"/>
  <c r="N127" i="2"/>
  <c r="O76" i="71"/>
  <c r="AB3" i="2"/>
  <c r="M80" i="71"/>
  <c r="N144" i="2"/>
  <c r="O93" i="71"/>
  <c r="AB193" i="2"/>
  <c r="M3" i="71"/>
  <c r="M13" i="71"/>
  <c r="AH58" i="2" s="1"/>
  <c r="N58" i="2"/>
  <c r="R58" i="2"/>
  <c r="S58" i="2" s="1"/>
  <c r="AB67" i="2"/>
  <c r="M28" i="71"/>
  <c r="O43" i="71"/>
  <c r="O45" i="71"/>
  <c r="M47" i="71"/>
  <c r="O176" i="2"/>
  <c r="M49" i="71"/>
  <c r="R39" i="2"/>
  <c r="S39" i="2" s="1"/>
  <c r="O39" i="2"/>
  <c r="M55" i="71"/>
  <c r="M59" i="71"/>
  <c r="AH113" i="2" s="1"/>
  <c r="R113" i="2"/>
  <c r="O113" i="2"/>
  <c r="M61" i="71"/>
  <c r="N39" i="2"/>
  <c r="O62" i="71"/>
  <c r="AB131" i="2"/>
  <c r="M68" i="71"/>
  <c r="O73" i="71"/>
  <c r="AB128" i="2"/>
  <c r="O77" i="71"/>
  <c r="AB98" i="2"/>
  <c r="M79" i="71"/>
  <c r="AH119" i="2" s="1"/>
  <c r="R119" i="2"/>
  <c r="S119" i="2" s="1"/>
  <c r="N119" i="2"/>
  <c r="M81" i="71"/>
  <c r="R145" i="2"/>
  <c r="S145" i="2" s="1"/>
  <c r="N145" i="2"/>
  <c r="M83" i="71"/>
  <c r="O90" i="71"/>
  <c r="O3" i="71"/>
  <c r="O13" i="71"/>
  <c r="AB58" i="2"/>
  <c r="M17" i="71"/>
  <c r="AH164" i="2" s="1"/>
  <c r="M21" i="71"/>
  <c r="O44" i="2"/>
  <c r="M24" i="71"/>
  <c r="R57" i="2"/>
  <c r="S57" i="2" s="1"/>
  <c r="O57" i="2"/>
  <c r="O26" i="71"/>
  <c r="AB91" i="2"/>
  <c r="M37" i="71"/>
  <c r="N16" i="2"/>
  <c r="R16" i="2"/>
  <c r="S16" i="2" s="1"/>
  <c r="M40" i="71"/>
  <c r="M42" i="71"/>
  <c r="N47" i="71"/>
  <c r="N49" i="71"/>
  <c r="AD94" i="2" s="1"/>
  <c r="N59" i="71"/>
  <c r="O66" i="71"/>
  <c r="M74" i="71"/>
  <c r="M76" i="71"/>
  <c r="R3" i="2"/>
  <c r="S3" i="2" s="1"/>
  <c r="N3" i="2"/>
  <c r="O79" i="71"/>
  <c r="AB119" i="2"/>
  <c r="O81" i="71"/>
  <c r="AB145" i="2"/>
  <c r="O83" i="71"/>
  <c r="M91" i="71"/>
  <c r="N57" i="2"/>
  <c r="M93" i="71"/>
  <c r="R193" i="2"/>
  <c r="N193" i="2"/>
  <c r="M45" i="70"/>
  <c r="AH20" i="2" s="1"/>
  <c r="R20" i="2"/>
  <c r="S20" i="2" s="1"/>
  <c r="N20" i="2"/>
  <c r="M36" i="70"/>
  <c r="O2" i="70"/>
  <c r="O4" i="70"/>
  <c r="O8" i="70"/>
  <c r="O10" i="70"/>
  <c r="O16" i="70"/>
  <c r="O20" i="70"/>
  <c r="O29" i="70"/>
  <c r="O31" i="70"/>
  <c r="O33" i="70"/>
  <c r="O35" i="70"/>
  <c r="O39" i="70"/>
  <c r="O45" i="70"/>
  <c r="AB20" i="2"/>
  <c r="O5" i="70"/>
  <c r="O9" i="70"/>
  <c r="O17" i="70"/>
  <c r="AB41" i="2"/>
  <c r="O19" i="70"/>
  <c r="O28" i="70"/>
  <c r="O30" i="70"/>
  <c r="AB74" i="2"/>
  <c r="O32" i="70"/>
  <c r="AB116" i="2"/>
  <c r="O36" i="70"/>
  <c r="O38" i="70"/>
  <c r="M46" i="70"/>
  <c r="O46" i="70"/>
  <c r="M3" i="70"/>
  <c r="N109" i="2"/>
  <c r="O22" i="70"/>
  <c r="AB168" i="2"/>
  <c r="M22" i="70"/>
  <c r="AH168" i="2" s="1"/>
  <c r="R168" i="2"/>
  <c r="N168" i="2"/>
  <c r="M47" i="69"/>
  <c r="R94" i="2"/>
  <c r="S94" i="2" s="1"/>
  <c r="N94" i="2"/>
  <c r="O47" i="69"/>
  <c r="AB94" i="2"/>
  <c r="M27" i="69"/>
  <c r="AH77" i="2" s="1"/>
  <c r="R77" i="2"/>
  <c r="S77" i="2" s="1"/>
  <c r="Q77" i="2"/>
  <c r="O27" i="69"/>
  <c r="AB77" i="2"/>
  <c r="M2" i="71"/>
  <c r="M28" i="69"/>
  <c r="AH117" i="2" s="1"/>
  <c r="N28" i="69"/>
  <c r="AD109" i="2" s="1"/>
  <c r="O2" i="71"/>
  <c r="N41" i="70"/>
  <c r="AB132" i="2" s="1"/>
  <c r="N40" i="70"/>
  <c r="AD89" i="2" s="1"/>
  <c r="N26" i="70"/>
  <c r="M4" i="70"/>
  <c r="O3" i="70"/>
  <c r="N80" i="69"/>
  <c r="O80" i="69" s="1"/>
  <c r="N32" i="69"/>
  <c r="AB106" i="2" s="1"/>
  <c r="O5" i="69"/>
  <c r="M21" i="69"/>
  <c r="M19" i="69"/>
  <c r="M14" i="69"/>
  <c r="M16" i="69"/>
  <c r="O8" i="69"/>
  <c r="M8" i="69"/>
  <c r="M5" i="69"/>
  <c r="O3" i="69"/>
  <c r="M3" i="69"/>
  <c r="G197" i="2"/>
  <c r="I197" i="2"/>
  <c r="H197" i="2"/>
  <c r="AC68" i="2" l="1"/>
  <c r="AD57" i="2"/>
  <c r="AD76" i="2"/>
  <c r="AB149" i="2"/>
  <c r="AD149" i="2"/>
  <c r="AH132" i="2"/>
  <c r="AH73" i="2"/>
  <c r="AC151" i="2"/>
  <c r="AB68" i="2"/>
  <c r="AD68" i="2"/>
  <c r="I175" i="67"/>
  <c r="AD194" i="2"/>
  <c r="AB23" i="2"/>
  <c r="AD23" i="2"/>
  <c r="AH67" i="2"/>
  <c r="AH23" i="2"/>
  <c r="AC105" i="2"/>
  <c r="AH3" i="2"/>
  <c r="AC170" i="2"/>
  <c r="AC54" i="2"/>
  <c r="AB54" i="2"/>
  <c r="AH190" i="2"/>
  <c r="AD54" i="2"/>
  <c r="P197" i="2"/>
  <c r="I49" i="67"/>
  <c r="I50" i="67"/>
  <c r="AD101" i="2"/>
  <c r="AD168" i="2"/>
  <c r="AD102" i="2"/>
  <c r="O23" i="87"/>
  <c r="AD156" i="2"/>
  <c r="AB156" i="2"/>
  <c r="AD74" i="2"/>
  <c r="AD6" i="2"/>
  <c r="AC194" i="2"/>
  <c r="AD192" i="2"/>
  <c r="AC29" i="2"/>
  <c r="I95" i="67"/>
  <c r="J3" i="35"/>
  <c r="I149" i="67"/>
  <c r="AC173" i="2"/>
  <c r="AC70" i="2"/>
  <c r="AD92" i="2"/>
  <c r="O24" i="78"/>
  <c r="AD187" i="2"/>
  <c r="AH189" i="2"/>
  <c r="AD189" i="2"/>
  <c r="AC191" i="2"/>
  <c r="AD65" i="2"/>
  <c r="AB65" i="2"/>
  <c r="AD131" i="2"/>
  <c r="AH78" i="2"/>
  <c r="AH70" i="2"/>
  <c r="O21" i="73"/>
  <c r="AD188" i="2"/>
  <c r="AH126" i="2"/>
  <c r="O13" i="73"/>
  <c r="AD70" i="2"/>
  <c r="AB70" i="2"/>
  <c r="AD134" i="2"/>
  <c r="O32" i="72"/>
  <c r="AD129" i="2"/>
  <c r="AH96" i="2"/>
  <c r="AH7" i="2"/>
  <c r="AH16" i="2"/>
  <c r="AD20" i="2"/>
  <c r="AD181" i="2"/>
  <c r="AB181" i="2"/>
  <c r="AC149" i="2"/>
  <c r="AD123" i="2"/>
  <c r="AC15" i="2"/>
  <c r="AC21" i="2"/>
  <c r="AH192" i="2"/>
  <c r="AD43" i="2"/>
  <c r="AD135" i="2"/>
  <c r="O24" i="91"/>
  <c r="AD133" i="2"/>
  <c r="AD45" i="2"/>
  <c r="AB163" i="2"/>
  <c r="AD163" i="2"/>
  <c r="O13" i="76"/>
  <c r="AD41" i="2"/>
  <c r="O16" i="86"/>
  <c r="AD78" i="2"/>
  <c r="O35" i="90"/>
  <c r="O22" i="90"/>
  <c r="AD97" i="2"/>
  <c r="AD136" i="2"/>
  <c r="AD186" i="2"/>
  <c r="AD114" i="2"/>
  <c r="AD145" i="2"/>
  <c r="O9" i="87"/>
  <c r="AD85" i="2"/>
  <c r="AD143" i="2"/>
  <c r="AD191" i="2"/>
  <c r="AD81" i="2"/>
  <c r="O28" i="82"/>
  <c r="AD55" i="2"/>
  <c r="AB55" i="2"/>
  <c r="AD185" i="2"/>
  <c r="AD118" i="2"/>
  <c r="AH191" i="2"/>
  <c r="AB7" i="2"/>
  <c r="AD7" i="2"/>
  <c r="AH29" i="2"/>
  <c r="AD34" i="2"/>
  <c r="AD77" i="2"/>
  <c r="AB49" i="2"/>
  <c r="AD170" i="2"/>
  <c r="AH75" i="2"/>
  <c r="O22" i="76"/>
  <c r="AD126" i="2"/>
  <c r="AB170" i="2"/>
  <c r="AD122" i="2"/>
  <c r="O16" i="75"/>
  <c r="AD106" i="2"/>
  <c r="AH54" i="2"/>
  <c r="AD19" i="2"/>
  <c r="AD16" i="2"/>
  <c r="AD37" i="2"/>
  <c r="O37" i="72"/>
  <c r="AD3" i="2"/>
  <c r="AH149" i="2"/>
  <c r="AD130" i="2"/>
  <c r="AH136" i="2"/>
  <c r="AD49" i="2"/>
  <c r="AH97" i="2"/>
  <c r="O28" i="71"/>
  <c r="AH94" i="2"/>
  <c r="AB57" i="2"/>
  <c r="AH21" i="2"/>
  <c r="AD153" i="2"/>
  <c r="AD42" i="2"/>
  <c r="AB29" i="2"/>
  <c r="AD29" i="2"/>
  <c r="AB21" i="2"/>
  <c r="AD21" i="2"/>
  <c r="AH49" i="2"/>
  <c r="AC49" i="2"/>
  <c r="O22" i="69"/>
  <c r="AD169" i="2"/>
  <c r="J19" i="35" s="1"/>
  <c r="AH80" i="2"/>
  <c r="S98" i="2"/>
  <c r="S164" i="2"/>
  <c r="I165" i="67" s="1"/>
  <c r="S168" i="2"/>
  <c r="I168" i="67" s="1"/>
  <c r="S193" i="2"/>
  <c r="I194" i="67" s="1"/>
  <c r="S113" i="2"/>
  <c r="S155" i="2"/>
  <c r="I155" i="67" s="1"/>
  <c r="S172" i="2"/>
  <c r="I172" i="67" s="1"/>
  <c r="S162" i="2"/>
  <c r="I163" i="67" s="1"/>
  <c r="S127" i="2"/>
  <c r="S191" i="2"/>
  <c r="I192" i="67" s="1"/>
  <c r="S196" i="2"/>
  <c r="I196" i="67" s="1"/>
  <c r="I78" i="67"/>
  <c r="I166" i="67"/>
  <c r="I180" i="67"/>
  <c r="I158" i="67"/>
  <c r="I171" i="67"/>
  <c r="I154" i="67"/>
  <c r="I97" i="67"/>
  <c r="I115" i="67"/>
  <c r="I169" i="67"/>
  <c r="I153" i="67"/>
  <c r="I195" i="67"/>
  <c r="I83" i="67"/>
  <c r="I160" i="67"/>
  <c r="I170" i="67"/>
  <c r="I173" i="67"/>
  <c r="I181" i="67"/>
  <c r="I150" i="67"/>
  <c r="AB127" i="2"/>
  <c r="O15" i="93"/>
  <c r="AC6" i="2"/>
  <c r="O17" i="84"/>
  <c r="O24" i="83"/>
  <c r="O10" i="83"/>
  <c r="AH153" i="2"/>
  <c r="AH146" i="2"/>
  <c r="AH171" i="2"/>
  <c r="O30" i="72"/>
  <c r="AC171" i="2" s="1"/>
  <c r="AB171" i="2"/>
  <c r="AH98" i="2"/>
  <c r="AH145" i="2"/>
  <c r="O16" i="71"/>
  <c r="AB126" i="2"/>
  <c r="AC97" i="2"/>
  <c r="AC143" i="2"/>
  <c r="AC92" i="2"/>
  <c r="AC114" i="2"/>
  <c r="AC162" i="2"/>
  <c r="AC80" i="2"/>
  <c r="AC42" i="2"/>
  <c r="AC161" i="2"/>
  <c r="AC186" i="2"/>
  <c r="AC136" i="2"/>
  <c r="AC196" i="2"/>
  <c r="AC101" i="2"/>
  <c r="AC91" i="2"/>
  <c r="AC43" i="2"/>
  <c r="O34" i="93"/>
  <c r="AB84" i="2"/>
  <c r="O27" i="85"/>
  <c r="AC72" i="2" s="1"/>
  <c r="O16" i="83"/>
  <c r="AC104" i="2" s="1"/>
  <c r="O33" i="82"/>
  <c r="AC146" i="2" s="1"/>
  <c r="AC172" i="2"/>
  <c r="AC67" i="2"/>
  <c r="U21" i="35" s="1"/>
  <c r="AC168" i="2"/>
  <c r="AC154" i="2"/>
  <c r="AC82" i="2"/>
  <c r="AC106" i="2"/>
  <c r="AC102" i="2"/>
  <c r="AC119" i="2"/>
  <c r="AC7" i="2"/>
  <c r="AC128" i="2"/>
  <c r="AC185" i="2"/>
  <c r="AC130" i="2"/>
  <c r="O38" i="77"/>
  <c r="O29" i="76"/>
  <c r="AH185" i="2"/>
  <c r="O36" i="74"/>
  <c r="O15" i="74"/>
  <c r="AH101" i="2"/>
  <c r="AH188" i="2"/>
  <c r="O16" i="73"/>
  <c r="AB189" i="2"/>
  <c r="AC41" i="2"/>
  <c r="AC140" i="2"/>
  <c r="O24" i="69"/>
  <c r="AC164" i="2"/>
  <c r="AC169" i="2"/>
  <c r="AC39" i="2"/>
  <c r="AC192" i="2"/>
  <c r="O32" i="69"/>
  <c r="AB180" i="2"/>
  <c r="O28" i="69"/>
  <c r="AC16" i="2"/>
  <c r="AC3" i="2"/>
  <c r="AC86" i="2"/>
  <c r="AC20" i="2"/>
  <c r="O36" i="69"/>
  <c r="O29" i="69"/>
  <c r="AC76" i="2"/>
  <c r="AC56" i="2"/>
  <c r="AC155" i="2"/>
  <c r="AC131" i="2"/>
  <c r="AB153" i="2"/>
  <c r="O30" i="69"/>
  <c r="AC160" i="2"/>
  <c r="AC4" i="2"/>
  <c r="AC99" i="2"/>
  <c r="AC57" i="2"/>
  <c r="AC19" i="2"/>
  <c r="AC84" i="2"/>
  <c r="AC145" i="2"/>
  <c r="AC135" i="2"/>
  <c r="O15" i="70"/>
  <c r="AH84" i="2"/>
  <c r="AH99" i="2"/>
  <c r="AH4" i="2"/>
  <c r="AH56" i="2"/>
  <c r="AB117" i="2"/>
  <c r="O20" i="89"/>
  <c r="O34" i="87"/>
  <c r="AB196" i="2"/>
  <c r="AB188" i="2"/>
  <c r="O16" i="74"/>
  <c r="O21" i="72"/>
  <c r="O59" i="71"/>
  <c r="AH57" i="2"/>
  <c r="AH39" i="2"/>
  <c r="O49" i="71"/>
  <c r="AB39" i="2"/>
  <c r="O47" i="71"/>
  <c r="O41" i="70"/>
  <c r="AC126" i="2" s="1"/>
  <c r="O26" i="70"/>
  <c r="AB79" i="2"/>
  <c r="O40" i="70"/>
  <c r="L3" i="96"/>
  <c r="L4" i="96"/>
  <c r="L5" i="96"/>
  <c r="L6" i="96"/>
  <c r="P6" i="96" s="1"/>
  <c r="L7" i="96"/>
  <c r="P7" i="96" s="1"/>
  <c r="AC5" i="2" s="1"/>
  <c r="L8" i="96"/>
  <c r="L9" i="96"/>
  <c r="L10" i="96"/>
  <c r="P10" i="96" s="1"/>
  <c r="L11" i="96"/>
  <c r="L12" i="96"/>
  <c r="L13" i="96"/>
  <c r="R107" i="2" s="1"/>
  <c r="S107" i="2" s="1"/>
  <c r="L14" i="96"/>
  <c r="L15" i="96"/>
  <c r="L16" i="96"/>
  <c r="P16" i="96" s="1"/>
  <c r="L17" i="96"/>
  <c r="L18" i="96"/>
  <c r="L19" i="96"/>
  <c r="R110" i="2" s="1"/>
  <c r="S110" i="2" s="1"/>
  <c r="L20" i="96"/>
  <c r="L21" i="96"/>
  <c r="L22" i="96"/>
  <c r="L23" i="96"/>
  <c r="P23" i="96" s="1"/>
  <c r="L24" i="96"/>
  <c r="L25" i="96"/>
  <c r="L26" i="96"/>
  <c r="L27" i="96"/>
  <c r="R151" i="2" s="1"/>
  <c r="S151" i="2" s="1"/>
  <c r="I151" i="67" s="1"/>
  <c r="L28" i="96"/>
  <c r="R124" i="2" s="1"/>
  <c r="S124" i="2" s="1"/>
  <c r="L29" i="96"/>
  <c r="R105" i="2" s="1"/>
  <c r="S105" i="2" s="1"/>
  <c r="I103" i="67" s="1"/>
  <c r="L30" i="96"/>
  <c r="L31" i="96"/>
  <c r="L32" i="96"/>
  <c r="P32" i="96" s="1"/>
  <c r="L33" i="96"/>
  <c r="P33" i="96" s="1"/>
  <c r="L34" i="96"/>
  <c r="L35" i="96"/>
  <c r="P35" i="96" s="1"/>
  <c r="L36" i="96"/>
  <c r="P36" i="96" s="1"/>
  <c r="AC121" i="2" s="1"/>
  <c r="L37" i="96"/>
  <c r="L38" i="96"/>
  <c r="P38" i="96" s="1"/>
  <c r="L39" i="96"/>
  <c r="P39" i="96" s="1"/>
  <c r="L40" i="96"/>
  <c r="P40" i="96" s="1"/>
  <c r="L41" i="96"/>
  <c r="P41" i="96" s="1"/>
  <c r="L42" i="96"/>
  <c r="P42" i="96" s="1"/>
  <c r="L43" i="96"/>
  <c r="P43" i="96" s="1"/>
  <c r="L44" i="96"/>
  <c r="P44" i="96" s="1"/>
  <c r="L45" i="96"/>
  <c r="P45" i="96" s="1"/>
  <c r="L46" i="96"/>
  <c r="L47" i="96"/>
  <c r="P47" i="96" s="1"/>
  <c r="L48" i="96"/>
  <c r="L49" i="96"/>
  <c r="L50" i="96"/>
  <c r="L51" i="96"/>
  <c r="L52" i="96"/>
  <c r="L53" i="96"/>
  <c r="L54" i="96"/>
  <c r="J21" i="35" l="1"/>
  <c r="O21" i="35"/>
  <c r="I152" i="67"/>
  <c r="I156" i="67"/>
  <c r="P17" i="96"/>
  <c r="AC176" i="2" s="1"/>
  <c r="N176" i="2"/>
  <c r="R176" i="2"/>
  <c r="S176" i="2" s="1"/>
  <c r="I176" i="67" s="1"/>
  <c r="AC183" i="2"/>
  <c r="R142" i="2"/>
  <c r="S142" i="2" s="1"/>
  <c r="N142" i="2"/>
  <c r="P5" i="96"/>
  <c r="R183" i="2"/>
  <c r="S183" i="2" s="1"/>
  <c r="I183" i="67" s="1"/>
  <c r="P20" i="96"/>
  <c r="AC125" i="2" s="1"/>
  <c r="N125" i="2"/>
  <c r="R125" i="2"/>
  <c r="S125" i="2" s="1"/>
  <c r="P12" i="96"/>
  <c r="AC61" i="2" s="1"/>
  <c r="R61" i="2"/>
  <c r="S61" i="2" s="1"/>
  <c r="N61" i="2"/>
  <c r="N28" i="2"/>
  <c r="R28" i="2"/>
  <c r="S28" i="2" s="1"/>
  <c r="I29" i="67" s="1"/>
  <c r="P4" i="96"/>
  <c r="AC184" i="2" s="1"/>
  <c r="R184" i="2"/>
  <c r="S184" i="2" s="1"/>
  <c r="I184" i="67" s="1"/>
  <c r="J17" i="35"/>
  <c r="P46" i="96"/>
  <c r="AC147" i="2" s="1"/>
  <c r="N147" i="2"/>
  <c r="R147" i="2"/>
  <c r="S147" i="2" s="1"/>
  <c r="O122" i="2"/>
  <c r="R112" i="2"/>
  <c r="S112" i="2" s="1"/>
  <c r="I113" i="67" s="1"/>
  <c r="R30" i="2"/>
  <c r="S30" i="2" s="1"/>
  <c r="N30" i="2"/>
  <c r="AC69" i="2"/>
  <c r="U24" i="35" s="1"/>
  <c r="P37" i="96"/>
  <c r="AC38" i="2" s="1"/>
  <c r="R38" i="2"/>
  <c r="S38" i="2" s="1"/>
  <c r="N38" i="2"/>
  <c r="AC141" i="2"/>
  <c r="P24" i="96"/>
  <c r="R27" i="2"/>
  <c r="S27" i="2" s="1"/>
  <c r="N27" i="2"/>
  <c r="P8" i="96"/>
  <c r="AC28" i="2" s="1"/>
  <c r="N111" i="2"/>
  <c r="R111" i="2"/>
  <c r="S111" i="2" s="1"/>
  <c r="P15" i="96"/>
  <c r="AC9" i="2" s="1"/>
  <c r="N9" i="2"/>
  <c r="P3" i="96"/>
  <c r="AC13" i="2" s="1"/>
  <c r="R13" i="2"/>
  <c r="S13" i="2" s="1"/>
  <c r="N13" i="2"/>
  <c r="J9" i="35"/>
  <c r="J25" i="35"/>
  <c r="I174" i="67"/>
  <c r="I167" i="67"/>
  <c r="I182" i="67"/>
  <c r="I161" i="67"/>
  <c r="I96" i="67"/>
  <c r="I177" i="67"/>
  <c r="I126" i="67"/>
  <c r="I114" i="67"/>
  <c r="I162" i="67"/>
  <c r="I164" i="67"/>
  <c r="I193" i="67"/>
  <c r="P19" i="96"/>
  <c r="AC118" i="2" s="1"/>
  <c r="N118" i="2"/>
  <c r="R118" i="2"/>
  <c r="P11" i="96"/>
  <c r="AC62" i="2" s="1"/>
  <c r="R62" i="2"/>
  <c r="S62" i="2" s="1"/>
  <c r="N62" i="2"/>
  <c r="M22" i="96"/>
  <c r="AH30" i="2" s="1"/>
  <c r="P22" i="96"/>
  <c r="AC30" i="2" s="1"/>
  <c r="P18" i="96"/>
  <c r="AC36" i="2" s="1"/>
  <c r="R36" i="2"/>
  <c r="S36" i="2" s="1"/>
  <c r="N36" i="2"/>
  <c r="P14" i="96"/>
  <c r="AC78" i="2" s="1"/>
  <c r="N53" i="2"/>
  <c r="P25" i="96"/>
  <c r="N93" i="2"/>
  <c r="R93" i="2"/>
  <c r="S93" i="2" s="1"/>
  <c r="I91" i="67" s="1"/>
  <c r="M21" i="96"/>
  <c r="P21" i="96"/>
  <c r="AC2" i="2" s="1"/>
  <c r="O22" i="2"/>
  <c r="P13" i="96"/>
  <c r="P9" i="96"/>
  <c r="R133" i="2"/>
  <c r="S133" i="2" s="1"/>
  <c r="N133" i="2"/>
  <c r="O9" i="35"/>
  <c r="AC90" i="2"/>
  <c r="AC127" i="2"/>
  <c r="AC166" i="2"/>
  <c r="AC188" i="2"/>
  <c r="AC189" i="2"/>
  <c r="N2" i="2"/>
  <c r="N89" i="2"/>
  <c r="R89" i="2"/>
  <c r="S89" i="2" s="1"/>
  <c r="M19" i="96"/>
  <c r="AH110" i="2" s="1"/>
  <c r="R59" i="2"/>
  <c r="S59" i="2" s="1"/>
  <c r="N59" i="2"/>
  <c r="R123" i="2"/>
  <c r="S123" i="2" s="1"/>
  <c r="I125" i="67" s="1"/>
  <c r="O123" i="2"/>
  <c r="R87" i="2"/>
  <c r="S87" i="2" s="1"/>
  <c r="R129" i="2"/>
  <c r="N129" i="2"/>
  <c r="R100" i="2"/>
  <c r="R34" i="2"/>
  <c r="S34" i="2" s="1"/>
  <c r="N34" i="2"/>
  <c r="M18" i="96"/>
  <c r="N81" i="2"/>
  <c r="R81" i="2"/>
  <c r="R144" i="2"/>
  <c r="O144" i="2"/>
  <c r="R122" i="2"/>
  <c r="S122" i="2" s="1"/>
  <c r="N122" i="2"/>
  <c r="N18" i="2"/>
  <c r="R18" i="2"/>
  <c r="S18" i="2" s="1"/>
  <c r="O53" i="2"/>
  <c r="R53" i="2"/>
  <c r="S53" i="2" s="1"/>
  <c r="N45" i="2"/>
  <c r="R45" i="2"/>
  <c r="O109" i="2"/>
  <c r="R109" i="2"/>
  <c r="R17" i="2"/>
  <c r="N17" i="2"/>
  <c r="M20" i="96"/>
  <c r="R134" i="2"/>
  <c r="S134" i="2" s="1"/>
  <c r="N134" i="2"/>
  <c r="N37" i="2"/>
  <c r="R37" i="2"/>
  <c r="S37" i="2" s="1"/>
  <c r="AC158" i="2"/>
  <c r="AC117" i="2"/>
  <c r="AC100" i="2"/>
  <c r="U9" i="35" s="1"/>
  <c r="AC153" i="2"/>
  <c r="AC180" i="2"/>
  <c r="AC63" i="2"/>
  <c r="R135" i="2"/>
  <c r="S135" i="2" s="1"/>
  <c r="N135" i="2"/>
  <c r="R86" i="2"/>
  <c r="N86" i="2"/>
  <c r="R40" i="2"/>
  <c r="N40" i="2"/>
  <c r="N51" i="2"/>
  <c r="R51" i="2"/>
  <c r="S51" i="2" s="1"/>
  <c r="N71" i="2"/>
  <c r="R71" i="2"/>
  <c r="S71" i="2" s="1"/>
  <c r="N32" i="2"/>
  <c r="R32" i="2"/>
  <c r="S32" i="2" s="1"/>
  <c r="I33" i="67" s="1"/>
  <c r="N19" i="2"/>
  <c r="R19" i="2"/>
  <c r="N44" i="2"/>
  <c r="R44" i="2"/>
  <c r="S44" i="2" s="1"/>
  <c r="R22" i="2"/>
  <c r="S22" i="2" s="1"/>
  <c r="I22" i="67" s="1"/>
  <c r="N22" i="2"/>
  <c r="N5" i="2"/>
  <c r="R5" i="2"/>
  <c r="R24" i="2"/>
  <c r="N24" i="2"/>
  <c r="N130" i="2"/>
  <c r="R130" i="2"/>
  <c r="R43" i="2"/>
  <c r="N43" i="2"/>
  <c r="R8" i="2"/>
  <c r="S8" i="2" s="1"/>
  <c r="N8" i="2"/>
  <c r="N10" i="2"/>
  <c r="R10" i="2"/>
  <c r="S10" i="2" s="1"/>
  <c r="N141" i="2"/>
  <c r="R141" i="2"/>
  <c r="S141" i="2" s="1"/>
  <c r="R121" i="2"/>
  <c r="S121" i="2" s="1"/>
  <c r="N121" i="2"/>
  <c r="N72" i="2"/>
  <c r="R72" i="2"/>
  <c r="S72" i="2" s="1"/>
  <c r="I73" i="67" s="1"/>
  <c r="N66" i="2"/>
  <c r="R66" i="2"/>
  <c r="S66" i="2" s="1"/>
  <c r="R12" i="2"/>
  <c r="S12" i="2" s="1"/>
  <c r="N12" i="2"/>
  <c r="R11" i="2"/>
  <c r="N11" i="2"/>
  <c r="R76" i="2"/>
  <c r="S76" i="2" s="1"/>
  <c r="N76" i="2"/>
  <c r="N187" i="2"/>
  <c r="R187" i="2"/>
  <c r="R42" i="2"/>
  <c r="N42" i="2"/>
  <c r="O9" i="2"/>
  <c r="R9" i="2"/>
  <c r="N31" i="2"/>
  <c r="R31" i="2"/>
  <c r="N69" i="2"/>
  <c r="R69" i="2"/>
  <c r="S69" i="2" s="1"/>
  <c r="I70" i="67" s="1"/>
  <c r="R2" i="2"/>
  <c r="S2" i="2" s="1"/>
  <c r="I2" i="67" s="1"/>
  <c r="O2" i="2"/>
  <c r="Q197" i="2"/>
  <c r="I147" i="67" l="1"/>
  <c r="I148" i="67"/>
  <c r="U20" i="35"/>
  <c r="U18" i="35"/>
  <c r="AC108" i="2"/>
  <c r="AC107" i="2"/>
  <c r="AC40" i="2"/>
  <c r="I28" i="67"/>
  <c r="AC133" i="2"/>
  <c r="AC142" i="2"/>
  <c r="U10" i="35"/>
  <c r="AH134" i="2"/>
  <c r="AH125" i="2"/>
  <c r="K11" i="35"/>
  <c r="Q11" i="35" s="1"/>
  <c r="K29" i="35"/>
  <c r="Q29" i="35" s="1"/>
  <c r="AC93" i="2"/>
  <c r="AC113" i="2"/>
  <c r="AC32" i="2"/>
  <c r="AC27" i="2"/>
  <c r="AC11" i="2"/>
  <c r="AC111" i="2"/>
  <c r="AC110" i="2"/>
  <c r="S11" i="2"/>
  <c r="S31" i="2"/>
  <c r="I30" i="67" s="1"/>
  <c r="S130" i="2"/>
  <c r="I143" i="67"/>
  <c r="S5" i="2"/>
  <c r="L11" i="35" s="1"/>
  <c r="T11" i="35" s="1"/>
  <c r="S17" i="2"/>
  <c r="I17" i="67" s="1"/>
  <c r="S144" i="2"/>
  <c r="I145" i="67" s="1"/>
  <c r="S129" i="2"/>
  <c r="I146" i="67"/>
  <c r="S42" i="2"/>
  <c r="I79" i="67"/>
  <c r="S86" i="2"/>
  <c r="I87" i="67" s="1"/>
  <c r="S109" i="2"/>
  <c r="S81" i="2"/>
  <c r="S118" i="2"/>
  <c r="I119" i="67" s="1"/>
  <c r="I58" i="67"/>
  <c r="S9" i="2"/>
  <c r="S187" i="2"/>
  <c r="I191" i="67" s="1"/>
  <c r="I74" i="67"/>
  <c r="S19" i="2"/>
  <c r="I19" i="67" s="1"/>
  <c r="S100" i="2"/>
  <c r="S43" i="2"/>
  <c r="I43" i="67" s="1"/>
  <c r="S24" i="2"/>
  <c r="I25" i="67" s="1"/>
  <c r="I54" i="67"/>
  <c r="S40" i="2"/>
  <c r="I40" i="67" s="1"/>
  <c r="S45" i="2"/>
  <c r="I120" i="67"/>
  <c r="I142" i="67"/>
  <c r="I106" i="67"/>
  <c r="I92" i="67"/>
  <c r="I60" i="67"/>
  <c r="I75" i="67"/>
  <c r="I133" i="67"/>
  <c r="I94" i="67"/>
  <c r="I123" i="67"/>
  <c r="I124" i="67"/>
  <c r="I8" i="67"/>
  <c r="I38" i="67"/>
  <c r="I80" i="67"/>
  <c r="I141" i="67"/>
  <c r="I132" i="67"/>
  <c r="I71" i="67"/>
  <c r="I111" i="67"/>
  <c r="I76" i="67"/>
  <c r="I57" i="67"/>
  <c r="I69" i="67"/>
  <c r="I7" i="67"/>
  <c r="I77" i="67"/>
  <c r="I112" i="67"/>
  <c r="I66" i="67"/>
  <c r="I10" i="67"/>
  <c r="I90" i="67"/>
  <c r="I4" i="67"/>
  <c r="I134" i="67"/>
  <c r="I39" i="67"/>
  <c r="I116" i="67"/>
  <c r="I34" i="67"/>
  <c r="I6" i="67"/>
  <c r="I59" i="67"/>
  <c r="I56" i="67"/>
  <c r="I20" i="67"/>
  <c r="I121" i="67"/>
  <c r="I101" i="67"/>
  <c r="I14" i="67"/>
  <c r="I37" i="67"/>
  <c r="I55" i="67"/>
  <c r="I122" i="67"/>
  <c r="I102" i="67"/>
  <c r="I41" i="67"/>
  <c r="I72" i="67"/>
  <c r="I117" i="67"/>
  <c r="I104" i="67"/>
  <c r="I157" i="67"/>
  <c r="I15" i="67"/>
  <c r="I32" i="67"/>
  <c r="I3" i="67"/>
  <c r="I18" i="67"/>
  <c r="I27" i="67"/>
  <c r="I89" i="67"/>
  <c r="I159" i="67"/>
  <c r="I93" i="67"/>
  <c r="I67" i="67"/>
  <c r="I16" i="67"/>
  <c r="AH59" i="2"/>
  <c r="AH118" i="2"/>
  <c r="N20" i="35"/>
  <c r="AC44" i="2"/>
  <c r="AC132" i="2"/>
  <c r="O197" i="2"/>
  <c r="M54" i="96"/>
  <c r="AH76" i="2" s="1"/>
  <c r="N54" i="96"/>
  <c r="M53" i="96"/>
  <c r="N53" i="96"/>
  <c r="O53" i="96" s="1"/>
  <c r="M52" i="96"/>
  <c r="N52" i="96"/>
  <c r="O52" i="96" s="1"/>
  <c r="M51" i="96"/>
  <c r="N51" i="96"/>
  <c r="O51" i="96" s="1"/>
  <c r="M50" i="96"/>
  <c r="AH187" i="2" s="1"/>
  <c r="N50" i="96"/>
  <c r="M49" i="96"/>
  <c r="AH135" i="2" s="1"/>
  <c r="N49" i="96"/>
  <c r="M48" i="96"/>
  <c r="N48" i="96"/>
  <c r="O48" i="96" s="1"/>
  <c r="M47" i="96"/>
  <c r="N47" i="96"/>
  <c r="M40" i="96"/>
  <c r="N40" i="96"/>
  <c r="O40" i="96" s="1"/>
  <c r="M41" i="96"/>
  <c r="N41" i="96"/>
  <c r="O41" i="96" s="1"/>
  <c r="M42" i="96"/>
  <c r="N42" i="96"/>
  <c r="M43" i="96"/>
  <c r="AH121" i="2" s="1"/>
  <c r="N43" i="96"/>
  <c r="M34" i="96"/>
  <c r="N34" i="96"/>
  <c r="M33" i="96"/>
  <c r="N33" i="96"/>
  <c r="M35" i="96"/>
  <c r="N35" i="96"/>
  <c r="M36" i="96"/>
  <c r="N36" i="96"/>
  <c r="M37" i="96"/>
  <c r="N37" i="96"/>
  <c r="M38" i="96"/>
  <c r="N38" i="96"/>
  <c r="M39" i="96"/>
  <c r="AH72" i="2" s="1"/>
  <c r="M31" i="96"/>
  <c r="N31" i="96"/>
  <c r="M32" i="96"/>
  <c r="N32" i="96"/>
  <c r="M44" i="96"/>
  <c r="N44" i="96"/>
  <c r="O44" i="96" s="1"/>
  <c r="M12" i="96"/>
  <c r="N12" i="96"/>
  <c r="M14" i="96"/>
  <c r="AH144" i="2" s="1"/>
  <c r="N14" i="96"/>
  <c r="AD51" i="2" s="1"/>
  <c r="J27" i="35" s="1"/>
  <c r="N3" i="96"/>
  <c r="M3" i="96"/>
  <c r="AH13" i="2" s="1"/>
  <c r="I45" i="67" l="1"/>
  <c r="I46" i="67"/>
  <c r="U16" i="35"/>
  <c r="AD61" i="2"/>
  <c r="AB61" i="2"/>
  <c r="AH43" i="2"/>
  <c r="AH61" i="2"/>
  <c r="AH141" i="2"/>
  <c r="U11" i="35"/>
  <c r="N11" i="35"/>
  <c r="O35" i="96"/>
  <c r="AD69" i="2"/>
  <c r="J24" i="35" s="1"/>
  <c r="O34" i="96"/>
  <c r="AD17" i="2"/>
  <c r="O42" i="96"/>
  <c r="AD71" i="2"/>
  <c r="J23" i="35" s="1"/>
  <c r="AD13" i="2"/>
  <c r="AB13" i="2"/>
  <c r="AH40" i="2"/>
  <c r="O38" i="96"/>
  <c r="O36" i="96"/>
  <c r="AD121" i="2"/>
  <c r="O33" i="96"/>
  <c r="AD66" i="2"/>
  <c r="AD141" i="2"/>
  <c r="I188" i="67"/>
  <c r="I190" i="67"/>
  <c r="I144" i="67"/>
  <c r="I47" i="67"/>
  <c r="I48" i="67"/>
  <c r="I129" i="67"/>
  <c r="I127" i="67"/>
  <c r="I189" i="67"/>
  <c r="I185" i="67"/>
  <c r="I100" i="67"/>
  <c r="I98" i="67"/>
  <c r="I108" i="67"/>
  <c r="I107" i="67"/>
  <c r="I9" i="67"/>
  <c r="L29" i="35"/>
  <c r="T29" i="35" s="1"/>
  <c r="I109" i="67"/>
  <c r="I110" i="67"/>
  <c r="I99" i="67"/>
  <c r="I186" i="67"/>
  <c r="I128" i="67"/>
  <c r="I42" i="67"/>
  <c r="I82" i="67"/>
  <c r="I81" i="67"/>
  <c r="I187" i="67"/>
  <c r="I24" i="67"/>
  <c r="I44" i="67"/>
  <c r="I130" i="67"/>
  <c r="I31" i="67"/>
  <c r="I118" i="67"/>
  <c r="I131" i="67"/>
  <c r="I5" i="67"/>
  <c r="AH100" i="2"/>
  <c r="AB144" i="2"/>
  <c r="U26" i="35"/>
  <c r="O12" i="96"/>
  <c r="AB43" i="2"/>
  <c r="O32" i="96"/>
  <c r="O37" i="96"/>
  <c r="AB40" i="2"/>
  <c r="O50" i="96"/>
  <c r="AB187" i="2"/>
  <c r="O54" i="96"/>
  <c r="AB76" i="2"/>
  <c r="O3" i="96"/>
  <c r="AB100" i="2"/>
  <c r="O43" i="96"/>
  <c r="AB121" i="2"/>
  <c r="O47" i="96"/>
  <c r="AB141" i="2"/>
  <c r="O49" i="96"/>
  <c r="AB135" i="2"/>
  <c r="O14" i="96"/>
  <c r="AC144" i="2" s="1"/>
  <c r="O31" i="96"/>
  <c r="AC8" i="2" s="1"/>
  <c r="U8" i="35" s="1"/>
  <c r="N39" i="96"/>
  <c r="AD31" i="2" s="1"/>
  <c r="F8" i="66" l="1"/>
  <c r="F9" i="66"/>
  <c r="O39" i="96"/>
  <c r="AB72" i="2"/>
  <c r="N46" i="96"/>
  <c r="M46" i="96"/>
  <c r="N45" i="96"/>
  <c r="AD11" i="2" s="1"/>
  <c r="M45" i="96"/>
  <c r="AH86" i="2" s="1"/>
  <c r="N30" i="96"/>
  <c r="AD93" i="2" s="1"/>
  <c r="J7" i="35" s="1"/>
  <c r="M30" i="96"/>
  <c r="N29" i="96"/>
  <c r="M29" i="96"/>
  <c r="AH105" i="2" s="1"/>
  <c r="N28" i="96"/>
  <c r="M28" i="96"/>
  <c r="AH124" i="2" s="1"/>
  <c r="N27" i="96"/>
  <c r="M27" i="96"/>
  <c r="AH151" i="2" s="1"/>
  <c r="N26" i="96"/>
  <c r="M26" i="96"/>
  <c r="AH112" i="2" s="1"/>
  <c r="N25" i="96"/>
  <c r="M25" i="96"/>
  <c r="AH93" i="2" s="1"/>
  <c r="N24" i="96"/>
  <c r="M24" i="96"/>
  <c r="AH27" i="2" s="1"/>
  <c r="N23" i="96"/>
  <c r="M23" i="96"/>
  <c r="AH38" i="2" s="1"/>
  <c r="N22" i="96"/>
  <c r="N21" i="96"/>
  <c r="N20" i="96"/>
  <c r="N19" i="96"/>
  <c r="N18" i="96"/>
  <c r="AD44" i="2" s="1"/>
  <c r="J26" i="35" s="1"/>
  <c r="N17" i="96"/>
  <c r="M17" i="96"/>
  <c r="AH176" i="2" s="1"/>
  <c r="N16" i="96"/>
  <c r="M16" i="96"/>
  <c r="N15" i="96"/>
  <c r="M15" i="96"/>
  <c r="AH123" i="2" s="1"/>
  <c r="N13" i="96"/>
  <c r="M13" i="96"/>
  <c r="N11" i="96"/>
  <c r="M11" i="96"/>
  <c r="AH62" i="2" s="1"/>
  <c r="N10" i="96"/>
  <c r="AD36" i="2" s="1"/>
  <c r="M10" i="96"/>
  <c r="N9" i="96"/>
  <c r="M9" i="96"/>
  <c r="N8" i="96"/>
  <c r="M8" i="96"/>
  <c r="AH28" i="2" s="1"/>
  <c r="N7" i="96"/>
  <c r="AD5" i="2" s="1"/>
  <c r="M7" i="96"/>
  <c r="N6" i="96"/>
  <c r="AD63" i="2" s="1"/>
  <c r="M6" i="96"/>
  <c r="AH69" i="2" s="1"/>
  <c r="N5" i="96"/>
  <c r="M5" i="96"/>
  <c r="N4" i="96"/>
  <c r="M4" i="96"/>
  <c r="AH184" i="2" s="1"/>
  <c r="N2" i="96"/>
  <c r="L2" i="96"/>
  <c r="AB28" i="2" l="1"/>
  <c r="AD28" i="2"/>
  <c r="N35" i="2"/>
  <c r="R35" i="2"/>
  <c r="S35" i="2" s="1"/>
  <c r="AH44" i="2"/>
  <c r="AH183" i="2"/>
  <c r="AH133" i="2"/>
  <c r="AH142" i="2"/>
  <c r="AB125" i="2"/>
  <c r="AD125" i="2"/>
  <c r="AD32" i="2"/>
  <c r="J16" i="35" s="1"/>
  <c r="AB38" i="2"/>
  <c r="AD38" i="2"/>
  <c r="AD8" i="2"/>
  <c r="AB142" i="2"/>
  <c r="AD142" i="2"/>
  <c r="AD53" i="2"/>
  <c r="AD62" i="2"/>
  <c r="J18" i="35" s="1"/>
  <c r="AD9" i="2"/>
  <c r="AD176" i="2"/>
  <c r="AB176" i="2"/>
  <c r="AD18" i="2"/>
  <c r="AD12" i="2"/>
  <c r="AD184" i="2"/>
  <c r="AB184" i="2"/>
  <c r="AD52" i="2"/>
  <c r="AB35" i="2"/>
  <c r="AD35" i="2"/>
  <c r="J15" i="35" s="1"/>
  <c r="AD183" i="2"/>
  <c r="AB183" i="2"/>
  <c r="AD22" i="2"/>
  <c r="J13" i="35" s="1"/>
  <c r="AD2" i="2"/>
  <c r="AD113" i="2"/>
  <c r="AB113" i="2"/>
  <c r="AD24" i="2"/>
  <c r="J12" i="35" s="1"/>
  <c r="J4" i="35"/>
  <c r="O4" i="35"/>
  <c r="O24" i="35"/>
  <c r="AD10" i="2"/>
  <c r="J5" i="35" s="1"/>
  <c r="AD111" i="2"/>
  <c r="AB111" i="2"/>
  <c r="R52" i="2"/>
  <c r="S52" i="2" s="1"/>
  <c r="I53" i="67" s="1"/>
  <c r="N52" i="2"/>
  <c r="AD151" i="2"/>
  <c r="O6" i="35" s="1"/>
  <c r="AB151" i="2"/>
  <c r="AB105" i="2"/>
  <c r="AD105" i="2"/>
  <c r="AH42" i="2"/>
  <c r="AH147" i="2"/>
  <c r="AH8" i="2"/>
  <c r="AH111" i="2"/>
  <c r="AH81" i="2"/>
  <c r="AH36" i="2"/>
  <c r="AH22" i="2"/>
  <c r="AH107" i="2"/>
  <c r="AD30" i="2"/>
  <c r="AB30" i="2"/>
  <c r="AD27" i="2"/>
  <c r="AB27" i="2"/>
  <c r="AB112" i="2"/>
  <c r="AD112" i="2"/>
  <c r="AD124" i="2"/>
  <c r="J29" i="35" s="1"/>
  <c r="AB124" i="2"/>
  <c r="AD147" i="2"/>
  <c r="AB147" i="2"/>
  <c r="AB107" i="2"/>
  <c r="AD107" i="2"/>
  <c r="AD110" i="2"/>
  <c r="AB110" i="2"/>
  <c r="AB36" i="2"/>
  <c r="O23" i="35"/>
  <c r="P2" i="96"/>
  <c r="N137" i="2"/>
  <c r="R137" i="2"/>
  <c r="K14" i="35" s="1"/>
  <c r="Q14" i="35" s="1"/>
  <c r="AB118" i="2"/>
  <c r="O16" i="35"/>
  <c r="AB137" i="2"/>
  <c r="O26" i="35"/>
  <c r="AB133" i="2"/>
  <c r="AB62" i="2"/>
  <c r="AB93" i="2"/>
  <c r="AH10" i="2"/>
  <c r="AH71" i="2"/>
  <c r="AH122" i="2"/>
  <c r="AH11" i="2"/>
  <c r="AH66" i="2"/>
  <c r="AH19" i="2"/>
  <c r="AH45" i="2"/>
  <c r="AH87" i="2"/>
  <c r="AH129" i="2"/>
  <c r="AH12" i="2"/>
  <c r="AB85" i="2"/>
  <c r="O3" i="35"/>
  <c r="AB66" i="2"/>
  <c r="AB45" i="2"/>
  <c r="O25" i="35"/>
  <c r="AB129" i="2"/>
  <c r="O15" i="96"/>
  <c r="AC123" i="2" s="1"/>
  <c r="AB123" i="2"/>
  <c r="AB53" i="2"/>
  <c r="O20" i="96"/>
  <c r="AC134" i="2" s="1"/>
  <c r="AB134" i="2"/>
  <c r="AB89" i="2"/>
  <c r="O7" i="35"/>
  <c r="AB18" i="2"/>
  <c r="O29" i="96"/>
  <c r="AC51" i="2" s="1"/>
  <c r="O27" i="35"/>
  <c r="AH130" i="2"/>
  <c r="AH37" i="2"/>
  <c r="AH24" i="2"/>
  <c r="AH34" i="2"/>
  <c r="AH31" i="2"/>
  <c r="AH5" i="2"/>
  <c r="R11" i="35" s="1"/>
  <c r="AH17" i="2"/>
  <c r="AH9" i="2"/>
  <c r="R29" i="35" s="1"/>
  <c r="AH109" i="2"/>
  <c r="O10" i="96"/>
  <c r="AC52" i="2" s="1"/>
  <c r="O13" i="96"/>
  <c r="AC22" i="2" s="1"/>
  <c r="AB22" i="2"/>
  <c r="O17" i="35"/>
  <c r="AB37" i="2"/>
  <c r="AB81" i="2"/>
  <c r="O22" i="96"/>
  <c r="AC24" i="2" s="1"/>
  <c r="AB34" i="2"/>
  <c r="O15" i="35"/>
  <c r="AB17" i="2"/>
  <c r="AB109" i="2"/>
  <c r="AB122" i="2"/>
  <c r="R85" i="2"/>
  <c r="D11" i="66" s="1"/>
  <c r="N85" i="2"/>
  <c r="AH32" i="2"/>
  <c r="AH53" i="2"/>
  <c r="O19" i="96"/>
  <c r="AC59" i="2" s="1"/>
  <c r="H6" i="66" s="1"/>
  <c r="AB59" i="2"/>
  <c r="O19" i="35"/>
  <c r="AH2" i="2"/>
  <c r="AH89" i="2"/>
  <c r="AH51" i="2"/>
  <c r="AH18" i="2"/>
  <c r="O4" i="96"/>
  <c r="AC71" i="2" s="1"/>
  <c r="AB10" i="2"/>
  <c r="O6" i="96"/>
  <c r="AB52" i="2"/>
  <c r="O8" i="96"/>
  <c r="AC31" i="2" s="1"/>
  <c r="AB8" i="2"/>
  <c r="O16" i="96"/>
  <c r="AC37" i="2" s="1"/>
  <c r="U17" i="35" s="1"/>
  <c r="AB130" i="2"/>
  <c r="O18" i="96"/>
  <c r="AC81" i="2" s="1"/>
  <c r="AB69" i="2"/>
  <c r="O23" i="96"/>
  <c r="AC89" i="2" s="1"/>
  <c r="AB2" i="2"/>
  <c r="O25" i="96"/>
  <c r="AC18" i="2" s="1"/>
  <c r="AB51" i="2"/>
  <c r="O27" i="96"/>
  <c r="AB12" i="2"/>
  <c r="O45" i="96"/>
  <c r="AB86" i="2"/>
  <c r="R63" i="2"/>
  <c r="S63" i="2" s="1"/>
  <c r="N63" i="2"/>
  <c r="O21" i="96"/>
  <c r="AC10" i="2" s="1"/>
  <c r="AB71" i="2"/>
  <c r="O2" i="96"/>
  <c r="AC85" i="2" s="1"/>
  <c r="U3" i="35" s="1"/>
  <c r="AB63" i="2"/>
  <c r="O5" i="96"/>
  <c r="AC12" i="2" s="1"/>
  <c r="AB44" i="2"/>
  <c r="O7" i="96"/>
  <c r="AC66" i="2" s="1"/>
  <c r="AB11" i="2"/>
  <c r="O9" i="96"/>
  <c r="AC45" i="2" s="1"/>
  <c r="AB19" i="2"/>
  <c r="O11" i="96"/>
  <c r="AC129" i="2" s="1"/>
  <c r="AB87" i="2"/>
  <c r="O17" i="96"/>
  <c r="AC53" i="2" s="1"/>
  <c r="AB32" i="2"/>
  <c r="O24" i="96"/>
  <c r="AC34" i="2" s="1"/>
  <c r="AB24" i="2"/>
  <c r="O26" i="96"/>
  <c r="AB31" i="2"/>
  <c r="O28" i="96"/>
  <c r="AC17" i="2" s="1"/>
  <c r="AB5" i="2"/>
  <c r="O30" i="96"/>
  <c r="AC109" i="2" s="1"/>
  <c r="AB9" i="2"/>
  <c r="O46" i="96"/>
  <c r="AB42" i="2"/>
  <c r="M2" i="96"/>
  <c r="O22" i="35" l="1"/>
  <c r="O18" i="35"/>
  <c r="J28" i="35"/>
  <c r="J11" i="35"/>
  <c r="J2" i="35"/>
  <c r="I35" i="67"/>
  <c r="I36" i="67"/>
  <c r="J22" i="35"/>
  <c r="AC137" i="2"/>
  <c r="U14" i="35" s="1"/>
  <c r="AC35" i="2"/>
  <c r="U15" i="35" s="1"/>
  <c r="O10" i="35"/>
  <c r="J10" i="35"/>
  <c r="AH137" i="2"/>
  <c r="AH35" i="2"/>
  <c r="J20" i="35"/>
  <c r="O20" i="35"/>
  <c r="J6" i="35"/>
  <c r="O5" i="35"/>
  <c r="J8" i="35"/>
  <c r="O8" i="35"/>
  <c r="O11" i="35"/>
  <c r="I51" i="67"/>
  <c r="I52" i="67"/>
  <c r="J14" i="35"/>
  <c r="O14" i="35"/>
  <c r="AH52" i="2"/>
  <c r="O29" i="35"/>
  <c r="N29" i="35"/>
  <c r="U29" i="35"/>
  <c r="H11" i="66"/>
  <c r="U4" i="35"/>
  <c r="U6" i="35"/>
  <c r="I61" i="67"/>
  <c r="I64" i="67"/>
  <c r="I65" i="67"/>
  <c r="I62" i="67"/>
  <c r="S85" i="2"/>
  <c r="I86" i="67" s="1"/>
  <c r="S137" i="2"/>
  <c r="I138" i="67" s="1"/>
  <c r="I13" i="67"/>
  <c r="I88" i="67"/>
  <c r="I63" i="67"/>
  <c r="I12" i="67"/>
  <c r="I11" i="67"/>
  <c r="I105" i="67"/>
  <c r="F3" i="66" s="1"/>
  <c r="O28" i="35"/>
  <c r="O13" i="35"/>
  <c r="U7" i="35"/>
  <c r="AD197" i="2"/>
  <c r="AH63" i="2"/>
  <c r="AH85" i="2"/>
  <c r="U25" i="35"/>
  <c r="H9" i="66"/>
  <c r="H8" i="66"/>
  <c r="U23" i="35"/>
  <c r="O12" i="35"/>
  <c r="U13" i="35"/>
  <c r="O2" i="35"/>
  <c r="U2" i="35"/>
  <c r="N2" i="35"/>
  <c r="U22" i="35"/>
  <c r="H7" i="66"/>
  <c r="AC122" i="2"/>
  <c r="U5" i="35" s="1"/>
  <c r="U28" i="35"/>
  <c r="H10" i="66"/>
  <c r="U27" i="35"/>
  <c r="J197" i="67"/>
  <c r="F5" i="66" l="1"/>
  <c r="N14" i="35"/>
  <c r="H5" i="66"/>
  <c r="H4" i="66"/>
  <c r="F10" i="66"/>
  <c r="F6" i="66"/>
  <c r="I140" i="67"/>
  <c r="I135" i="67"/>
  <c r="I85" i="67"/>
  <c r="I84" i="67"/>
  <c r="F7" i="66"/>
  <c r="I136" i="67"/>
  <c r="I137" i="67"/>
  <c r="R14" i="35" s="1"/>
  <c r="L14" i="35"/>
  <c r="T14" i="35" s="1"/>
  <c r="F2" i="66"/>
  <c r="H2" i="66"/>
  <c r="S21" i="35"/>
  <c r="E11" i="66" l="1"/>
  <c r="F11" i="66"/>
  <c r="F4" i="66"/>
  <c r="S22" i="35"/>
  <c r="G7" i="66"/>
  <c r="S4" i="35"/>
  <c r="S7" i="35"/>
  <c r="S8" i="35"/>
  <c r="S28" i="35"/>
  <c r="S20" i="35"/>
  <c r="G6" i="66"/>
  <c r="S17" i="35"/>
  <c r="G5" i="66"/>
  <c r="S16" i="35"/>
  <c r="S10" i="35"/>
  <c r="G3" i="66"/>
  <c r="S23" i="35"/>
  <c r="G8" i="66"/>
  <c r="S24" i="35"/>
  <c r="S18" i="35"/>
  <c r="S12" i="35"/>
  <c r="G4" i="66"/>
  <c r="S13" i="35"/>
  <c r="S2" i="35"/>
  <c r="S3" i="35"/>
  <c r="S6" i="35"/>
  <c r="S5" i="35"/>
  <c r="G2" i="66"/>
  <c r="S19" i="35"/>
  <c r="S27" i="35"/>
  <c r="G10" i="66"/>
  <c r="S26" i="35"/>
  <c r="S25" i="35"/>
  <c r="G9" i="66"/>
  <c r="S15" i="35"/>
  <c r="S9" i="35"/>
  <c r="AI197" i="2"/>
  <c r="I9" i="35"/>
  <c r="G9" i="35"/>
  <c r="H9" i="35"/>
  <c r="I21" i="35"/>
  <c r="I26" i="35"/>
  <c r="G21" i="35"/>
  <c r="G26" i="35"/>
  <c r="H21" i="35"/>
  <c r="H26" i="35"/>
  <c r="I10" i="35"/>
  <c r="H10" i="35"/>
  <c r="G10" i="35"/>
  <c r="H28" i="35"/>
  <c r="H23" i="35"/>
  <c r="I24" i="35"/>
  <c r="H19" i="35"/>
  <c r="H20" i="35"/>
  <c r="I18" i="35"/>
  <c r="H22" i="35"/>
  <c r="H25" i="35"/>
  <c r="I27" i="35"/>
  <c r="H12" i="35"/>
  <c r="I2" i="35"/>
  <c r="I13" i="35"/>
  <c r="H3" i="35"/>
  <c r="H4" i="35"/>
  <c r="H7" i="35"/>
  <c r="I5" i="35"/>
  <c r="I17" i="35"/>
  <c r="H15" i="35"/>
  <c r="H16" i="35"/>
  <c r="H6" i="35"/>
  <c r="H8" i="35"/>
  <c r="G24" i="35"/>
  <c r="G18" i="35"/>
  <c r="G27" i="35"/>
  <c r="G2" i="35"/>
  <c r="G13" i="35"/>
  <c r="G5" i="35"/>
  <c r="G17" i="35"/>
  <c r="I28" i="35"/>
  <c r="I23" i="35"/>
  <c r="H24" i="35"/>
  <c r="I19" i="35"/>
  <c r="I20" i="35"/>
  <c r="H18" i="35"/>
  <c r="I22" i="35"/>
  <c r="I25" i="35"/>
  <c r="H27" i="35"/>
  <c r="I12" i="35"/>
  <c r="H2" i="35"/>
  <c r="H13" i="35"/>
  <c r="I3" i="35"/>
  <c r="I4" i="35"/>
  <c r="I7" i="35"/>
  <c r="H5" i="35"/>
  <c r="H17" i="35"/>
  <c r="I15" i="35"/>
  <c r="I16" i="35"/>
  <c r="I6" i="35"/>
  <c r="I8" i="35"/>
  <c r="G28" i="35"/>
  <c r="G23" i="35"/>
  <c r="G19" i="35"/>
  <c r="G20" i="35"/>
  <c r="G22" i="35"/>
  <c r="G25" i="35"/>
  <c r="G12" i="35"/>
  <c r="G3" i="35"/>
  <c r="G4" i="35"/>
  <c r="G7" i="35"/>
  <c r="G15" i="35"/>
  <c r="G16" i="35"/>
  <c r="G6" i="35"/>
  <c r="G8" i="35"/>
  <c r="J4" i="66" l="1"/>
  <c r="K11" i="66"/>
  <c r="W29" i="35"/>
  <c r="J11" i="66"/>
  <c r="J3" i="66"/>
  <c r="J6" i="66"/>
  <c r="J10" i="66"/>
  <c r="J9" i="66"/>
  <c r="J7" i="66"/>
  <c r="J2" i="66"/>
  <c r="J8" i="66"/>
  <c r="J5" i="66"/>
  <c r="W14" i="35"/>
  <c r="W11" i="35"/>
  <c r="K9" i="66"/>
  <c r="W27" i="35"/>
  <c r="W9" i="35"/>
  <c r="K4" i="66"/>
  <c r="K8" i="66"/>
  <c r="W16" i="35"/>
  <c r="W18" i="35"/>
  <c r="W20" i="35"/>
  <c r="W4" i="35"/>
  <c r="W25" i="35"/>
  <c r="W19" i="35"/>
  <c r="W3" i="35"/>
  <c r="W12" i="35"/>
  <c r="W23" i="35"/>
  <c r="K5" i="66"/>
  <c r="W28" i="35"/>
  <c r="K7" i="66"/>
  <c r="W26" i="35"/>
  <c r="K2" i="66"/>
  <c r="W2" i="35"/>
  <c r="K3" i="66"/>
  <c r="W17" i="35"/>
  <c r="W8" i="35"/>
  <c r="W22" i="35"/>
  <c r="W15" i="35"/>
  <c r="K10" i="66"/>
  <c r="W5" i="35"/>
  <c r="W13" i="35"/>
  <c r="W24" i="35"/>
  <c r="W6" i="35"/>
  <c r="W10" i="35"/>
  <c r="K6" i="66"/>
  <c r="W7" i="35"/>
  <c r="W21" i="35"/>
  <c r="D9" i="35"/>
  <c r="D26" i="35"/>
  <c r="B8" i="66"/>
  <c r="B10" i="66"/>
  <c r="B4" i="66"/>
  <c r="B2" i="66"/>
  <c r="B7" i="66"/>
  <c r="B9" i="66"/>
  <c r="B5" i="66"/>
  <c r="B3" i="66"/>
  <c r="B6" i="66"/>
  <c r="D10" i="35"/>
  <c r="D18" i="35"/>
  <c r="D2" i="35"/>
  <c r="D23" i="35"/>
  <c r="D12" i="35"/>
  <c r="D4" i="35"/>
  <c r="D15" i="35"/>
  <c r="D6" i="35"/>
  <c r="D24" i="35"/>
  <c r="D27" i="35"/>
  <c r="D13" i="35"/>
  <c r="D5" i="35"/>
  <c r="D17" i="35"/>
  <c r="D28" i="35"/>
  <c r="D19" i="35"/>
  <c r="D20" i="35"/>
  <c r="D22" i="35"/>
  <c r="D25" i="35"/>
  <c r="D3" i="35"/>
  <c r="D7" i="35"/>
  <c r="D16" i="35"/>
  <c r="D8" i="35"/>
  <c r="N197" i="2" l="1"/>
  <c r="R21" i="35"/>
  <c r="R26" i="35"/>
  <c r="K2" i="35" l="1"/>
  <c r="K20" i="35"/>
  <c r="K12" i="35"/>
  <c r="K4" i="35"/>
  <c r="K27" i="35"/>
  <c r="K17" i="35"/>
  <c r="K22" i="35"/>
  <c r="K7" i="35"/>
  <c r="K25" i="35"/>
  <c r="K13" i="35"/>
  <c r="K19" i="35"/>
  <c r="K3" i="35"/>
  <c r="K5" i="35"/>
  <c r="K21" i="35"/>
  <c r="K15" i="35"/>
  <c r="K10" i="35"/>
  <c r="K8" i="35"/>
  <c r="Q8" i="35" s="1"/>
  <c r="K23" i="35"/>
  <c r="K26" i="35"/>
  <c r="R19" i="35"/>
  <c r="R10" i="35"/>
  <c r="R23" i="35"/>
  <c r="R3" i="35"/>
  <c r="R12" i="35"/>
  <c r="R8" i="35"/>
  <c r="D7" i="66"/>
  <c r="K24" i="35"/>
  <c r="K9" i="35"/>
  <c r="R6" i="35"/>
  <c r="K16" i="35"/>
  <c r="K18" i="35"/>
  <c r="K28" i="35"/>
  <c r="R18" i="35"/>
  <c r="R15" i="35"/>
  <c r="R25" i="35"/>
  <c r="K6" i="35" l="1"/>
  <c r="R2" i="35"/>
  <c r="R22" i="35"/>
  <c r="E7" i="66"/>
  <c r="R17" i="35"/>
  <c r="E4" i="66"/>
  <c r="R20" i="35"/>
  <c r="E6" i="66"/>
  <c r="R27" i="35"/>
  <c r="E5" i="66"/>
  <c r="R16" i="35"/>
  <c r="R5" i="35"/>
  <c r="E9" i="66"/>
  <c r="R13" i="35"/>
  <c r="R7" i="35"/>
  <c r="D4" i="66"/>
  <c r="D3" i="66"/>
  <c r="D8" i="66"/>
  <c r="D9" i="66"/>
  <c r="D6" i="66"/>
  <c r="D5" i="66"/>
  <c r="D2" i="66"/>
  <c r="D10" i="66"/>
  <c r="E8" i="66"/>
  <c r="E10" i="66"/>
  <c r="R28" i="35" l="1"/>
  <c r="R9" i="35"/>
  <c r="E3" i="66"/>
  <c r="R24" i="35"/>
  <c r="L9" i="35"/>
  <c r="T9" i="35" s="1"/>
  <c r="Q9" i="35"/>
  <c r="N9" i="35" l="1"/>
  <c r="N26" i="35"/>
  <c r="N21" i="35"/>
  <c r="L21" i="35" l="1"/>
  <c r="T21" i="35" s="1"/>
  <c r="L26" i="35"/>
  <c r="T26" i="35" s="1"/>
  <c r="N18" i="35"/>
  <c r="N23" i="35"/>
  <c r="N15" i="35"/>
  <c r="N24" i="35"/>
  <c r="N27" i="35"/>
  <c r="N13" i="35"/>
  <c r="N17" i="35"/>
  <c r="L28" i="35"/>
  <c r="T28" i="35" s="1"/>
  <c r="N28" i="35"/>
  <c r="N19" i="35"/>
  <c r="N22" i="35"/>
  <c r="N25" i="35"/>
  <c r="N3" i="35"/>
  <c r="N7" i="35"/>
  <c r="N16" i="35"/>
  <c r="L22" i="35"/>
  <c r="T22" i="35" s="1"/>
  <c r="L7" i="35"/>
  <c r="T7" i="35" s="1"/>
  <c r="L25" i="35"/>
  <c r="T25" i="35" s="1"/>
  <c r="L19" i="35"/>
  <c r="T19" i="35" s="1"/>
  <c r="L3" i="35"/>
  <c r="T3" i="35" s="1"/>
  <c r="L8" i="35"/>
  <c r="T8" i="35" s="1"/>
  <c r="L2" i="35"/>
  <c r="T2" i="35" s="1"/>
  <c r="L23" i="35"/>
  <c r="T23" i="35" s="1"/>
  <c r="L12" i="35"/>
  <c r="T12" i="35" s="1"/>
  <c r="L4" i="35"/>
  <c r="T4" i="35" s="1"/>
  <c r="L17" i="35"/>
  <c r="T17" i="35" s="1"/>
  <c r="L15" i="35"/>
  <c r="T15" i="35" s="1"/>
  <c r="L6" i="35"/>
  <c r="T6" i="35" s="1"/>
  <c r="L10" i="35"/>
  <c r="T10" i="35" s="1"/>
  <c r="L24" i="35"/>
  <c r="T24" i="35" s="1"/>
  <c r="L27" i="35"/>
  <c r="T27" i="35" s="1"/>
  <c r="L13" i="35"/>
  <c r="T13" i="35" s="1"/>
  <c r="L5" i="35"/>
  <c r="T5" i="35" s="1"/>
  <c r="L20" i="35"/>
  <c r="T20" i="35" s="1"/>
  <c r="L16" i="35"/>
  <c r="T16" i="35" s="1"/>
  <c r="L18" i="35"/>
  <c r="T18" i="35" s="1"/>
  <c r="I197" i="67"/>
  <c r="X29" i="35" l="1"/>
  <c r="X14" i="35"/>
  <c r="X11" i="35"/>
  <c r="X20" i="35"/>
  <c r="X24" i="35"/>
  <c r="X2" i="35"/>
  <c r="X9" i="35"/>
  <c r="X21" i="35"/>
  <c r="X17" i="35"/>
  <c r="X25" i="35"/>
  <c r="X4" i="35"/>
  <c r="X5" i="35"/>
  <c r="X10" i="35"/>
  <c r="X8" i="35"/>
  <c r="X7" i="35"/>
  <c r="X18" i="35"/>
  <c r="X13" i="35"/>
  <c r="X6" i="35"/>
  <c r="X12" i="35"/>
  <c r="X3" i="35"/>
  <c r="X22" i="35"/>
  <c r="X16" i="35"/>
  <c r="X27" i="35"/>
  <c r="X15" i="35"/>
  <c r="X23" i="35"/>
  <c r="X19" i="35"/>
  <c r="X28" i="35"/>
  <c r="X26" i="35"/>
  <c r="E2" i="66" l="1"/>
  <c r="I11" i="66" s="1"/>
  <c r="I2" i="66" l="1"/>
  <c r="I6" i="66"/>
  <c r="I8" i="66"/>
  <c r="I5" i="66"/>
  <c r="I4" i="66"/>
  <c r="I10" i="66"/>
  <c r="I9" i="66"/>
  <c r="I7" i="66"/>
  <c r="I3" i="66"/>
  <c r="R4" i="35"/>
  <c r="V29" i="35" s="1"/>
  <c r="V11" i="35" l="1"/>
  <c r="V14" i="35"/>
  <c r="V4" i="35"/>
  <c r="V26" i="35"/>
  <c r="V15" i="35"/>
  <c r="V3" i="35"/>
  <c r="V10" i="35"/>
  <c r="V28" i="35"/>
  <c r="V6" i="35"/>
  <c r="V23" i="35"/>
  <c r="V19" i="35"/>
  <c r="V8" i="35"/>
  <c r="V12" i="35"/>
  <c r="V2" i="35"/>
  <c r="V25" i="35"/>
  <c r="V21" i="35"/>
  <c r="V18" i="35"/>
  <c r="V5" i="35"/>
  <c r="V22" i="35"/>
  <c r="V7" i="35"/>
  <c r="V13" i="35"/>
  <c r="V16" i="35"/>
  <c r="V27" i="35"/>
  <c r="V20" i="35"/>
  <c r="V17" i="35"/>
  <c r="V24" i="35"/>
  <c r="V9" i="35"/>
  <c r="Q27" i="35"/>
  <c r="Q28" i="35"/>
  <c r="Q25" i="35"/>
  <c r="Q26" i="35"/>
  <c r="Q23" i="35"/>
  <c r="Q24" i="35"/>
  <c r="Q21" i="35"/>
  <c r="Q22" i="35"/>
  <c r="Q18" i="35"/>
  <c r="Q19" i="35"/>
  <c r="Q12" i="35"/>
  <c r="Q2" i="35" l="1"/>
  <c r="Q7" i="35"/>
  <c r="Q5" i="35"/>
  <c r="Q4" i="35" l="1"/>
  <c r="Q15" i="35"/>
  <c r="Q10" i="35"/>
  <c r="Q3" i="35"/>
  <c r="Q13" i="35"/>
  <c r="Q6" i="35"/>
  <c r="Q16" i="35"/>
  <c r="Z197" i="2" l="1"/>
  <c r="U197" i="2"/>
  <c r="W197" i="2"/>
  <c r="X197" i="2"/>
  <c r="AA197" i="2"/>
  <c r="Y197" i="2"/>
  <c r="F197" i="2" l="1"/>
  <c r="Q20" i="35"/>
  <c r="N12" i="35" l="1"/>
  <c r="AB197" i="2"/>
  <c r="R197" i="2"/>
  <c r="Q17" i="35"/>
  <c r="N10" i="35" l="1"/>
  <c r="N8" i="35" l="1"/>
  <c r="N4" i="35"/>
  <c r="AC197" i="2"/>
  <c r="H3" i="66" s="1"/>
  <c r="L11" i="66" s="1"/>
  <c r="M11" i="66" s="1"/>
  <c r="N6" i="35"/>
  <c r="N5" i="35"/>
  <c r="U19" i="35" l="1"/>
  <c r="U12" i="35"/>
  <c r="L2" i="66"/>
  <c r="M2" i="66" s="1"/>
  <c r="L9" i="66"/>
  <c r="M9" i="66" s="1"/>
  <c r="L7" i="66"/>
  <c r="M7" i="66" s="1"/>
  <c r="L8" i="66"/>
  <c r="M8" i="66" s="1"/>
  <c r="L4" i="66"/>
  <c r="M4" i="66" s="1"/>
  <c r="L5" i="66"/>
  <c r="M5" i="66" s="1"/>
  <c r="L10" i="66"/>
  <c r="M10" i="66" s="1"/>
  <c r="L6" i="66"/>
  <c r="M6" i="66" s="1"/>
  <c r="L3" i="66"/>
  <c r="M3" i="66" s="1"/>
  <c r="Y29" i="35" l="1"/>
  <c r="Z29" i="35" s="1"/>
  <c r="N11" i="66"/>
  <c r="Y14" i="35"/>
  <c r="Z14" i="35" s="1"/>
  <c r="Y11" i="35"/>
  <c r="Z11" i="35" s="1"/>
  <c r="Y26" i="35"/>
  <c r="Z26" i="35" s="1"/>
  <c r="Y5" i="35"/>
  <c r="Z5" i="35" s="1"/>
  <c r="Y28" i="35"/>
  <c r="Z28" i="35" s="1"/>
  <c r="Y24" i="35"/>
  <c r="Z24" i="35" s="1"/>
  <c r="Y17" i="35"/>
  <c r="Z17" i="35" s="1"/>
  <c r="Y27" i="35"/>
  <c r="Z27" i="35" s="1"/>
  <c r="Y10" i="35"/>
  <c r="Z10" i="35" s="1"/>
  <c r="Y15" i="35"/>
  <c r="Z15" i="35" s="1"/>
  <c r="Y13" i="35"/>
  <c r="Z13" i="35" s="1"/>
  <c r="Y19" i="35"/>
  <c r="Z19" i="35" s="1"/>
  <c r="Y9" i="35"/>
  <c r="Z9" i="35" s="1"/>
  <c r="Y22" i="35"/>
  <c r="Z22" i="35" s="1"/>
  <c r="Y8" i="35"/>
  <c r="Z8" i="35" s="1"/>
  <c r="Y12" i="35"/>
  <c r="Z12" i="35" s="1"/>
  <c r="Y3" i="35"/>
  <c r="Z3" i="35" s="1"/>
  <c r="Y4" i="35"/>
  <c r="Z4" i="35" s="1"/>
  <c r="Y20" i="35"/>
  <c r="Z20" i="35" s="1"/>
  <c r="Y21" i="35"/>
  <c r="Z21" i="35" s="1"/>
  <c r="Y16" i="35"/>
  <c r="Z16" i="35" s="1"/>
  <c r="Y6" i="35"/>
  <c r="Z6" i="35" s="1"/>
  <c r="Y7" i="35"/>
  <c r="Z7" i="35" s="1"/>
  <c r="Y23" i="35"/>
  <c r="Z23" i="35" s="1"/>
  <c r="Y25" i="35"/>
  <c r="Z25" i="35" s="1"/>
  <c r="Y18" i="35"/>
  <c r="Z18" i="35" s="1"/>
  <c r="Y2" i="35"/>
  <c r="Z2" i="35" s="1"/>
  <c r="N3" i="66"/>
  <c r="N6" i="66"/>
  <c r="N8" i="66"/>
  <c r="N10" i="66"/>
  <c r="N7" i="66"/>
  <c r="N5" i="66"/>
  <c r="N9" i="66"/>
  <c r="N4" i="66"/>
  <c r="N2" i="66"/>
  <c r="AA29" i="35" l="1"/>
  <c r="AA14" i="35"/>
  <c r="AA11" i="35"/>
  <c r="AA5" i="35"/>
  <c r="AA8" i="35"/>
  <c r="AA23" i="35"/>
  <c r="AA6" i="35"/>
  <c r="AA13" i="35"/>
  <c r="AA15" i="35"/>
  <c r="AA20" i="35"/>
  <c r="AA17" i="35"/>
  <c r="AA7" i="35"/>
  <c r="AA22" i="35"/>
  <c r="AA27" i="35"/>
  <c r="AA2" i="35"/>
  <c r="AA9" i="35"/>
  <c r="AA21" i="35"/>
  <c r="AA26" i="35"/>
  <c r="AA24" i="35"/>
  <c r="AA18" i="35"/>
  <c r="AA19" i="35"/>
  <c r="AA12" i="35"/>
  <c r="AA25" i="35"/>
  <c r="AA16" i="35"/>
  <c r="AA4" i="35"/>
  <c r="AA28" i="35"/>
  <c r="AA10" i="35"/>
  <c r="AA3" i="35"/>
  <c r="M3" i="35" l="1"/>
  <c r="M4" i="35" s="1"/>
  <c r="M5" i="35" s="1"/>
  <c r="M6" i="35" s="1"/>
  <c r="M7" i="35" s="1"/>
  <c r="M8" i="35" s="1"/>
  <c r="M9" i="35" s="1"/>
  <c r="M10" i="35" s="1"/>
  <c r="M11" i="35" s="1"/>
  <c r="M12" i="35" s="1"/>
  <c r="M13" i="35" s="1"/>
  <c r="M14" i="35" s="1"/>
  <c r="M15" i="35" s="1"/>
  <c r="M16" i="35" s="1"/>
  <c r="M17" i="35" s="1"/>
  <c r="M18" i="35" s="1"/>
  <c r="M19" i="35" s="1"/>
  <c r="M20" i="35" s="1"/>
  <c r="M21" i="35" s="1"/>
  <c r="M22" i="35" s="1"/>
  <c r="M23" i="35" s="1"/>
  <c r="M24" i="35" s="1"/>
  <c r="M25" i="35" s="1"/>
  <c r="M26" i="35" s="1"/>
  <c r="M27" i="35" s="1"/>
  <c r="M28" i="35" s="1"/>
  <c r="M2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3" authorId="0" shapeId="0" xr:uid="{00000000-0006-0000-1900-000001000000}">
      <text>
        <r>
          <rPr>
            <b/>
            <sz val="9"/>
            <color indexed="81"/>
            <rFont val="Tahoma"/>
            <charset val="1"/>
          </rPr>
          <t>Author:</t>
        </r>
        <r>
          <rPr>
            <sz val="9"/>
            <color indexed="81"/>
            <rFont val="Tahoma"/>
            <charset val="1"/>
          </rPr>
          <t xml:space="preserve">
OUTAGE WAS GRANTED ON THE FEEDER BETWEEN 1013HRS TO 1813HRS OF THE DAY. HENCE THE DOWNTIME.</t>
        </r>
      </text>
    </comment>
  </commentList>
</comments>
</file>

<file path=xl/sharedStrings.xml><?xml version="1.0" encoding="utf-8"?>
<sst xmlns="http://schemas.openxmlformats.org/spreadsheetml/2006/main" count="6573" uniqueCount="1052">
  <si>
    <t>Region</t>
  </si>
  <si>
    <t>Feeder</t>
  </si>
  <si>
    <t>O/C Fault</t>
  </si>
  <si>
    <t>E/F Fault</t>
  </si>
  <si>
    <t>O/C &amp; E/F Fault</t>
  </si>
  <si>
    <t>Outage Duration</t>
  </si>
  <si>
    <t>KUMBOTSO</t>
  </si>
  <si>
    <t>DANGORA</t>
  </si>
  <si>
    <t>TAMBURAWA</t>
  </si>
  <si>
    <t>DANAGUNDI</t>
  </si>
  <si>
    <t>DAKATA</t>
  </si>
  <si>
    <t>DUTSE</t>
  </si>
  <si>
    <t>HADEJIA</t>
  </si>
  <si>
    <t>KANKIA</t>
  </si>
  <si>
    <t>KATSINA</t>
  </si>
  <si>
    <t>FUNTUA</t>
  </si>
  <si>
    <t>Transmission/ Injection Station</t>
  </si>
  <si>
    <t>33KV DANGOTE</t>
  </si>
  <si>
    <t>33KV ANGELS</t>
  </si>
  <si>
    <t>33KV SPANISH 1</t>
  </si>
  <si>
    <t>33KV SPANISH 2</t>
  </si>
  <si>
    <t>33KV RIJIYAR ZAKI</t>
  </si>
  <si>
    <t>33KV ATM</t>
  </si>
  <si>
    <t>33KV BAGAUDA</t>
  </si>
  <si>
    <t>33KV BATA</t>
  </si>
  <si>
    <t>33KV KARAYE</t>
  </si>
  <si>
    <t>33KV FALGORE</t>
  </si>
  <si>
    <t>33KV KWANKWASO</t>
  </si>
  <si>
    <t>33KV CLUB</t>
  </si>
  <si>
    <t>33KV ZARIA ROAD</t>
  </si>
  <si>
    <t>33KV CBN</t>
  </si>
  <si>
    <t>33KV KURNA</t>
  </si>
  <si>
    <t>33KV BUK</t>
  </si>
  <si>
    <t>33KV DAN AGUNDI 1</t>
  </si>
  <si>
    <t>33KV DAN AGUNDI 2</t>
  </si>
  <si>
    <t>33KV DAWANAU</t>
  </si>
  <si>
    <t>33KV GEZAWA</t>
  </si>
  <si>
    <t>33KV IDH</t>
  </si>
  <si>
    <t>33KV FLOUR MILLS</t>
  </si>
  <si>
    <t>33KV MTN</t>
  </si>
  <si>
    <t>33KV GASKIYA</t>
  </si>
  <si>
    <t>33KV NNPC</t>
  </si>
  <si>
    <t>33KV WUDIL</t>
  </si>
  <si>
    <t>33KV SUMAILA</t>
  </si>
  <si>
    <t>33KV BIRNIN KUDU</t>
  </si>
  <si>
    <t>33KV JAHUN</t>
  </si>
  <si>
    <t>33KV DUTSE</t>
  </si>
  <si>
    <t>33KV HADEJIA</t>
  </si>
  <si>
    <t>33KV GUMEL</t>
  </si>
  <si>
    <t>33KV KAFIN HAUSA</t>
  </si>
  <si>
    <t>33KV KAZAURE</t>
  </si>
  <si>
    <t>33KV MUSAWA</t>
  </si>
  <si>
    <t>33KV DUTSENMA</t>
  </si>
  <si>
    <t>33KV DAURA</t>
  </si>
  <si>
    <t>33KV POWER HOUSE</t>
  </si>
  <si>
    <t>33KV POLYTECHNIC</t>
  </si>
  <si>
    <t>33KV KOFAR GUGA</t>
  </si>
  <si>
    <t>33KV MALUMFASHI</t>
  </si>
  <si>
    <t>33KV DANDUME</t>
  </si>
  <si>
    <t>33KV TEXTILE</t>
  </si>
  <si>
    <t>11KV AHMADU BELLO</t>
  </si>
  <si>
    <t>11KV RACE COURSE</t>
  </si>
  <si>
    <t>11KV BANK ROAD</t>
  </si>
  <si>
    <t>11KV AUDU BAKO</t>
  </si>
  <si>
    <t>11KV BADAWA</t>
  </si>
  <si>
    <t>11KV LAMIDO</t>
  </si>
  <si>
    <t>11KV DR BALA</t>
  </si>
  <si>
    <t>11KV TARAUNI</t>
  </si>
  <si>
    <t>11KV SALLARI</t>
  </si>
  <si>
    <t>11KV KARKASARA</t>
  </si>
  <si>
    <t>11KV KUNDILA</t>
  </si>
  <si>
    <t>11KV HAUSAWA</t>
  </si>
  <si>
    <t>11KV MARHABA</t>
  </si>
  <si>
    <t>11KV MAIMALARI</t>
  </si>
  <si>
    <t>11KV INDEPENDENCE</t>
  </si>
  <si>
    <t>11KV BOMPAI</t>
  </si>
  <si>
    <t>11KV YUSUF ROAD</t>
  </si>
  <si>
    <t>11KV TUDUN WADA</t>
  </si>
  <si>
    <t>11KV GWAGWARWA</t>
  </si>
  <si>
    <t>11KV FAGGE</t>
  </si>
  <si>
    <t>11KV GWAMMAJA</t>
  </si>
  <si>
    <t>11KV SABON GARI</t>
  </si>
  <si>
    <t>11KV ABUJA ROAD</t>
  </si>
  <si>
    <t>11KV SANI MAINAGGE</t>
  </si>
  <si>
    <t>11KV JAKARA</t>
  </si>
  <si>
    <t>11KV KABUGA</t>
  </si>
  <si>
    <t>11KV AMINU KANO</t>
  </si>
  <si>
    <t>11KV GWARZO ROAD</t>
  </si>
  <si>
    <t>11KV NEW SITE</t>
  </si>
  <si>
    <t>11KV TUKUNTAWA</t>
  </si>
  <si>
    <t>11KV SHARADA INDUSTRIAL</t>
  </si>
  <si>
    <t>11KV HOUSING ESTATE</t>
  </si>
  <si>
    <t>11KV KOFAR NASSARAWA</t>
  </si>
  <si>
    <t>11KV AJASA</t>
  </si>
  <si>
    <t>11KV IBRAHIM TAIWO</t>
  </si>
  <si>
    <t>11KV CITY</t>
  </si>
  <si>
    <t>11KV FANISAU</t>
  </si>
  <si>
    <t>11KV ORTHOPAEDIC</t>
  </si>
  <si>
    <t>11KV BACHIRAWA</t>
  </si>
  <si>
    <t>11KV DANLADI NASIDI</t>
  </si>
  <si>
    <t>11KV FARAWA</t>
  </si>
  <si>
    <t>11KV MAIDUGURI ROAD</t>
  </si>
  <si>
    <t>11KV MAKAMA</t>
  </si>
  <si>
    <t>11KV DALA FOODS</t>
  </si>
  <si>
    <t>11KV CHIRANCI</t>
  </si>
  <si>
    <t>11KV BICHI TOWN</t>
  </si>
  <si>
    <t>11KV TAMBURAWA WATER PLANT</t>
  </si>
  <si>
    <t>11KV PANSHEKARA</t>
  </si>
  <si>
    <t>11KV CERAMIC</t>
  </si>
  <si>
    <t>11KV ZAWACIKI</t>
  </si>
  <si>
    <t>11KV YANLEMO</t>
  </si>
  <si>
    <t>11KV MASARAUTA</t>
  </si>
  <si>
    <t>11KV TALAMIZ</t>
  </si>
  <si>
    <t>11KV TOKARAWA</t>
  </si>
  <si>
    <t>11KV TSAMIYA BABBA</t>
  </si>
  <si>
    <t>11KV DAKATA</t>
  </si>
  <si>
    <t>11KV YANKABA</t>
  </si>
  <si>
    <t>11KV LOW COST</t>
  </si>
  <si>
    <t>11KV KOFAR MARUSA</t>
  </si>
  <si>
    <t>11KV DANDAGORO</t>
  </si>
  <si>
    <t>11KV KANO ROAD</t>
  </si>
  <si>
    <t>11KV ARMY BARRACKS</t>
  </si>
  <si>
    <t>11KV HASSAN USMAN ROAD</t>
  </si>
  <si>
    <t>11KV DAURAMA</t>
  </si>
  <si>
    <t>11KV BAYAJIDDA</t>
  </si>
  <si>
    <t>11KV HOSPITAL ROAD</t>
  </si>
  <si>
    <t>11KV NAKOWA</t>
  </si>
  <si>
    <t>11KV MAI RUWA</t>
  </si>
  <si>
    <t>11KV INDUSTRIAL</t>
  </si>
  <si>
    <t>11KV JABIRI</t>
  </si>
  <si>
    <t>11KV DUTSEN REME</t>
  </si>
  <si>
    <t>11KV TOWN</t>
  </si>
  <si>
    <t>11KV GALADIMA</t>
  </si>
  <si>
    <t>11KV SCHOOL OF NURSING</t>
  </si>
  <si>
    <t>11KV MAJE</t>
  </si>
  <si>
    <t>11KV SHAGARI</t>
  </si>
  <si>
    <t>11KV TAKUR</t>
  </si>
  <si>
    <t>11KV SANI ABACHA WAY</t>
  </si>
  <si>
    <t>11KV GARU</t>
  </si>
  <si>
    <t>11KV LIMAWA</t>
  </si>
  <si>
    <t>11KV KOFAR FADA</t>
  </si>
  <si>
    <t>11KV MATAZU</t>
  </si>
  <si>
    <t>11KV KAURA GOJE</t>
  </si>
  <si>
    <t>11KV CAMPUS</t>
  </si>
  <si>
    <t>11KV TIGA</t>
  </si>
  <si>
    <t>11KV SAGAGI</t>
  </si>
  <si>
    <t>11KV BELLO DANDAGO</t>
  </si>
  <si>
    <t>Name of Feeder</t>
  </si>
  <si>
    <t>Fault Type</t>
  </si>
  <si>
    <t>Remarks : Fault type are</t>
  </si>
  <si>
    <t>TL</t>
  </si>
  <si>
    <t>Tripping due to Line fault</t>
  </si>
  <si>
    <t>TS</t>
  </si>
  <si>
    <t>Tripping due to S/S fault</t>
  </si>
  <si>
    <t>PC</t>
  </si>
  <si>
    <t xml:space="preserve">Planned shutdown for construction activity </t>
  </si>
  <si>
    <t>PM</t>
  </si>
  <si>
    <t xml:space="preserve">Planned shutdown for O&amp;M activity </t>
  </si>
  <si>
    <t>SE</t>
  </si>
  <si>
    <t>Shutdown on Emergency</t>
  </si>
  <si>
    <t>UF</t>
  </si>
  <si>
    <t>Tripped due to under-frequency</t>
  </si>
  <si>
    <t>O/C</t>
  </si>
  <si>
    <t>O/C &amp; E/F</t>
  </si>
  <si>
    <t>E/F</t>
  </si>
  <si>
    <t>Relay Indication</t>
  </si>
  <si>
    <t>Total Energy Loss (MWH)</t>
  </si>
  <si>
    <t>Overcurrent Fault</t>
  </si>
  <si>
    <t>Earth Fault</t>
  </si>
  <si>
    <t>Overcurrent &amp; Earth Fault</t>
  </si>
  <si>
    <t>KANO INDUSTRIAL</t>
  </si>
  <si>
    <t>KANO CENTRAL</t>
  </si>
  <si>
    <t>KANO WEST</t>
  </si>
  <si>
    <t>JIGAWA NORTH</t>
  </si>
  <si>
    <t>KATSINA NORTH</t>
  </si>
  <si>
    <t>KATSINA SOUTH</t>
  </si>
  <si>
    <t>KANO EAST</t>
  </si>
  <si>
    <t>JIGAWA SOUTH</t>
  </si>
  <si>
    <t>KATSINA CENTRAL</t>
  </si>
  <si>
    <t>33KV AJIWA WATER WORKS</t>
  </si>
  <si>
    <t>Kano Central</t>
  </si>
  <si>
    <t>Kano Industrial</t>
  </si>
  <si>
    <t>Kano East</t>
  </si>
  <si>
    <t>Kano West</t>
  </si>
  <si>
    <t>Katsina North</t>
  </si>
  <si>
    <t>Katsina Central</t>
  </si>
  <si>
    <t>Katsina South</t>
  </si>
  <si>
    <t>Jigawa North</t>
  </si>
  <si>
    <t>Jigawa South</t>
  </si>
  <si>
    <t>Sr. No.</t>
  </si>
  <si>
    <t>Avg. Duration Per Tripping</t>
  </si>
  <si>
    <t>11KV HOTORO</t>
  </si>
  <si>
    <t>Tripping Date &amp; Time
(MM/DD/YY)</t>
  </si>
  <si>
    <t>Restoration Date &amp; Time
(MM/DD/YY)</t>
  </si>
  <si>
    <t>Total</t>
  </si>
  <si>
    <t>33KV LAW SCHOOL</t>
  </si>
  <si>
    <t>Brief Description</t>
  </si>
  <si>
    <t xml:space="preserve">Outage Surrender within duration </t>
  </si>
  <si>
    <t>Extended Time</t>
  </si>
  <si>
    <t>Approved Outage Time</t>
  </si>
  <si>
    <t>Approved Restoration Time</t>
  </si>
  <si>
    <t>Name &amp; Designation of Permit Holder</t>
  </si>
  <si>
    <t>No. of Outage Surrender within Duration</t>
  </si>
  <si>
    <t>Total Outage Duration</t>
  </si>
  <si>
    <t>Duration of Planned Outage</t>
  </si>
  <si>
    <t>Planned Shutdown</t>
  </si>
  <si>
    <t>Tripping Due to Fault</t>
  </si>
  <si>
    <t>Outage Surrender within Approved Duration</t>
  </si>
  <si>
    <t>Outage Duration of Fault</t>
  </si>
  <si>
    <t>Duration of Planned Construction Activity</t>
  </si>
  <si>
    <t>Duration of S/S Fault</t>
  </si>
  <si>
    <t>11KV FANTAI</t>
  </si>
  <si>
    <t>11KV KANTI</t>
  </si>
  <si>
    <t>Substation Fault</t>
  </si>
  <si>
    <t>TSP</t>
  </si>
  <si>
    <t>SHARADA</t>
  </si>
  <si>
    <t>AKTH</t>
  </si>
  <si>
    <t>RIJIYAR ZAKI</t>
  </si>
  <si>
    <t>MAIKALWA</t>
  </si>
  <si>
    <t>KWANAR DANGORA</t>
  </si>
  <si>
    <t>PANSHEKARA</t>
  </si>
  <si>
    <t>SABON GARI</t>
  </si>
  <si>
    <t>KANO CITY</t>
  </si>
  <si>
    <t>IDH</t>
  </si>
  <si>
    <t>KAWAJI</t>
  </si>
  <si>
    <t>BOMPAI</t>
  </si>
  <si>
    <t>HOTORO</t>
  </si>
  <si>
    <t>BIRNIN KUDU</t>
  </si>
  <si>
    <t>GUMEL</t>
  </si>
  <si>
    <t>DUTSENMA</t>
  </si>
  <si>
    <t>DAURA</t>
  </si>
  <si>
    <t>KATSINA URBAN</t>
  </si>
  <si>
    <t>KATSINA CITY</t>
  </si>
  <si>
    <t>MALUMFASHI</t>
  </si>
  <si>
    <t>Bompai</t>
  </si>
  <si>
    <t>Kano City</t>
  </si>
  <si>
    <t>Kedco HQ</t>
  </si>
  <si>
    <t>Rijiyar Zaki</t>
  </si>
  <si>
    <t>Sabon Gari</t>
  </si>
  <si>
    <t>Akth</t>
  </si>
  <si>
    <t>Sharada</t>
  </si>
  <si>
    <t>Hotoro</t>
  </si>
  <si>
    <t>Kawaji</t>
  </si>
  <si>
    <t>Maikalwa</t>
  </si>
  <si>
    <t>Panshekara</t>
  </si>
  <si>
    <t>Daura</t>
  </si>
  <si>
    <t>Katsina City</t>
  </si>
  <si>
    <t>Katsina Urban</t>
  </si>
  <si>
    <t>Dutsenma</t>
  </si>
  <si>
    <t>Kankia</t>
  </si>
  <si>
    <t>Funtua</t>
  </si>
  <si>
    <t>Malumfashi</t>
  </si>
  <si>
    <t>Hadejia</t>
  </si>
  <si>
    <t>Gumel</t>
  </si>
  <si>
    <t>Birnin Kudu</t>
  </si>
  <si>
    <t>Dutse</t>
  </si>
  <si>
    <t>Kwanar Dangora</t>
  </si>
  <si>
    <t>KEDCO HQ</t>
  </si>
  <si>
    <t>SAIDI</t>
  </si>
  <si>
    <t>ASAI</t>
  </si>
  <si>
    <t>Fault Clearance Index</t>
  </si>
  <si>
    <t>Total Hours Available for Service</t>
  </si>
  <si>
    <t>Days in the Month</t>
  </si>
  <si>
    <t>Total Faults Cleared within Specified Time</t>
  </si>
  <si>
    <t>Load Interrupted (MW)</t>
  </si>
  <si>
    <t>Load at the time of  Restoration (MW)</t>
  </si>
  <si>
    <t>Available Hours for Service</t>
  </si>
  <si>
    <t>Fault Cleared in Specified Time</t>
  </si>
  <si>
    <t>Type of Feeder</t>
  </si>
  <si>
    <t>URBAN</t>
  </si>
  <si>
    <t>RURAL</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</si>
  <si>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</si>
  <si>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</si>
  <si>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</si>
  <si>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</si>
  <si>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</si>
  <si>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</si>
  <si>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</si>
  <si>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</si>
  <si>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</si>
  <si>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</si>
  <si>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</si>
  <si>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</si>
  <si>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</si>
  <si>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</si>
  <si>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</si>
  <si>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</si>
  <si>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</si>
  <si>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</si>
  <si>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</si>
  <si>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</si>
  <si>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</si>
  <si>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</si>
  <si>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</si>
  <si>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</si>
  <si>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</si>
  <si>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</si>
  <si>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</si>
  <si>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</si>
  <si>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</si>
  <si>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</si>
  <si>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Available Hours for Service</t>
  </si>
  <si>
    <t>No. of Fault Cleared in Specified Time</t>
  </si>
  <si>
    <t>Load at Restoration</t>
  </si>
  <si>
    <t xml:space="preserve">Average Interupption </t>
  </si>
  <si>
    <t>Peak Load</t>
  </si>
  <si>
    <t>Unrestored Load</t>
  </si>
  <si>
    <t>Sum of Outage Duration &amp; Load Interupption</t>
  </si>
  <si>
    <t>33KV BIRNIWA</t>
  </si>
  <si>
    <t>33KV COCA COLA</t>
  </si>
  <si>
    <t>ZOO ROAD</t>
  </si>
  <si>
    <t>DANAGUNDI/BUKAVU</t>
  </si>
  <si>
    <t>DAKATA/MARIRI</t>
  </si>
  <si>
    <t>TAMBURAWA/TAM. W/PLANT</t>
  </si>
  <si>
    <t>33KV KAITA</t>
  </si>
  <si>
    <t>33KV MASHI</t>
  </si>
  <si>
    <t>33KV MAI ADUA</t>
  </si>
  <si>
    <t>11KV MAKWALLA</t>
  </si>
  <si>
    <t>11KV LAUTAI</t>
  </si>
  <si>
    <t>11KV DANTUNKU</t>
  </si>
  <si>
    <t>TOTAL HOURS IN THE MONTH=</t>
  </si>
  <si>
    <t>11KV MAJESTIC</t>
  </si>
  <si>
    <t>ASIFI</t>
  </si>
  <si>
    <t>Overal Ranking</t>
  </si>
  <si>
    <t>Total Points</t>
  </si>
  <si>
    <t>Ranking FCI</t>
  </si>
  <si>
    <t>Ranking ASIFI</t>
  </si>
  <si>
    <t>Ranking ASAI</t>
  </si>
  <si>
    <t>Ranking SAIDI</t>
  </si>
  <si>
    <t>Total Interruption</t>
  </si>
  <si>
    <t>Zoo Road</t>
  </si>
  <si>
    <t>Load Interrupted (KVA)</t>
  </si>
  <si>
    <t>FCI</t>
  </si>
  <si>
    <t>YES</t>
  </si>
  <si>
    <t>NO</t>
  </si>
  <si>
    <t>Field discovery during patrols</t>
  </si>
  <si>
    <t>No Discovery upon Patrols</t>
  </si>
  <si>
    <t>Transient faults</t>
  </si>
  <si>
    <t>Any Discovery On Patrols?</t>
  </si>
  <si>
    <t>Transient</t>
  </si>
  <si>
    <t>Transients</t>
  </si>
  <si>
    <t>No Discovery on Patrols</t>
  </si>
  <si>
    <t>Patrols with Discoveries</t>
  </si>
  <si>
    <t>33KV AMPRI GLOBAL</t>
  </si>
  <si>
    <t>1</t>
  </si>
  <si>
    <t>Total Interruptions</t>
  </si>
  <si>
    <t>Total Interrruption</t>
  </si>
  <si>
    <t>Total PM Cleared within Specified Time</t>
  </si>
  <si>
    <t>No. of PM Done within Approved Time</t>
  </si>
  <si>
    <t>Total Hours in Service</t>
  </si>
  <si>
    <t>DORAYI</t>
  </si>
  <si>
    <t>Dorayi</t>
  </si>
  <si>
    <t>Wudil</t>
  </si>
  <si>
    <t>WUDIL</t>
  </si>
  <si>
    <t>33KV SMALL SCALE</t>
  </si>
  <si>
    <t>DAKATA/SMALL SCALE</t>
  </si>
  <si>
    <t>33KV KATSINA ROAD</t>
  </si>
  <si>
    <t>11KV TUDUN MURTALA</t>
  </si>
  <si>
    <t>11KV GOVERNMENT HOUSE DUTSE</t>
  </si>
  <si>
    <t>11KV FUNTUA TEXTILE MILL</t>
  </si>
  <si>
    <t>11KV FUNTUA WATER WORKS</t>
  </si>
  <si>
    <t>11KV FEDERAL SECRETARIAT</t>
  </si>
  <si>
    <t>33KV MAKOLE</t>
  </si>
  <si>
    <t>33KV GAYA</t>
  </si>
  <si>
    <t>WUDIL/WUDIL</t>
  </si>
  <si>
    <t>Total Faults</t>
  </si>
  <si>
    <t>Connected Capacity per feeder (KVA)</t>
  </si>
  <si>
    <t>11KV AIRPORT ROAD</t>
  </si>
  <si>
    <t>11KV RIMIN KEBE</t>
  </si>
  <si>
    <t>11KV KOKI</t>
  </si>
  <si>
    <t>33KV GANO</t>
  </si>
  <si>
    <t>33KV GARKO</t>
  </si>
  <si>
    <t>WUDIL TS</t>
  </si>
  <si>
    <t>15MVA TR1 DAN AGUNDI</t>
  </si>
  <si>
    <t>15MVA TR2 DAN AGUNDI</t>
  </si>
  <si>
    <t>15MVA TR1 GORON DUTSE</t>
  </si>
  <si>
    <t>15MVA TR2 GORON DUTSE</t>
  </si>
  <si>
    <t>7.5MVA TR1 NIPP RADIO HOUSE</t>
  </si>
  <si>
    <t>15MVA TR1 ADO BAYERO</t>
  </si>
  <si>
    <t>15MVA TR1 BUKAVU</t>
  </si>
  <si>
    <t>15MVA TR2 BUKAVU</t>
  </si>
  <si>
    <t>15MVA TR1 I.D.H.</t>
  </si>
  <si>
    <t>15MVA TR2 I.D.H.</t>
  </si>
  <si>
    <t>15MVA TR3 I.D.H.</t>
  </si>
  <si>
    <t>15MVA TR1 SMALL SCALE</t>
  </si>
  <si>
    <t>15MVA TR1 SHARADA</t>
  </si>
  <si>
    <t>15MVA TR2 SHARADA</t>
  </si>
  <si>
    <t>15MVA TR1 GONGONI</t>
  </si>
  <si>
    <t>7.5MVA TR2 GONGONI</t>
  </si>
  <si>
    <t>15MVA TR1 ZARIA ROAD</t>
  </si>
  <si>
    <t>15MVA TR3 ZARIA ROAD</t>
  </si>
  <si>
    <t>15MVA TR2 ZARIA ROAD</t>
  </si>
  <si>
    <t>15MVA TR1 ABATTOIR</t>
  </si>
  <si>
    <t>7.5MVA TR1 CHALLAWA</t>
  </si>
  <si>
    <t>7.5MVA TR2 CHALLAWA</t>
  </si>
  <si>
    <t>15MVA TR1 TAMBURAWA</t>
  </si>
  <si>
    <t>7.5MVA TR1 NA'IBAWA</t>
  </si>
  <si>
    <t>15MVA TR1 CLUB</t>
  </si>
  <si>
    <t>15MVA TR2 CLUB</t>
  </si>
  <si>
    <t>15MVA TR3 CLUB</t>
  </si>
  <si>
    <t>15MVA TR1 FARM CENTER</t>
  </si>
  <si>
    <t>15MVA TR2 FARM CENTER</t>
  </si>
  <si>
    <t>7.5MVA TR2 DAURA NIPP</t>
  </si>
  <si>
    <t>7.5MVA TR1 DAURA NIPP</t>
  </si>
  <si>
    <t>7.5MVA TR2 MARIRI</t>
  </si>
  <si>
    <t>7.5MVA TR1 MARIRI</t>
  </si>
  <si>
    <t>15MVA TR1 JOGANA</t>
  </si>
  <si>
    <t>7.5MVA TR1 WUDIL</t>
  </si>
  <si>
    <t>15MVA TR1 KAWAJI</t>
  </si>
  <si>
    <t>7.5MVA TR1 KATSINA ROAD FUNTUA</t>
  </si>
  <si>
    <t>15MVA TR1 TEXTILE JUNCTION FUNTUA</t>
  </si>
  <si>
    <t>7.5MVA TR1 NIPP LAW SCHOOL</t>
  </si>
  <si>
    <t>7.5MVA TR1 NIPP PRP</t>
  </si>
  <si>
    <t>7.5MVA TR1 BICHI</t>
  </si>
  <si>
    <t>15MVA TR2 BUK</t>
  </si>
  <si>
    <t>15MVA TR1 BUK</t>
  </si>
  <si>
    <t>15MVA TR1 BRISCOE</t>
  </si>
  <si>
    <t>15MVA TR2 BRISCOE</t>
  </si>
  <si>
    <t>15MVA TR3 BRISCOE</t>
  </si>
  <si>
    <t>7.5MVA TR1 HADEJIA</t>
  </si>
  <si>
    <t>7.5MVA TR2 HADEJIA</t>
  </si>
  <si>
    <t>7.5MVA TR2 NIPP HADEJIA</t>
  </si>
  <si>
    <t>7.5MVA TR1 NIPP HADEJIA</t>
  </si>
  <si>
    <t>7.5MVA TR1 NIPP MALAMADORI</t>
  </si>
  <si>
    <t>7.5MVA TR1 NIPP GUMEL</t>
  </si>
  <si>
    <t>7.5MVA TR1 DUTSE</t>
  </si>
  <si>
    <t>7.5MVA TR1 DUTSE NIPP</t>
  </si>
  <si>
    <t>7.5MVA TR2 DUTSE NIPP</t>
  </si>
  <si>
    <t>7.5MVA TR1 BIRNIN KUDU</t>
  </si>
  <si>
    <t>15MVA TR1 IBB WAY KATSINA</t>
  </si>
  <si>
    <t>15MVA TR3 IBB WAY KATSINA</t>
  </si>
  <si>
    <t>7.5MVA TR2 IBB WAY KATSINA</t>
  </si>
  <si>
    <t xml:space="preserve">7.5MVA TR1 FADAMA NIPP </t>
  </si>
  <si>
    <t>7.5MVA TR1 KOFAR SAURI NIPP</t>
  </si>
  <si>
    <t>7MVA TR1 NIPP MUSAWA</t>
  </si>
  <si>
    <t>7.5MVA TR1 KAZAURE</t>
  </si>
  <si>
    <t>7.5MVA TR1 MALUMFASHI</t>
  </si>
  <si>
    <t>7.5MVA TR1 KOFAR GUGA KATSINA</t>
  </si>
  <si>
    <t>7.5MVA TR2 KOFAR GUGA KATSINA</t>
  </si>
  <si>
    <t>NO RI</t>
  </si>
  <si>
    <t>No Relay Indication</t>
  </si>
  <si>
    <t>33KV DANA</t>
  </si>
  <si>
    <t>33KV MAMMAN NASIR</t>
  </si>
  <si>
    <t>BADAWA</t>
  </si>
  <si>
    <t>33KV DANBATTA</t>
  </si>
  <si>
    <t>KANO NORTH</t>
  </si>
  <si>
    <t>Badawa</t>
  </si>
  <si>
    <t>11KV APEX</t>
  </si>
  <si>
    <t>Kano North</t>
  </si>
  <si>
    <t>11KV JAEN</t>
  </si>
  <si>
    <t>11KV MUNDADU</t>
  </si>
  <si>
    <t>33KV DAWAKI</t>
  </si>
  <si>
    <t>DANAGUNDI/ZARIA ROAD</t>
  </si>
  <si>
    <t>DANAGUNDI/ZARIA RD</t>
  </si>
  <si>
    <t>GAGARAWA</t>
  </si>
  <si>
    <t>FEEDER BAND</t>
  </si>
  <si>
    <t>TOTAL NUMBERS OF FEEDERS/TSP</t>
  </si>
  <si>
    <t>A</t>
  </si>
  <si>
    <t>B</t>
  </si>
  <si>
    <t>E</t>
  </si>
  <si>
    <t>D</t>
  </si>
  <si>
    <t>C</t>
  </si>
  <si>
    <t>33KV LADANAI</t>
  </si>
  <si>
    <t>33KV YANLEMAN</t>
  </si>
  <si>
    <t>33KV GAGARAWA</t>
  </si>
  <si>
    <t>11KV FMC</t>
  </si>
  <si>
    <t>11KV DUTSEN SAFE</t>
  </si>
  <si>
    <t>11KV BCGA</t>
  </si>
  <si>
    <t>33KV DR JAMIL GWAMNA</t>
  </si>
  <si>
    <t>11KV KOFAR NAISA</t>
  </si>
  <si>
    <t>11KV MUHAMMED DIKKO</t>
  </si>
  <si>
    <t>11KV NNDC</t>
  </si>
  <si>
    <t>33KV TAMBURAWA  WATER WORKS</t>
  </si>
  <si>
    <t>11KV UNGUWA UKU</t>
  </si>
  <si>
    <t>11KV NBC</t>
  </si>
  <si>
    <t>11KV GRA</t>
  </si>
  <si>
    <t>11KV MURTALA MUHAMMED</t>
  </si>
  <si>
    <t>11KV JAMAARE</t>
  </si>
  <si>
    <t>11KV NATSINTA</t>
  </si>
  <si>
    <t>33KV RICE MILLS</t>
  </si>
  <si>
    <t>33KV UNIVERSITY</t>
  </si>
  <si>
    <t>11KV NOMANSLAND</t>
  </si>
  <si>
    <t>11KV KUT</t>
  </si>
  <si>
    <t>Band</t>
  </si>
  <si>
    <t>Min Daily Hours</t>
  </si>
  <si>
    <t>DATE</t>
  </si>
  <si>
    <t>Actual Min Hours Expected till date</t>
  </si>
  <si>
    <t>11KV NAGOGGO</t>
  </si>
  <si>
    <t>11KV KADARKO</t>
  </si>
  <si>
    <t xml:space="preserve">7.5MVA TR2 FADAMA NIPP </t>
  </si>
  <si>
    <t>Min Hrs</t>
  </si>
  <si>
    <t>11KV WUDIL COMMERCIAL</t>
  </si>
  <si>
    <t>ABDURRASHID LAWAN.</t>
  </si>
  <si>
    <t>33KV CHALAWA WATER WORKS</t>
  </si>
  <si>
    <t>11KV CHALAWA WATER PLANT</t>
  </si>
  <si>
    <t>,</t>
  </si>
  <si>
    <t>ABDULLAHI ABUBAKAR</t>
  </si>
  <si>
    <t>USMAN SA'ADU</t>
  </si>
  <si>
    <t>33KV GUJUNGU</t>
  </si>
  <si>
    <t>33KV WATARI</t>
  </si>
  <si>
    <t>33KV JODA</t>
  </si>
  <si>
    <t>OPENED DANTATA AND SHUARIN ISOLATORS</t>
  </si>
  <si>
    <t>Tamburawa isolator was opened</t>
  </si>
  <si>
    <t>Jogana town isolator was opened</t>
  </si>
  <si>
    <t>33KV M/Nassir feeder was tried and stayed, nothing found. RE KTS was informed.</t>
  </si>
  <si>
    <t>Gidan leda leg was isolated</t>
  </si>
  <si>
    <t>11KV Gwarzo Road feeder tripped on O/C all-phases and E/F 0.3MW. It was tried and stayed after isolated faculty of Science 500KVA due to punctured R-phase XLPE cable. TE R/Zaki approved.</t>
  </si>
  <si>
    <t>Dangora isolator wasopened</t>
  </si>
  <si>
    <t>NOTHING FOUND</t>
  </si>
  <si>
    <t>Gano 33KV feeder was tried and stayed after opened Polac isolator. RE KNE Hotoro approved.</t>
  </si>
  <si>
    <t>Tarau isolator was opened</t>
  </si>
  <si>
    <t>K/Tudun wada isolator was opened</t>
  </si>
  <si>
    <t>11KV G.R.A.</t>
  </si>
  <si>
    <t>Car wash isolator was oponed</t>
  </si>
  <si>
    <t>Halliru Akilu isolaror was opened</t>
  </si>
  <si>
    <t>removed a bird on the lime at Kwasan Gwami and also tree trimming was conducted.</t>
  </si>
  <si>
    <t>11KV GRA feeder tried and stayed after bye pass 1no lightning arrestor B-phase at Green view Hotel at 300KVA. TE Urban approved.</t>
  </si>
  <si>
    <t>11KV Bank Road feeder was tried and stayed, patrolled nothing found. TE HQ approved.</t>
  </si>
  <si>
    <t>11kV S/Mainagge feeder after discovered Samaila 500kVA S/S isolate itself.</t>
  </si>
  <si>
    <t>11KV K/Nassarawa feeder tried and stayed after amended Y-phase J&amp;P Dan Dawaki 500KVA. TE City TSP approved.</t>
  </si>
  <si>
    <t>33KV B/Kudu feeder was tried and stayed after opened Danmasara isolator, RE JGS approved.</t>
  </si>
  <si>
    <t>33kV Karaye feeder was tried and stayed after opened Dangora isolator. RE Dangora approved.</t>
  </si>
  <si>
    <t>11KV K/Nassarawa feeder was tried and stayed after separated twisted conductor Y&amp;B phase at Kasuwar Rimi. TE City approved.</t>
  </si>
  <si>
    <t>O/C&amp;E/F</t>
  </si>
  <si>
    <t>REMOVED A BIRD ON THE AT JIGAWAR SARKI</t>
  </si>
  <si>
    <t>Jahun 33kV fdr was tried &amp; stayed after opened Shuwarin and Dantata isolators, RE JGS approved.</t>
  </si>
  <si>
    <t>TRANSIENT</t>
  </si>
  <si>
    <t>After patrol discovered Zagi Old 500KVA S/S dropped 2no J&amp;P third one isolated</t>
  </si>
  <si>
    <t>ISOLATED 11KV HOTORO FOR LINE PATROL</t>
  </si>
  <si>
    <t>after patrol discovered Wapa Old 500KVA S/S dropped 2no J&amp;P third one isolated</t>
  </si>
  <si>
    <t>After patrol discovered Yandodo 500KVA S/S dropped 2no J&amp;P third one isolated.</t>
  </si>
  <si>
    <t>After amended Red phase J&amp;P on Isiyaku Rabiu 500KVA S/S.</t>
  </si>
  <si>
    <t>After opened Zango isolator as suspected faulty segment.</t>
  </si>
  <si>
    <t>Tree trimming was conducted at Makurdi.</t>
  </si>
  <si>
    <t>removed a branch of tree that bridged the line @ Mawashi village</t>
  </si>
  <si>
    <t>Garin magaji &amp; Kasheguwa isolators were opened.</t>
  </si>
  <si>
    <t>OPENED JABIRI ISOLATOR</t>
  </si>
  <si>
    <t>After opened an isolator at Kwanar Tudun Wada as suspected faulty segment</t>
  </si>
  <si>
    <t>Due to Dan - gwalalo 300KVA S/S on fire. S/S WAS ISOLATED</t>
  </si>
  <si>
    <t>33KV TAMBURAWA W/WORKS</t>
  </si>
  <si>
    <t>KUT Isolator was opened</t>
  </si>
  <si>
    <t>33KV GAYA Isolated for line patrol</t>
  </si>
  <si>
    <t>OPENED MAI ADUA ISOLATOR</t>
  </si>
  <si>
    <t>OPENED GODAI</t>
  </si>
  <si>
    <t>Opened Tamburawa isolator.</t>
  </si>
  <si>
    <t>After opened an isolator at Tarau as suspected faulty segment</t>
  </si>
  <si>
    <t>33KV TAMBURAWA  W/WORKS</t>
  </si>
  <si>
    <t>Patrolled nothing found along the line.</t>
  </si>
  <si>
    <t>conducted tree trimming along the line</t>
  </si>
  <si>
    <t>33kV Gano feeder was tried and stayed after opened Budan, Indabo &amp; Katai legs were opened. RE Hotoro approved.</t>
  </si>
  <si>
    <t>Opened Rungumau Isolator,.</t>
  </si>
  <si>
    <t>33KV DR. JAMIL GWAMNA</t>
  </si>
  <si>
    <t>Repositioned R-phase pulled out conductor @ Dantata Junction,</t>
  </si>
  <si>
    <t>After tree trimming was conducted along the line.</t>
  </si>
  <si>
    <t>OPENED GIDAN LEDA ISOLATOR</t>
  </si>
  <si>
    <t>OPENED DANMASARA</t>
  </si>
  <si>
    <t>Branch of tree that bridged the line @ Jarda</t>
  </si>
  <si>
    <t>Fire service isolator was opened.</t>
  </si>
  <si>
    <t>OPENED BOMPAI LEG</t>
  </si>
  <si>
    <t>OPENED KUT ISOLATOR</t>
  </si>
  <si>
    <t>W. J Bush 300KVA S/S isolated due to 2no J&amp;P dropped, Flour Mills 2.5MVA S/S dropped 2no J&amp;P isolated &amp; Silver Plastic 1MVA S/S dropped 3no J&amp;P, RE S/Gari approved.</t>
  </si>
  <si>
    <t>After opened an isolator at Kofar Famfo as suspected faulty segment.</t>
  </si>
  <si>
    <t>after Dawaki Road isolator was opened.</t>
  </si>
  <si>
    <t>11KV NOMANS LAND</t>
  </si>
  <si>
    <t>Due to conductor on the ground at Court road by Ballat Hedges.</t>
  </si>
  <si>
    <t>After amended Y-phase J&amp;P fuse at Sadiq 500kVA S/s.</t>
  </si>
  <si>
    <t>After halliru Akilu isolator was opened.</t>
  </si>
  <si>
    <t>OPENED JOGANA ISOLATOR</t>
  </si>
  <si>
    <t>Amended Y-phase J&amp;P fuse at ATC 500kVA.</t>
  </si>
  <si>
    <t>Opened KATARDA isolator .</t>
  </si>
  <si>
    <t>OPENED FATIMA MUNZALI ISOLATOR</t>
  </si>
  <si>
    <t>WUDIL COMMERCIAL</t>
  </si>
  <si>
    <t>Removed a branch of tree that bridged the line @ Sahaf Hotel,</t>
  </si>
  <si>
    <t>Due to conductor on the ground at R/Zaki primary, LT conductor isolated</t>
  </si>
  <si>
    <t>Due to conductor on the ground at R/Zaki primary.it was restored after cut conductor was confirmed on R/Zaki 33kV fdr.</t>
  </si>
  <si>
    <t>FIRST UPRISER RETERMINATED R- PHASE</t>
  </si>
  <si>
    <t>Due to cut LT conductor on the ground @ Kadawa, amended</t>
  </si>
  <si>
    <t>Star Seed 2.5MVA S/S dropped 3no J&amp;P,  Bagco Super sacks 1MVA S/S isolated 2no J&amp;P dropped &amp; K&amp;H 1MVA S/S dropped 2no J&amp;P isolated,</t>
  </si>
  <si>
    <t>amended R-phase J&amp;P Makera 500KVA S/S</t>
  </si>
  <si>
    <t>Removed a bird that bridged Y-phase with channel iron @ Ruga Fada &amp; amended R-phase J&amp;P @ Gaida 500KVA S/S,</t>
  </si>
  <si>
    <t>11KV KOFAR NA'ISA</t>
  </si>
  <si>
    <t>Due to Filin D.O 500KVA S/S on fire, restored after isolated Daneji 500KVA S/S due to punctured R&amp;Y-phase XLPE cables</t>
  </si>
  <si>
    <t>Due to WTC 500KVA S/S on fire</t>
  </si>
  <si>
    <t>Due to cut conductor on the ground @ Federal Secretariat, It was discovered the cut conductor is on abundant project @ new filling station</t>
  </si>
  <si>
    <t>Removed a bird that bridged the line @ Gandu primary 500KVA S/S,</t>
  </si>
  <si>
    <t>11KV Kundila feeder tried and stayed after Y-phase shattered disc insulator replaced @Ahmed Musa T-off. TE Hotoro approved.</t>
  </si>
  <si>
    <t>OPENED MAIADUA, FAGO AND ZANGO LEGS</t>
  </si>
  <si>
    <t>Isolated the metering panel,</t>
  </si>
  <si>
    <t>11KV Gwarzo feeder tried and stayed patrolled nothing found. TE R/Zaki approved.</t>
  </si>
  <si>
    <t>no</t>
  </si>
  <si>
    <t>33kV MTN feeder was tried and stayed after isolated Bebeji oil 500kVA S/S due to Heavy Sound Heard from the Metering Panel. RE S/Gari approved.</t>
  </si>
  <si>
    <t>Due to pulled out conductor @ Yanguru village, LT conductor &amp; isolated the faulty portion @ Masallacin Hamza 500KVA S/S,</t>
  </si>
  <si>
    <t>33kV F/Mills feeder was tried and stayed  after reposition Y Phase jumper resting on Channel iron at Rumawa. RE S/Gari approved.</t>
  </si>
  <si>
    <t>33kV Tamburawa feeder was tried and stayed after nothing found. RE Panshekara approved.</t>
  </si>
  <si>
    <t>DAKATA 11KV FDR ISOLATED FOR LINE PATROL</t>
  </si>
  <si>
    <t>11kV Dakata feeder was tried and stayed after separated twisted conductors at Nababa Badamasi Road. TE  Kawaji approved.</t>
  </si>
  <si>
    <t>33kv sumaila</t>
  </si>
  <si>
    <t>Sumaila 33KV fdr was tried and stayed after opened Rungumau Isolator, RE JGS approved.</t>
  </si>
  <si>
    <t>33kv karaye</t>
  </si>
  <si>
    <t>33KV Law school feeder was tried and stayed after opened an isolator at Tarau as suspected faulty segment. RE KNW Dangora approved.</t>
  </si>
  <si>
    <t>33KV MTN feeder tried and stayed after Nasiha Plastic 500KVA isolated itself. RE S/Gari approved.</t>
  </si>
  <si>
    <t>[8/2, 21:46] K1 CENTRAL DISPATCH: @2122hrs - 33KV MTN feeder tried and failed after 2.5MVA Flour Mills and 1MVA Spinnal Tiles were opened. RE S/Gari approved. (OPENED JUMPER AT KWAKWACI</t>
  </si>
  <si>
    <t>TREE TRIMMING WAS CONDUCTED ALONG YAN GURU ROAD</t>
  </si>
  <si>
    <t>OPENED DARKI AND JIGAWARE</t>
  </si>
  <si>
    <t>11KV Hotoro feeder tag due to conductor on ground at Tsamiyar Boka. TE Hotoro reported. Tag on 11KV Hotoro feeder was removed after faulty portion isolated. TE Hotoro reported</t>
  </si>
  <si>
    <t>TREE TRIMMING WAS CONDUCTED ALONG THE LINE AND ALSO OPENED UNGOGO ISOLATOR</t>
  </si>
  <si>
    <t>33kV Angels feeder tried and stayed after 1MVA Agro Rubber isolated itself. RE KNI Zoo Road approved.</t>
  </si>
  <si>
    <t>33KV Gaskiya feeder was tried and stayed after opened Bompai leg. RE Kawaji approved.</t>
  </si>
  <si>
    <t>FAGO, SANDAMU AND ZANGO LEG WERE ISOLATED</t>
  </si>
  <si>
    <t>33KV Sumaila feeder was tried and stayed after branch of tree removed at Dan masara qtrs, RE JGS approved.</t>
  </si>
  <si>
    <t>1/0/00 23:15</t>
  </si>
  <si>
    <t>ISOLATED MAI TAKALMI 300KVA S/S DUE TO 2N0. J&amp;P DROPPED</t>
  </si>
  <si>
    <t>HAJ. FAIZA 500KVA S/S ISOLATED ITSELF</t>
  </si>
  <si>
    <t>OPENED KAFIN AGUR ISOLATOR</t>
  </si>
  <si>
    <t>33kV NNPC feeder was tried and stayed after opened Tinshama leg as suspected faulty segment. RE Hotoro approved.</t>
  </si>
  <si>
    <t>33KV Gano feeder was tried and stayed after opened Polac isolator. RE KNE Hotoro approved.</t>
  </si>
  <si>
    <t>33KV Bagauda feeder was tried and stayed after opened Tamburawa Isolator. RE Dangora approved.</t>
  </si>
  <si>
    <t>ISOLATED TANNERY 1MVA S/S DUE TO 2NO. J&amp;P DROPPED.</t>
  </si>
  <si>
    <t>replaced shattered y phase disc insulator, also isolated zenith bank 500kva s/s due to 2no J&amp;P Dropped</t>
  </si>
  <si>
    <t>11kV Tarauni feeder tried and stayed after Bashir Gumel 300KVA drop 1no J&amp;P it was ammended. TE Hotoro approved.</t>
  </si>
  <si>
    <t>BRANCH OF TREE REMOVED AT HAWAN DAWAKI</t>
  </si>
  <si>
    <t>11KV Ahmadu Bello feeder tried and stayed after branch of tree removed at Malm Natsugune.  TE HQ approved.</t>
  </si>
  <si>
    <t>REMOVED A BIRD THAT BRIDGED THE LINE AT BUK OLD SITE</t>
  </si>
  <si>
    <t>11KV Bank Road feeder was tried and stayed after Dr. Alkali Was opened TE HQ TSP approved.</t>
  </si>
  <si>
    <t>Jumper opened at Tijjani T - Off as Suspected Faulty segment affecting 10No Substations</t>
  </si>
  <si>
    <t>AMENDED PULLED OUT B- PHASE CONDUCTOR AT RYHAN STREET</t>
  </si>
  <si>
    <t>33KV SULE LAMIDO UNIVERSITY</t>
  </si>
  <si>
    <t>OPENED GIDAN SUGAR ISOLATOR</t>
  </si>
  <si>
    <t>OPENED GODAI ISOLATOR</t>
  </si>
  <si>
    <t>33KV Falgore feeder was tried and stayed after opened isolator at Kwanar Tudun Wada as suspected faulty segment. RE KNW Dangora approved.</t>
  </si>
  <si>
    <t>RE-OPENED GERAWA ISOLATOR</t>
  </si>
  <si>
    <t>33kV Dangote feeder was opened on Emergency with 13.0MW, due to B Phase Jumper touching concrete pole near BBY Super Sack Company. It was restored after opened A A Rano isolator, isolating faulty portion. RE KNI reported and approved.</t>
  </si>
  <si>
    <t>CONDUCTED TREE TRIMMING ALONG THE LINE.</t>
  </si>
  <si>
    <t>OPENED ABATTOIR ISOLATOR</t>
  </si>
  <si>
    <t>ISOLATED AJIWA WATER WORKS 2.5MVA S/S DUE TO PUNCTURED Y- PHASE XLPE CABLE</t>
  </si>
  <si>
    <t>REMOVED A BIRD THAT BRIDGED THE LINE AT BAKIN RUWA.</t>
  </si>
  <si>
    <t>OPENED ZAURA DANBABA ISOLATOR</t>
  </si>
  <si>
    <t>GEZAWA 33KV FEEDER LEFT OUT FOR PATROL</t>
  </si>
  <si>
    <t>Amended R phase shattered Pin insulator  at Kwana  Shida T Off.</t>
  </si>
  <si>
    <t>AMENDED CUT Y- PHASE CONDUCTOR AT WTC QUARTERS</t>
  </si>
  <si>
    <t>NOTHING WAS FOUND</t>
  </si>
  <si>
    <t>OPENED KANGIWA ISOLATOR</t>
  </si>
  <si>
    <t>DUE TO TILTED POLES WITHIN MALAM MADORI AS A RESULT OF HEAVY RAINFALL. Affected portion was isolated.</t>
  </si>
  <si>
    <t>OPENED UNGUWAR DAHIRU ISOLATOR</t>
  </si>
  <si>
    <t>Opened Tinshama isolator.</t>
  </si>
  <si>
    <t>REPOSITINED PULLED OUT B- PHASE CONDUCTOR OPPITE DAURAMA PLASTIC.</t>
  </si>
  <si>
    <t xml:space="preserve">Amended Y phase J&amp;P at ladiyo 500KVA S/S. </t>
  </si>
  <si>
    <t>Opened at Yalwawa area</t>
  </si>
  <si>
    <t>DUE TO TSAMIYAR BOKA 300KVA S/S ON FIRE, REPORTED BY ABDULRAHMAN OF AKTH TSP. S/S ISOLATED</t>
  </si>
  <si>
    <t>AMENDED 1 NO Y PHASE AT AA RANO 500KVA S/S</t>
  </si>
  <si>
    <t>DUE TO  DISCREPANCY OBSERVED R=B =0.7 WHILE Y = 0.1MW.</t>
  </si>
  <si>
    <t>DUE TO FIRE OUTBREAK AT KABUGA THIRD GATE, REPORTED BY RE KNN KABUGA, ISOLATED 3NO. BURNT PREPAID METERS.</t>
  </si>
  <si>
    <t>LT CONDUCTOR ON THE GROUND AT GADO DA MASU, REPORTEDBY YAHYA  SABIU OF K1</t>
  </si>
  <si>
    <t>OPENED YAN DODO ISOLATOR</t>
  </si>
  <si>
    <t>Gerawa isolated due t 2No J&amp;P dropped.</t>
  </si>
  <si>
    <t>opened yalwan faki isolator</t>
  </si>
  <si>
    <t>K/ TUDUNWADa isolatore opened</t>
  </si>
  <si>
    <t>Garko leg was isolated</t>
  </si>
  <si>
    <t>TEXTILE MILL 1.5MVA S/S ISOLATED</t>
  </si>
  <si>
    <t>opened High Court and Kaita leg</t>
  </si>
  <si>
    <t>OPENED BUK ISOLATOR</t>
  </si>
  <si>
    <t>Opened Tarau isolator,</t>
  </si>
  <si>
    <t>Re-posioned B-phase pull out conductor</t>
  </si>
  <si>
    <t>nothin found</t>
  </si>
  <si>
    <t>branch of tree was removed at BUK Staff school</t>
  </si>
  <si>
    <t>OPENED DANGORA ISOLATOR</t>
  </si>
  <si>
    <t>Mai adua and Zango legs opened</t>
  </si>
  <si>
    <t>Godai line isolator was opened</t>
  </si>
  <si>
    <t>Due to Discripancy observed, R = B = 5.0MW, Y = 0MW</t>
  </si>
  <si>
    <t>CBN Qtr 500KVA S/S isolated it self.</t>
  </si>
  <si>
    <t>Ringim Isolator was opened</t>
  </si>
  <si>
    <t>After Garko, Darki and Jigaware legs were isolated as suspected faulty segment.</t>
  </si>
  <si>
    <t xml:space="preserve">Tree trimming conducted along the line. </t>
  </si>
  <si>
    <t>TREE TRIMMING WAS CONDUCTED ALONG THE LINE</t>
  </si>
  <si>
    <t>500kva Usman bin Affan was isolated due to 2no J&amp;P Dropped</t>
  </si>
  <si>
    <t>Kangiwa isolator was opened</t>
  </si>
  <si>
    <t>RURU ISOLATOR OPENED</t>
  </si>
  <si>
    <t>Amending D-fitting resting on C/iron @ 300kva mobil relief</t>
  </si>
  <si>
    <t>Opened Car wash isolator,</t>
  </si>
  <si>
    <t xml:space="preserve">Branch of tree removed along the line </t>
  </si>
  <si>
    <t>Due to fire outbreak at Gujungu 500KVA S/S,  S/S WAS ISOLATED.</t>
  </si>
  <si>
    <t>Fago, Sandamu and Karkarku legs isolated</t>
  </si>
  <si>
    <t>Bichi, Kusada,&amp; Musawa legs opened</t>
  </si>
  <si>
    <t>DR.Jamil was opened</t>
  </si>
  <si>
    <t>Gwazaje isolator was opened</t>
  </si>
  <si>
    <t>Gadar Yanmata S/S DUE to 3no J&amp;P Dropped and replaced 2no. lightning arrestor</t>
  </si>
  <si>
    <t>REPOSITIONED PULL OUT CONDUCTOR B-PHASE BEHIND ADO BAYERO ROYAL CITY</t>
  </si>
  <si>
    <t>Branch of tree removed at gwammaja</t>
  </si>
  <si>
    <t>Garu isolator was opened</t>
  </si>
  <si>
    <t>Replaced shatted disc insulator Y phase near Awbel filling station</t>
  </si>
  <si>
    <t>Danbatta Leg isolated</t>
  </si>
  <si>
    <t>KAYAWA WAS ISOLATED</t>
  </si>
  <si>
    <t>AMENDED B- PHASE J&amp;P AT BOMA ROAD BY SARKIN YAKI 500KVA S/S.</t>
  </si>
  <si>
    <t>opened Zauran Danbaba</t>
  </si>
  <si>
    <t>33KV Jamilu gwabna was opened</t>
  </si>
  <si>
    <t>Dr. Alkali isolator was opened</t>
  </si>
  <si>
    <t>REMOVED A BIRD THAT BRIDGED THE LINE AT ALKALI, OPENED JOGANA ISOLATOR.</t>
  </si>
  <si>
    <t>DUE TO DISCREPANCY OBSERVED R=Y = 3.6MW WHILE B = 0MW. AMENDED CUT B- PHASE JUMPER AT KARMA.</t>
  </si>
  <si>
    <t>OPENED GWARAM LEG</t>
  </si>
  <si>
    <t>OPENED DANMASARA ISOLATOR</t>
  </si>
  <si>
    <t>OPENED CAR WASH ISOLATOR</t>
  </si>
  <si>
    <t>OPENED ALKALAM UNIVERSITY ISOLATOR</t>
  </si>
  <si>
    <t>TRAnsient</t>
  </si>
  <si>
    <t>After opened Ringumau isolator as suspected faulty segment.</t>
  </si>
  <si>
    <t>After tree trimming conducted along the line.</t>
  </si>
  <si>
    <t>OPENED TARAU ISOLATOR</t>
  </si>
  <si>
    <t>After Danja Leg was Isolated</t>
  </si>
  <si>
    <t>After opened an isolator at Garu as suspected faulty segment.</t>
  </si>
  <si>
    <t>OPENED TAMBURAWA ISOLATOR</t>
  </si>
  <si>
    <t>OPENED KWANAR T/WADA ISOLATOR</t>
  </si>
  <si>
    <t>OPENED ZAURAN DANBABA ISOLATOR</t>
  </si>
  <si>
    <t>ISOLATED DR JAMIL 33KV FEEDER</t>
  </si>
  <si>
    <t>After patrol discovered TIAMMING Rice Mill 2.5MVA S/S dropped 2no J&amp;P third one isolated</t>
  </si>
  <si>
    <t>OPENED AJIWA AND KAITA LEGS</t>
  </si>
  <si>
    <t>OPENED ZAURAN DAN BABA ISOLATOR</t>
  </si>
  <si>
    <t>After Mahuta leg Isolated</t>
  </si>
  <si>
    <t>After opened Jogana isolator as suspected faulty segment.</t>
  </si>
  <si>
    <t>11KV MAR</t>
  </si>
  <si>
    <t>33KV GASKI</t>
  </si>
  <si>
    <t>After Nassarawa isolator opened.</t>
  </si>
  <si>
    <t>33KV SUMAI</t>
  </si>
  <si>
    <t>After a branch of tree was removed from the line at Takai and also Rungumau isolator opened. The line was patrolled sequel to report of a branch of tree on the line.</t>
  </si>
  <si>
    <t>After opened an isolator of 11KV Tamburawa water plant due to Carbonised on Red and Blue phases of its metering panel</t>
  </si>
  <si>
    <t>After Mustapha Rice Mill 300KVA S/S as suspected faulty segment.</t>
  </si>
  <si>
    <t>11KV BANK</t>
  </si>
  <si>
    <t>Hajj Camp isolator was opened</t>
  </si>
  <si>
    <t>Y phase jumper amended touching C/Iron at the back of DKT T/S</t>
  </si>
  <si>
    <t>132KV incomer breaker at Tamburawa T/S was opened on emergency due to serious oil leakage observed on 30/40MVA</t>
  </si>
  <si>
    <t>Nothing found</t>
  </si>
  <si>
    <t>AA Rano isolator was opened</t>
  </si>
  <si>
    <t>11KV  UNGUWA UKU</t>
  </si>
  <si>
    <t>1st upriser was opened</t>
  </si>
  <si>
    <t>Amend Y-Phase j&amp;p that dropped at 200kva jigaware T-off s/s</t>
  </si>
  <si>
    <t>After opened AA Rano and Kwanar Ganduje isolators as suspected faulty segment</t>
  </si>
  <si>
    <t>Godai leg was isolated</t>
  </si>
  <si>
    <t>After patrol discovered Masallacin Murtala 500KVA S/S dropped 2no J&amp;P third one isolated.</t>
  </si>
  <si>
    <t>Polac isolator was opened</t>
  </si>
  <si>
    <t>11KV U/UKU</t>
  </si>
  <si>
    <t>Due to burnt B-Phase XLPE Cable</t>
  </si>
  <si>
    <t>After opened an isolator at Hajj camp as suspected faulty segment.</t>
  </si>
  <si>
    <t>For safe working space to amend cut jumper at Dantata plastic.</t>
  </si>
  <si>
    <t xml:space="preserve">jigaware amended y- phase J&amp;P </t>
  </si>
  <si>
    <t>due to Mai unguwa 500KVA S/S on fire,</t>
  </si>
  <si>
    <t>Rungumau isolator opened</t>
  </si>
  <si>
    <t>Nassarawa leg was isolated</t>
  </si>
  <si>
    <t>Tree trimming behind Dakata T/S</t>
  </si>
  <si>
    <t>Dawakin kudu 300kva 1no. J&amp;P Dropped R phase amened</t>
  </si>
  <si>
    <t>33KV Jahun feeder was tried &amp; stayed after opened Shuwarin and Dantata isolators, RE JGS approved.</t>
  </si>
  <si>
    <t>33KV Garko feeder was tried and stayed after Garko, Darki and Jigaware legs were isolated as suspected faulty segment. RE KNE Hotoro approved.</t>
  </si>
  <si>
    <t>Kasada and Musawa leg opened</t>
  </si>
  <si>
    <t>33KV Bagauda feeder tried and stayed after bat bridged the line at Farida Farm and R-phase touching channel iron at Al-Mokab it was removed at repositioned respectively. RE Dangora approved.</t>
  </si>
  <si>
    <t>After rectifying fault on *11KV Maiduguri breaker*. Broken spring charging mechanism replaced.</t>
  </si>
  <si>
    <t>Yelwan faki isolator was opened</t>
  </si>
  <si>
    <t>Gwazaye isolator wasw opened</t>
  </si>
  <si>
    <t>BUK ISOLATOR  WAS OPENED</t>
  </si>
  <si>
    <t>33KV Birniwa feeder was tried and stayed after Gayin isolator opened. RE JGN approved.</t>
  </si>
  <si>
    <t>Danmasara isolator was opened</t>
  </si>
  <si>
    <t>33kV M/Nasir feeder was tried and stayed with nothing found. RE KTS Malumfashi approved.</t>
  </si>
  <si>
    <t>33kV Gumel feeder was tried &amp; stayed okay, Kaugama leg was isolated. RE JGS approved.</t>
  </si>
  <si>
    <t>33KV Kurna feeder after opened Abattoir isolator. RE Dala approved.</t>
  </si>
  <si>
    <t>11KV Maje feeder tried and stayed after branch of tree removed along the line. TE Hadejia approved.</t>
  </si>
  <si>
    <t>33KV BUK feeder was tried and stayed after opened isolator at Kofar Famfo. RE KNN Kabuga approved.</t>
  </si>
  <si>
    <t>to carryout tree trimming along the line.</t>
  </si>
  <si>
    <t>to enable KEDCO contractor Mr Idris Muhammad  Aminu Yakasai LTD effect correctional observations by NEMSA @300KVA 11/0.415 S/S MET West Steel Kofar Dawanau Kano.</t>
  </si>
  <si>
    <t>33kV B/Kudu feeder tried and stayed after line element cut off at Gaudi Ruru it was replaced also Dan Masara Isolator is in open position. RE JGS approved.</t>
  </si>
  <si>
    <t>to open Dangi flyover isolated to enable Kano Industrial Region Crew from Zoo Road TSP to eliminate the flash point between Ajasa and Dr. Bala feeders at Iyaka Road opposite Audu Bako secretariat.</t>
  </si>
  <si>
    <t>to eliminate flash point at Iyaka Road by Ibrahim Dabo Road and to retension sagged HT LINE AT Audu Bako Secretariat</t>
  </si>
  <si>
    <t>to enable us replace HT wooden pole along Rehan Street Tudun Fulani closed to Engr. Hussain Resident.</t>
  </si>
  <si>
    <t>to KEDCO contractor to allow Matrix International Nig LTD to relocate KEDCO facilities at no 452 Gawuna by Club road.</t>
  </si>
  <si>
    <t>to enable carryout tree trimming along the line.</t>
  </si>
  <si>
    <t xml:space="preserve"> 33KV University feeder was tried and stayed after opened isolator at Gidan Sugar. RE JGN approved.</t>
  </si>
  <si>
    <t>After Dr. Alkali Isolator was Opened</t>
  </si>
  <si>
    <t>to enable him Eliminate flash point between 11kV Ajasa and 11kV dr Bala feeders at Zaria Road by Audu Bako secretariat Kano.</t>
  </si>
  <si>
    <t>33KV BIRNIW</t>
  </si>
  <si>
    <t>TASHEGUWA AND GARIN MAGAJI LEGS OPENED</t>
  </si>
  <si>
    <t xml:space="preserve"> 33KV Hausa feeder tried and stayed after Ganuwar Kuka isolator was opened. RE JGN approved.</t>
  </si>
  <si>
    <t>33KV Gaskiya feeder tried and stayed after Nassarawa isulator opened as suspected segment. RE KNE Kawaji approved.</t>
  </si>
  <si>
    <t>33KV Kofar Guga tried and stayed after bird bridged the line at Orthopedic Katsina. RE KTN approved.</t>
  </si>
  <si>
    <t>33KV Gano feeder tried and stayed after blow 3no fused at Daurawar Naabba T-off. RE KNE Hotoro approved.</t>
  </si>
  <si>
    <t>33kV B/Kudu feeder tried and stayed after Dan Masara Isolator was opened. RE JGS approved.</t>
  </si>
  <si>
    <t>After Shuwarin Isolator was Opened</t>
  </si>
  <si>
    <t>KAFIN AGUR ISOLATOR OPENED</t>
  </si>
  <si>
    <t>11KV Mai Ruwa feeder tried and stayed after replaced broken disc insulator R-phase at Barabari T-off. TE KT Road approved.</t>
  </si>
  <si>
    <t>HAWAN DAWAKI ISOLATOR</t>
  </si>
  <si>
    <t>11KV N.N.D.C.</t>
  </si>
  <si>
    <t xml:space="preserve"> 11KV NNDC feeder was opened on emergency due to vehicle hit LT pole at Yahaya Gusau Road, NNDC link 3. Reported by TE Sharada TSP. Faulty portion was isolated.</t>
  </si>
  <si>
    <t>After opened Zara isolator as suspected faulty segment.</t>
  </si>
  <si>
    <t>After opened an isolator at Abattoir as suspected faulty segment.</t>
  </si>
  <si>
    <t>After opened an isolator at *Dorowar Na - abba* due to burnt Yellow &amp; Blue phases male contact.</t>
  </si>
  <si>
    <t>After opened an isolator at Dangora as suspected faulty segment.</t>
  </si>
  <si>
    <t>After opened KUT isolator as suspected faulty segment.</t>
  </si>
  <si>
    <t>After Kofar Famfo isolator was opened.</t>
  </si>
  <si>
    <t>11KV MURTALA MOHD</t>
  </si>
  <si>
    <t>After opened Tamburawa isolator as suspected faulty segment.</t>
  </si>
  <si>
    <t>After Tudun Wada leg isolated as suspected faulty segment</t>
  </si>
  <si>
    <t>Opened Gidan Sugar isolato</t>
  </si>
  <si>
    <t>After 33kv Dr. Jamil Isolated</t>
  </si>
  <si>
    <t>After opened an isolator at Zauran Danbaba as suspected faulty segment.</t>
  </si>
  <si>
    <t>Isolated Sharuwa T-off due to Y-phase fuse line element cut,</t>
  </si>
  <si>
    <t>Transinet</t>
  </si>
  <si>
    <t>Removed a Owl that bridged the line @ U/Fulani</t>
  </si>
  <si>
    <t>After tree trimming was conducted at Jada</t>
  </si>
  <si>
    <t>33KV Birniwa feeder tried and stayed after R-phase J&amp;P amended at Kudit 200KVA S/S. RE JGN approved.</t>
  </si>
  <si>
    <t>Removed a Bird that bridged the line  Tudun Ginsau,</t>
  </si>
  <si>
    <t>OPENED ZAURAN DAN BABA</t>
  </si>
  <si>
    <t xml:space="preserve">For safe working space to enable Kedco contractor Bok Engineering to change source for Alh. Abubakar Lawan 50KVA S/S from H/Estate 11kV fdr to Dala Foods 11kV fdr </t>
  </si>
  <si>
    <t>OPENED DR JAMIL FDR</t>
  </si>
  <si>
    <t xml:space="preserve">To enable Kedco contractor Al-Ihsan Engineering relocate HT poles @ Sani Abacha Youth Centre Madobi Road </t>
  </si>
  <si>
    <t>To enable KEDCO Contractor SANROUK Engineering services continue with rehabilitation work along the line under Capex project,</t>
  </si>
  <si>
    <t xml:space="preserve">For safe working space to enable Kedco contractor Digibit Control install 1.5MVA 33/11kV &amp; 1.0MVA 11/0.415kV Transformers @ Asin Integrated Farms LTD </t>
  </si>
  <si>
    <t>To effect corrections/observations by Nemsa on Sahaibco InternationalShopping Complex Karkasara kano,</t>
  </si>
  <si>
    <t>To enable Kedco contractor Digibit Control install 1.5MVA 33/11kV &amp; 1.0MVA 11/0.415kV Transformers @ Asin Integrated Farms LTD</t>
  </si>
  <si>
    <t>OPENED ZANGO ISOLATOR</t>
  </si>
  <si>
    <t>11KN KANTI</t>
  </si>
  <si>
    <t>To enable Kedco contractor Khaleesha Electrical install 100KVA Transformer @A.A Rano filling station Kazaure</t>
  </si>
  <si>
    <t xml:space="preserve">For safe working space to enable Kedco contractor Bok Engineering install Alh. Abubakar Lawan 50KVA S/S along Sharada Road, </t>
  </si>
  <si>
    <t xml:space="preserve">Opened High Court and Kaita leg, </t>
  </si>
  <si>
    <t>TRANSIEN</t>
  </si>
  <si>
    <t>OPENED DANJA ISOLATOR</t>
  </si>
  <si>
    <t>SHATTERED Y P DISC INSULATOR REPLACED AT BAREBARE /UNGUWAN HAMIDA T-OFF</t>
  </si>
  <si>
    <t>11KV Maiduguri feeder tried and stayed after opened Yandodo isolator as suspected faulty segment. TE Hotoro approved.</t>
  </si>
  <si>
    <t>ZAURAN DANBABA OPENED</t>
  </si>
  <si>
    <t>Due to Bashir Kazaure 200KVA S/S observed smoking, WAS  restored back after isolated Bashir Kazaure 200KVA S/S due to R-phase punctured XLPE cable. TE Hotoro approved.</t>
  </si>
  <si>
    <t>11kV Kabuga feeder was restored after amended loose B Phase XLPE Cable touching the Body of Transformer at Habibu Sadik 500kVA S/S. TE R/Zaki certified.</t>
  </si>
  <si>
    <t>11kV Gwarzo Road feeder was tried and stayed after removed a branch of tree at Gwarzo Road opposite Motor Park. TE R/Zaki approved.</t>
  </si>
  <si>
    <t>11KV Badawa feeder opened on emergency with 3.2MW due to LT pole broken at Garba Link. Faulty portion was isolated. TE Badawa approved.</t>
  </si>
  <si>
    <t>RUNGUMAU OPENED</t>
  </si>
  <si>
    <t>ISOLATED  33KV GAYA FOR LINE PaTROL</t>
  </si>
  <si>
    <t>11KV Ahmadu Bello feeder tried and stayed after isolator at Dawaki road as suspected faulty segment. TE HQ TSP approved.</t>
  </si>
  <si>
    <t>OPENED JIGAWARE, GARKO AND DARKI LEGS</t>
  </si>
  <si>
    <t>PROSPER JUNCTION OPENED</t>
  </si>
  <si>
    <t>33KV Bagauda feeder was tried and stayed after opened Tamburawa Isolator, RE Dangora approved.</t>
  </si>
  <si>
    <t>opened garin magaji leg</t>
  </si>
  <si>
    <t>REPOSITIONED PULLED OUT R&amp;B PHASES CONDUCTORS BEHIND HADEJIA TS</t>
  </si>
  <si>
    <t>OPENED AUYO LEG</t>
  </si>
  <si>
    <t>11kV Kabuga feeder was opened on Emergency with 3.5MW, due to Abnormal Sound Heard from Habibu Sadik 500kVA S/S. TE Dorayi reported. OPENED GIDAN LEDA ISOLATOR</t>
  </si>
  <si>
    <t>ISOLATED 33KV DR JAMIL FEDDER FOR LINE PATROL</t>
  </si>
  <si>
    <t>amended r- PHASE J&amp;P AT BABALLE JAJI 500KVA S/S</t>
  </si>
  <si>
    <t>REPOSITIONED PULLED OUT Y- PHASE CONDUCTOR AT WUDIL GENERAL HOSPITAL.</t>
  </si>
  <si>
    <t>OPENED POLAC ISOLATOR</t>
  </si>
  <si>
    <t>AMENDED CUT R- PHASE CONDUCTOR AT NEW ROAD BY MOTOR PARK.</t>
  </si>
  <si>
    <t>TAMBURAWA ISOLATOR WAS OPENED</t>
  </si>
  <si>
    <t>AMENDED B- PHASE J&amp;P AT SANI MASHAL 200KVA S/S</t>
  </si>
  <si>
    <t>33KV CBN feeder was tried and stayed after opened Halliru Akilu isolator.  RE KNC Nass. approved.</t>
  </si>
  <si>
    <t>SS1 300KVA S/S ISOLATED ITSELF</t>
  </si>
  <si>
    <t>OPENED DAWAKI ROAD ISOLATOR</t>
  </si>
  <si>
    <t>11KV AUDO BAKO</t>
  </si>
  <si>
    <t>OPENED UNGOGO ISOLATOR</t>
  </si>
  <si>
    <t xml:space="preserve">Amended Y-phase J&amp;P @ Major Hadi relief 300KVA S/S, </t>
  </si>
  <si>
    <t>AMENDED B- PHASE J&amp;P AT MOTAR SOJA 500KVA S/S</t>
  </si>
  <si>
    <t>CONDUCTED TREE TRIMMING ATGGC DALA AND ISOLATED KABARIN WALI 500KVA S/S DUE TO 2NO. J&amp;P DROPPED.</t>
  </si>
  <si>
    <t xml:space="preserve">Amended R-phase J&amp;P @ R/Lemo Kuto 500KVA S/S, </t>
  </si>
  <si>
    <t>REMOVED BRANCH OF TREE ON THE LINE AT MAKAMA.</t>
  </si>
  <si>
    <t>33KV Dangote feeder was tried and stayed after opened AA Rano and Kwanar Ganduje isolators as suspected faulty segment . RE KNI Sharada approved.</t>
  </si>
  <si>
    <t>AMENDED B- PHASE J&amp;P AT RAIRAYIN ISA RELIEF 300KVA S/S</t>
  </si>
  <si>
    <t>REPOSITIONED B- PHASE CONDUCTOR RESTING ON CONCRETE POLE AT DUBAI MARKET</t>
  </si>
  <si>
    <t>A11 ISOLATOR WAS OPENED</t>
  </si>
  <si>
    <t>33KV BUK feeder was tried and stayed after Kofar Famfo isolator was opened. RE KNN Kabuga axis approved.</t>
  </si>
  <si>
    <t>Law School 33KV fdr was tried and stayed after opened Tarau isolator, RE Dangora approved.</t>
  </si>
  <si>
    <t>AMENDED Y- PHASE J&amp;P AT AM PLASTIC 500KVA S/S</t>
  </si>
  <si>
    <t>amended r- phase j&amp;p at jaen makera 500kva s/s</t>
  </si>
  <si>
    <t>33KV CHALAWA W/WORKS</t>
  </si>
  <si>
    <t xml:space="preserve"> - 33KV Falgore feeder was tried and stayed after Gidan Kwano  Isolator opened as suspected faulty segment. RE KNW Dangora approved.</t>
  </si>
  <si>
    <t>OPENED GODAI LEG</t>
  </si>
  <si>
    <t>CONDUCTED TREE TRIMMING AT WANZAMAI</t>
  </si>
  <si>
    <t>REPOSITIONED B- PHASE CONDUCTOR RESTING ON CONCRETE POLE AT AJAWA</t>
  </si>
  <si>
    <t>11KV Daurama feeder tried and stayed after branch of tree removed at Dumurkol village. TE Daura approved</t>
  </si>
  <si>
    <t>OPENED JUMPER AT GIDAN MALAMAI AFFECTING 9NO. S/S</t>
  </si>
  <si>
    <t>@0804hrs11KV Bank Road feeder tried and stayed after amended 1no J&amp;P at Agric 500KV. TE HQ approved.</t>
  </si>
  <si>
    <t>ALH. SULE RELIEF 500KVA S/S ISOLATED ITSELF</t>
  </si>
  <si>
    <t>REPOSITIONED B- PHASE CONDUCTOR AT SALLARI BABBA LAYI AND YAN ITACE 500KVA S/S WAS ISOLATED DUE TO 2NO. J&amp;P DROPPED.</t>
  </si>
  <si>
    <t>11KV YENLEMO</t>
  </si>
  <si>
    <t>R AT DUTSE INJ. S/S</t>
  </si>
  <si>
    <t>AMENDED CUT B- PHASE JUMPER AT SHEKAR MAI DAKI</t>
  </si>
  <si>
    <t>Removed a Bird that bridged the line @ Garu village,</t>
  </si>
  <si>
    <t xml:space="preserve">ISOLATED 33KV U/UKU </t>
  </si>
  <si>
    <t>DUE TO DISCREPANCY OBSERVED R=B =2.7MW WHILE Y = 0MW. AMENDED CUT Y- PHASE JUMPER ON FIRST UPRISER.</t>
  </si>
  <si>
    <t>ISOLATED BASCO 2.5MVA S/S DUE TO 2NO J&amp;P DROPPED</t>
  </si>
  <si>
    <t>OPENED GERAWA ISOLATOR</t>
  </si>
  <si>
    <t>-</t>
  </si>
  <si>
    <t>A BIRD TOUCH THE LINE AND FELL DOWN</t>
  </si>
  <si>
    <t>AMENDED CUT B- PHASE JUMPER AT KERD.</t>
  </si>
  <si>
    <t>OPENED ALKAM ISOLATOR</t>
  </si>
  <si>
    <t>REMOVED A BIRD THAT BRIDGED THE LINE AT GRA QTRS.</t>
  </si>
  <si>
    <t>AMENDED B- PHASE J&amp;P AT TAJUDEEN 500KVA S/S</t>
  </si>
  <si>
    <t>REPLACED SHATTERED Y- PHASE POT INSULATOR AT GARU MAKABARTA</t>
  </si>
  <si>
    <t>KWANKWASIYYA 500KVA S/S ISOLATED ITSELF</t>
  </si>
  <si>
    <t>U/UKU 11KV FEEDER LEFT OUT FOR PATROL</t>
  </si>
  <si>
    <t>OPENED LAMBU ISOLATOR</t>
  </si>
  <si>
    <t>SHARUBUTU 500KVA S/S ISOLATED ITSELF</t>
  </si>
  <si>
    <t>Isolated Elison Hotel 500KVA S/S due to R-phase punctured XLPE cable</t>
  </si>
  <si>
    <t>DUE TO S/S ON FIRE AT NOMANS LAND, ISOLATED MTN 50KVA BOOSTER S/S DUE TO 2NO. J&amp;P DROPPED.</t>
  </si>
  <si>
    <t>HEAVY EXPLOSION ALONG 15MVA TR3 AFFECTING LAMIDO 11KV FEEDER</t>
  </si>
  <si>
    <t xml:space="preserve">Apened A11 Isolator, </t>
  </si>
  <si>
    <t xml:space="preserve">Removed a Bird that bridged the line @ Bakin Kogi, </t>
  </si>
  <si>
    <t>The tripping was due to closing Bagco I 2.5MVA S/S earlier dropped 2no J&amp;P after tested OK, it was opened back</t>
  </si>
  <si>
    <t>FLOUR MILLS 1MVA S/S ISOLATED ITSELF</t>
  </si>
  <si>
    <t xml:space="preserve">Discrepancy observed R= 1.8MW while Y=B=9.6MW,  Amended R-phase cut jumper on Polac isolator, </t>
  </si>
  <si>
    <t xml:space="preserve">Discrepancy observed R= 1.8MW while Y=B=9.6MW,  Amended R-phase cut jumper on Polac isolator,AMENDED CUT B PHASE JUMPER AT MAKOLE </t>
  </si>
  <si>
    <t>OPENED GERAWA LEG</t>
  </si>
  <si>
    <t>REMOVED A BRANCH OF TREE AT HAMZA ABDULLAHI MOSQUE ALONG NGURU ROAD</t>
  </si>
  <si>
    <t>tree trimming condcuted on the line</t>
  </si>
  <si>
    <t>GAYA LEFT OUT FOR PATROL</t>
  </si>
  <si>
    <t>11KV JAMARE</t>
  </si>
  <si>
    <t>TREE TRIMMING CONDUCTED AT TUDUN GUSAU AND A BIRD REMOVED FROM THE LINE AT YAN LAHADI</t>
  </si>
  <si>
    <t>OPENED MUSAAWA BICHI AND KUSADA LEGS</t>
  </si>
  <si>
    <t xml:space="preserve"> Tamburawa W/Plant requested to opened Tamburawa W/Plant 11kV fdr due to tripping on their breaker,</t>
  </si>
  <si>
    <t>AMENDED R PHASE JUMPER AT SCHOOL OF NURSING T OFF</t>
  </si>
  <si>
    <t>Opened Rungumau isolato</t>
  </si>
  <si>
    <t>ISOLATED MAI ADUA, ZANGO, FAGO AND SANDAMU LEGS</t>
  </si>
  <si>
    <t>ISOLATED WALAWA AND RIMAYE T- OFF'S.</t>
  </si>
  <si>
    <t>Opened Hawan Dawaki Isolator,</t>
  </si>
  <si>
    <t>AHUTA HOTEL 500KVA S/S dropped 2no, third one isolated</t>
  </si>
  <si>
    <t>OPENED HALIRU HAKILU ISOLATOR</t>
  </si>
  <si>
    <t>BYPASSED Y PHASE CUT UMPER AT GIDAN MAZA ISOLATOR, APPROVAL GIVEN AT 11:12</t>
  </si>
  <si>
    <t>CHIRANCHI GABAS 500KVA S/S DROPPED 1NO, AMENDED</t>
  </si>
  <si>
    <t>CUT Y PHASE UPRISER OBSERVED AFTER INSPECTION, AMENDED</t>
  </si>
  <si>
    <t>DUE TO DISCREPANCY OBSERVED, CUT Y- PHASE JUMPER WAS AMENDED AT K/NASSARAWA FLYOVER</t>
  </si>
  <si>
    <t>TISHAMA OLD 500KVA S/S ON FIRE, OPENED JOGANA ISOLATOR</t>
  </si>
  <si>
    <t>CUT CONDUCTOR ON THE GROUND, AMENDED</t>
  </si>
  <si>
    <t>AMENDED R PHASE J&amp;P AT 500KVA S/S MALAMAI</t>
  </si>
  <si>
    <t>OPENED GAYIN LEG</t>
  </si>
  <si>
    <t>REMOVED A LIZARD THAT BRIDGED THE LINE AT LAMIRE VILLAGE.</t>
  </si>
  <si>
    <t>DISCREPANCY OBSERVED B = 1.0MW, R=Y=2.3MW. PATROLLED NOTHING AND ALL PHASES OK.</t>
  </si>
  <si>
    <t>OPENED SHUWARIN AND DANTATA ISOLATORS</t>
  </si>
  <si>
    <t>BIRDS BRIDGED THE LINE AND FELL DOWN AT PRP INJ S/S SWITCH YARD</t>
  </si>
  <si>
    <t>BUK Isolator was opened</t>
  </si>
  <si>
    <t>RETERMINATED PUNCTURED UNDER GROUND CABLE</t>
  </si>
  <si>
    <t>DUE TO ARCING ON AHUTA HOTEL ISOLATOR, THE ISOLATOR WAS OPENED.</t>
  </si>
  <si>
    <t>DARKI, JIGAWARE, GARKO LEGS WERE ISOLATED.</t>
  </si>
  <si>
    <t>CGC TILES COMPANY ISOLATOR OPENED.</t>
  </si>
  <si>
    <t>OPENED RUNGUMAU ISOLATOR</t>
  </si>
  <si>
    <t>ISOLATED DORAWA NA'ABBA T-OFF DUE TO R- PHASE CUT LINE FUSE ELEMENT.</t>
  </si>
  <si>
    <t>Shuwarin and Dantata legs,were isolated</t>
  </si>
  <si>
    <t>Branch of tree bridge the line removedat Shagumba village</t>
  </si>
  <si>
    <t>DUE TO DISCREPANCY OBSERVED R = 0MW WHILE Y=B = 4.0MW.</t>
  </si>
  <si>
    <t>Tunshama leg was isolated</t>
  </si>
  <si>
    <t>KUT ISOLATOR WAS OPENED</t>
  </si>
  <si>
    <t>For safe working space to carry out substation weeding at 33/11KV IDH &amp; PRP Substation</t>
  </si>
  <si>
    <t>S.G no 28815 was issued on 33KV Dawaki leg to carry out tree trimming on 33KV Dawaki leg, L/L=3.2MW..</t>
  </si>
  <si>
    <t>For safe working space to open jumper at yan itace  T-off to replaced cut conductor</t>
  </si>
  <si>
    <t>Bird bridge the line and removed at Afdin company</t>
  </si>
  <si>
    <t>For safe working space to carry out weed control at Brisco</t>
  </si>
  <si>
    <t>Dr. Jamil feeder was isolated</t>
  </si>
  <si>
    <t>Zaura isolator was opened</t>
  </si>
  <si>
    <t>33Kv Dawanau feeder was isolator</t>
  </si>
  <si>
    <t>Tree trimming at Airport and Branch of tree was removed</t>
  </si>
  <si>
    <t>Garko &amp; Rimi legs isolated</t>
  </si>
  <si>
    <t>Kafin Agur isolator was isolated</t>
  </si>
  <si>
    <t>Jogana isolator was opened</t>
  </si>
  <si>
    <t>Kaita and High Court Isolator was opened</t>
  </si>
  <si>
    <t>RETERMINATED PUNCTURED UPRISER CABLE</t>
  </si>
  <si>
    <t>Old Kowa 500Kva s/s on fire, ISOLATED</t>
  </si>
  <si>
    <t>OPENED ZAUREN DANBABA ISOLATOR</t>
  </si>
  <si>
    <t>GEZAWA LEFT OUT FOR PATROL</t>
  </si>
  <si>
    <t>OPENED HALLIRU AKILU ISOLATOR</t>
  </si>
  <si>
    <t>OPENED BICHI AND KUSADA LEGS</t>
  </si>
  <si>
    <t>AMENDED R PHASE J&amp;P AT K/MAZUGAL 500KVA S/S</t>
  </si>
  <si>
    <t>11kV H/Usman feeder was tried and stayed after separated Twisted conductor at CBN Junction. TE Urban approved.</t>
  </si>
  <si>
    <t>33kV Sumaila feeder was tried &amp; stayed okay, Rungumau isolator was opened. RE JGS approved.</t>
  </si>
  <si>
    <t xml:space="preserve"> 33kV Birniwa feeder was tried and stayed after opened Gari Magaji and Tasheguwa legs. RE JGN approved.</t>
  </si>
  <si>
    <t>33kV K/Hausa feeder tried and stayed after opened Ganuwar Kuka and Yanleman legs. It earlier tripped on E/F with 2.3MW. RE JGN approved.</t>
  </si>
  <si>
    <t>33kV Hadejia feeder was tried &amp; stayed okay, G/Leda isolator was opened. RE JGN approved.</t>
  </si>
  <si>
    <t xml:space="preserve"> 33kV Kwankwaso feeder was tried &amp; stayed okay, Garu isolator was opened. RE Panshekara approved.</t>
  </si>
  <si>
    <t>33kV Jahun feeder was tried &amp; stayed okay, Dantata &amp; Shuwarin isolators were opened. RE JGS approved.</t>
  </si>
  <si>
    <t>OPENED MAIGATARI GARKI AND BOSUWA LEGS</t>
  </si>
  <si>
    <t>33kV Gaskiya feeder was tried and stayed after opened Nassarawa and Gerawa isolators. RE Kawaji approved.</t>
  </si>
  <si>
    <t>33kV F/Mills feeder was tried and stayed after opened jumper at kwanar Yantifa due to 5no Broken HT Poles, faulty portion isolated. RE S/Gari approved.</t>
  </si>
  <si>
    <t>JOGANA ISOLATOR WAS OPENED</t>
  </si>
  <si>
    <t>33kV IDH feeder was tried and stayed after opened Hajj Camp and Flying Training School isolator. RE S/Gari approved</t>
  </si>
  <si>
    <t>33kV MTN feeder was tried and stayed after isolated MTN 1MVA S/S due to 2no J&amp;P dropped. RE S/Gari approved.</t>
  </si>
  <si>
    <t xml:space="preserve"> 33kV Gaya feeder was tried and stayed after replaced 2no Pot insulators at Wudil Inj S/S also KUT isolator in opened position. RE Hotoro approved.</t>
  </si>
  <si>
    <t xml:space="preserve">AMENDED B PHASE J&amp;P AT ALU AVENUE 500KVA </t>
  </si>
  <si>
    <t xml:space="preserve"> 11kV A/Bako feeder was tried and stayed after nothing found. TE HQ approved.</t>
  </si>
  <si>
    <t>NOTHING</t>
  </si>
  <si>
    <t>33kV CBN feeder was tried and stayed after opened Aliyu Bin Abi Talib Isolator. RE KNC approved.</t>
  </si>
  <si>
    <t>11kV A/Bako feeder was tried and stayed after nothing found. TE HQ approved.</t>
  </si>
  <si>
    <t>DAN MASARA OPENED</t>
  </si>
  <si>
    <t>11kV U/Uku feeder was tried and stayed after removed a bat Garu Village also B Phase Jumper reposition at Baba Mohd T-off. TE Hotoro approved.</t>
  </si>
  <si>
    <t>11kV Nomansland feeder after isolated Zungeru/Court Road 500kVA S/S due to R Phase burnt XLPE Cable.</t>
  </si>
  <si>
    <t>Ungogo isolator was opened</t>
  </si>
  <si>
    <t>33kV R/Zaki feeder was tried and stayed after opened A11 isolator. RE Kabuga approved.</t>
  </si>
  <si>
    <t>33kV Kurna feeder was tried and stayed after opened Sharubutu Isolator. RE Dala approved.</t>
  </si>
  <si>
    <t>33kV BUK feeder was tried and stayed after opened K/Famfo isolator. RE Kabuga approved.</t>
  </si>
  <si>
    <t>R PHASE JUMPER TOUCHING CONCREATE POLE ALONG BUK ROAD.</t>
  </si>
  <si>
    <t xml:space="preserve">Tree trimming was conducted on the line </t>
  </si>
  <si>
    <t>11kV Dandagoro feeder was tried and stayed after opened Car Wash isolator. TE Urban approved.</t>
  </si>
  <si>
    <t xml:space="preserve"> 33kV Garko feeder was tried and stayed after opened suspected Garko, Darki and Jigaware legs. RE KNE Hotoro approved.</t>
  </si>
  <si>
    <t>33kV Watari feeder was tried and stayed after amended 1no B Phase J&amp;P at Saraka 200kVA S/S. RE KTC approved.</t>
  </si>
  <si>
    <t>Titin College 500KVA S/S was isolated due to burnt Yellow and Blue phases J&amp;P Carriers</t>
  </si>
  <si>
    <t>11kV L/Cost feeder was tried and stayed after replaced Y Phase Pin Insulator at rahusa Relief 300kVA S/S. TE KT City approved.</t>
  </si>
  <si>
    <t>Miller rd twisted conductor separated removed branch of tree removed near kwankwaso resident</t>
  </si>
  <si>
    <t>11kV Maimalari feeder was tried and stayed after conducted Tree Trimmiing</t>
  </si>
  <si>
    <t xml:space="preserve"> 11kV Limawa feeder was tried and stayed after Tree trimming was conducted along the line. TE Dutse approved.</t>
  </si>
  <si>
    <t>NOTHING FOUOND</t>
  </si>
  <si>
    <t>11kV Kano Road feeder was tried and stayed after amended 1no J&amp;P R phase at Farin Masallaci 500kVA S/S. TE KT City approved.</t>
  </si>
  <si>
    <t>11KV DUTSIN SAFE</t>
  </si>
  <si>
    <t>11kV D/Safe feeder was tried &amp; stayed okay, cut jumper amended at Dan - Hukku 500kVA S/S. TE KT City approved.</t>
  </si>
  <si>
    <t>POLAC OPENED</t>
  </si>
  <si>
    <t>11KV MOHD DIKKO</t>
  </si>
  <si>
    <t>11kV M/Dikko feeder was tried and stayed after isolated Ruffaka 500kVA S/S due to punctured Y Phase XLPE Cable. TE City approved.</t>
  </si>
  <si>
    <t>@1427hr 11kV Yankaba feeder was tried and stayed after discovered Indugu 500kVA S/S isolate its self. TE Kawaji approved.</t>
  </si>
  <si>
    <t>11kV Tarauni feeder was tried and stayed after amended B phase Pull out Conductor at Maiduguri Road. TE Hotoro approved.</t>
  </si>
  <si>
    <t>33kV Ajiwa feeder was tried &amp; stayed okay, twisted conductors were separated at CBN junction. RE KTN approved.</t>
  </si>
  <si>
    <t>Treetrimming conducted at Iyaka road</t>
  </si>
  <si>
    <t xml:space="preserve"> after re-opened of Aliyu Bin Abi Talib isolator nothing found. RE KNC approved.</t>
  </si>
  <si>
    <t>33kV Falgore feeder was tried and stayed after opened Kwanar T/Wada. RE Dangora approved.</t>
  </si>
  <si>
    <t>AFTER BY PASS B PHASE LIGHTING ARRESTOR AT G/MAIGARI 500KVA S/S</t>
  </si>
  <si>
    <t>Blue phase cut jumper was amended at Bubbugaje</t>
  </si>
  <si>
    <t>33kV IDH feeder was opened on emergency with 15.5MW due to Airport Road/ Pounded Yam isolator on fire. TE S/Gari reported and RE S/Gari was informed. 33kV IDH feeder was restored okay, R-Phase cut jumper was amended at Pounded Yam junction. RE S/Gari approved.</t>
  </si>
  <si>
    <t>S.G no 59834 was issued to Safiyanu Ibrahim  on 11KV Talamiz feeder for line trace along the line. Duration ( 1000hrs - 1700hrs ).</t>
  </si>
  <si>
    <t>S.G no 1256 was issued to Jibril Yau Dantsakuwa  on 11KV H/Estate feeder with 3.6MW for line trace along the line. Duration ( 1000hrs - 1800hrs ).</t>
  </si>
  <si>
    <t>Sani Marshal 200KVA R-Phase J&amp;P Replaced</t>
  </si>
  <si>
    <t>ISOLATED 11KV HOTORO FEEDER FOR LINE PATROLL</t>
  </si>
  <si>
    <t>S.G no 1257 was issued to Jibril Yau Dantsakuwa  on 11KV NNDC feeder with 3.6MW for line trace along the line. Duration ( 1000hrs - 1300hrs ).</t>
  </si>
  <si>
    <t>REPOSITION R PHASE PULL OUT CONDUCTOR BEHIND SHEIKH ISYAKA RABIU RESIDENT</t>
  </si>
  <si>
    <t>TREE TRIMMING AT VIVA JUNCTION</t>
  </si>
  <si>
    <t>11kV T/Wada feeder was tried and stayed after discovered Hajia kulu 500kVA S/S isolate its self. TE Bompai approved.</t>
  </si>
  <si>
    <t>@1050hrs  S.G no 51290 was issued to Abdullahi Abdulaziz  on 11KV Yankaba feeder for line trace along the line. Duration ( 1000hrs - 1300hrs ).</t>
  </si>
  <si>
    <t>ISOLATED DAWANAU FOR LINE PATROLL</t>
  </si>
  <si>
    <t xml:space="preserve"> 33kV BUK feeder was tried and stayed after replaced Female contact of K/Famfo isolator. RE Kabuga approved.</t>
  </si>
  <si>
    <t>TREE BRANCH REMOVED AONG THER LINE</t>
  </si>
  <si>
    <t>Y PHASE PULL OUT CONDUCTOR FROM CT AMENDED</t>
  </si>
  <si>
    <t>33KV DR JAMIL ISOLATED FOR LINE CONTROL</t>
  </si>
  <si>
    <t>S.G no 15904 was issued to Abdullahi Bello on 33kV Bagauda feeder with 0.6MW for line trace along the line. Duration ( 1000hrs - 1600hrs ).</t>
  </si>
  <si>
    <t xml:space="preserve"> 33kV B/Kudu feeder was tried and stayed after opened Round About isolator. RE JGS approved.</t>
  </si>
  <si>
    <t>yes</t>
  </si>
  <si>
    <t>33KV DR JAMIL FEEDER ISOLATED FOR LINE PATROL</t>
  </si>
  <si>
    <t>33kV Dr. Jamil feeder was tried &amp; stayed okay, R-Phase J&amp;P was amended at 7-Up 2.5MVA S/S. RE Panshekara approved.</t>
  </si>
  <si>
    <t>11kV Ajasa feeder was opened on emergency, discrepancy observed on Y - 0, while R&amp;B - 1.4MW. It was restored on amending a Y-Phase cut jumper on the 1st upriser. TE Zoo Road approved.</t>
  </si>
  <si>
    <t>tree trimming was conducted</t>
  </si>
  <si>
    <t>STAR TIMES 100KVA S/S ISOLATE ITSELF</t>
  </si>
  <si>
    <t>8/11/ 22 15:12</t>
  </si>
  <si>
    <t>Halliru Akilu isolator was opened</t>
  </si>
  <si>
    <t>Branch of tree removed at New Royal 500KVA S/S</t>
  </si>
  <si>
    <t>ISOLATED U/UKU FOR LINE PATROL</t>
  </si>
  <si>
    <t>HAWAN DAWAKI ISOLATOR OPENED</t>
  </si>
  <si>
    <t>Suspected MAGANDA RD Tee-off was isolated affecting 4no DTs</t>
  </si>
  <si>
    <t>Branch of tree removed at tudun fulani</t>
  </si>
  <si>
    <t>87/11/22 20:42</t>
  </si>
  <si>
    <t xml:space="preserve">ISOLATED KARKASARA </t>
  </si>
  <si>
    <t>RE-OPENED JOGANA ISOLATOR</t>
  </si>
  <si>
    <t>Bird bridge the line at Dankabo Closed</t>
  </si>
  <si>
    <t>Due to arching on Flying Training Sch. isolator</t>
  </si>
  <si>
    <t>Due to masaka 500KVA S/staion on fire</t>
  </si>
  <si>
    <t>Hawan Dawaki isolator was isolated</t>
  </si>
  <si>
    <t>POLAC isolator was opened</t>
  </si>
  <si>
    <t>OPENED MUSAWA LEG</t>
  </si>
  <si>
    <t>Rungumau isolator was opened</t>
  </si>
  <si>
    <t>Dangora isolator was opened</t>
  </si>
  <si>
    <t>Tree trimming was conducted at Raihan street</t>
  </si>
  <si>
    <t>Due to the hot spotobserved on Red phase bold and nut clamp on 33KV CBN Isolator at 132/33KV dAN AGUNDI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</si>
</sst>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m/d/yy\ h:mm;@"/>
    <numFmt numFmtId="166" formatCode="[h]:mm:ss;@"/>
    <numFmt numFmtId="167" formatCode="_(* #,##0_);_(* \(#,##0\);_(* &quot;-&quot;??_);_(@_)"/>
    <numFmt numFmtId="168" formatCode="h:mm;@"/>
    <numFmt numFmtId="169" formatCode="[h]\ &quot;Hrs&quot;\ mm\ &quot;Min&quot;;@"/>
    <numFmt numFmtId="170" formatCode="[h]\.mm"/>
    <numFmt numFmtId="171" formatCode="[h];@"/>
    <numFmt numFmtId="172" formatCode="_(* #,##0.0000_);_(* \(#,##0.0000\);_(* &quot;-&quot;??_);_(@_)"/>
    <numFmt numFmtId="173" formatCode="0.0"/>
    <numFmt numFmtId="174" formatCode="0.000"/>
  </numFmts>
  <fonts count="29" x14ac:knownFonts="1">
    <font>
      <sz val="11"/>
      <color theme="1"/>
      <name val="Calibri"/>
      <family val="2"/>
      <scheme val="minor"/>
    </font>
    <font>
      <sz val="11"/>
      <color theme="1"/>
      <name val="Calibri"/>
      <family val="2"/>
      <scheme val="minor"/>
    </font>
    <font>
      <i/>
      <sz val="11"/>
      <color rgb="FF7F7F7F"/>
      <name val="Calibri"/>
      <family val="2"/>
      <scheme val="minor"/>
    </font>
    <font>
      <sz val="12"/>
      <color theme="1"/>
      <name val="Arial"/>
      <family val="2"/>
    </font>
    <font>
      <b/>
      <sz val="12"/>
      <color theme="0"/>
      <name val="Arial"/>
      <family val="2"/>
    </font>
    <font>
      <sz val="11"/>
      <color theme="1"/>
      <name val="Arial"/>
      <family val="2"/>
    </font>
    <font>
      <b/>
      <sz val="11"/>
      <color theme="1"/>
      <name val="Arial"/>
      <family val="2"/>
    </font>
    <font>
      <b/>
      <sz val="12"/>
      <name val="Cambria"/>
      <family val="1"/>
    </font>
    <font>
      <sz val="11"/>
      <color rgb="FFFF0000"/>
      <name val="Calibri"/>
      <family val="2"/>
      <scheme val="minor"/>
    </font>
    <font>
      <sz val="11"/>
      <name val="Arial"/>
      <family val="2"/>
    </font>
    <font>
      <sz val="11"/>
      <name val="Calibri"/>
      <family val="2"/>
      <scheme val="minor"/>
    </font>
    <font>
      <sz val="11"/>
      <color rgb="FF000000"/>
      <name val="Arial"/>
      <family val="2"/>
    </font>
    <font>
      <sz val="11"/>
      <color theme="1"/>
      <name val="Calibri"/>
      <family val="2"/>
    </font>
    <font>
      <sz val="11"/>
      <name val="Calibri"/>
      <family val="2"/>
    </font>
    <font>
      <b/>
      <sz val="12"/>
      <color theme="1"/>
      <name val="Calibri"/>
      <family val="2"/>
      <scheme val="minor"/>
    </font>
    <font>
      <sz val="11"/>
      <color theme="1"/>
      <name val="Calibri"/>
      <family val="2"/>
    </font>
    <font>
      <sz val="12"/>
      <color theme="1"/>
      <name val="Calibri"/>
      <family val="2"/>
      <scheme val="minor"/>
    </font>
    <font>
      <sz val="12"/>
      <color theme="1"/>
      <name val="Arial"/>
      <family val="2"/>
    </font>
    <font>
      <sz val="11"/>
      <color theme="1"/>
      <name val="Calibri"/>
      <family val="2"/>
    </font>
    <font>
      <sz val="11"/>
      <name val="Calibri"/>
      <family val="2"/>
    </font>
    <font>
      <sz val="11"/>
      <color theme="1"/>
      <name val="Arial"/>
      <family val="2"/>
    </font>
    <font>
      <sz val="11"/>
      <name val="Arial"/>
      <family val="2"/>
    </font>
    <font>
      <sz val="11"/>
      <color rgb="FF000000"/>
      <name val="Arial"/>
      <family val="2"/>
    </font>
    <font>
      <sz val="11"/>
      <color theme="1"/>
      <name val="Arial"/>
      <family val="2"/>
    </font>
    <font>
      <b/>
      <sz val="12"/>
      <name val="Cambria"/>
    </font>
    <font>
      <sz val="11"/>
      <color theme="1"/>
      <name val="Calibri"/>
      <scheme val="minor"/>
    </font>
    <font>
      <sz val="9"/>
      <color indexed="81"/>
      <name val="Tahoma"/>
      <charset val="1"/>
    </font>
    <font>
      <b/>
      <sz val="9"/>
      <color indexed="81"/>
      <name val="Tahoma"/>
      <charset val="1"/>
    </font>
    <font>
      <sz val="12"/>
      <color theme="1"/>
      <name val="Arial"/>
    </font>
  </fonts>
  <fills count="9">
    <fill>
      <patternFill patternType="none"/>
    </fill>
    <fill>
      <patternFill patternType="gray125"/>
    </fill>
    <fill>
      <patternFill patternType="solid">
        <fgColor theme="8"/>
        <bgColor theme="8"/>
      </patternFill>
    </fill>
    <fill>
      <patternFill patternType="solid">
        <fgColor theme="0"/>
        <bgColor theme="0" tint="-0.14999847407452621"/>
      </patternFill>
    </fill>
    <fill>
      <patternFill patternType="solid">
        <fgColor theme="0"/>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right/>
      <top style="thin">
        <color theme="6" tint="0.39997558519241921"/>
      </top>
      <bottom style="thin">
        <color theme="6" tint="0.39997558519241921"/>
      </bottom>
      <diagonal/>
    </border>
    <border>
      <left style="thin">
        <color indexed="64"/>
      </left>
      <right style="thin">
        <color indexed="64"/>
      </right>
      <top/>
      <bottom style="thin">
        <color rgb="FF000000"/>
      </bottom>
      <diagonal/>
    </border>
    <border>
      <left style="thin">
        <color theme="8"/>
      </left>
      <right/>
      <top style="thin">
        <color theme="8"/>
      </top>
      <bottom/>
      <diagonal/>
    </border>
    <border>
      <left style="thin">
        <color theme="8"/>
      </left>
      <right style="thin">
        <color theme="8"/>
      </right>
      <top style="thin">
        <color theme="8"/>
      </top>
      <bottom/>
      <diagonal/>
    </border>
    <border>
      <left/>
      <right/>
      <top style="thin">
        <color theme="6" tint="0.39997558519241921"/>
      </top>
      <bottom/>
      <diagonal/>
    </border>
    <border>
      <left/>
      <right/>
      <top style="thin">
        <color theme="0"/>
      </top>
      <bottom/>
      <diagonal/>
    </border>
  </borders>
  <cellStyleXfs count="4">
    <xf numFmtId="0" fontId="0" fillId="0" borderId="0"/>
    <xf numFmtId="164"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cellStyleXfs>
  <cellXfs count="223">
    <xf numFmtId="0" fontId="0" fillId="0" borderId="0" xfId="0"/>
    <xf numFmtId="0" fontId="0" fillId="0" borderId="0" xfId="0" applyAlignment="1">
      <alignment wrapText="1"/>
    </xf>
    <xf numFmtId="0" fontId="5" fillId="0" borderId="0" xfId="0" applyFont="1" applyAlignment="1">
      <alignment horizontal="center" vertical="center" wrapText="1"/>
    </xf>
    <xf numFmtId="0" fontId="2" fillId="0" borderId="0" xfId="2"/>
    <xf numFmtId="0" fontId="0" fillId="0" borderId="0" xfId="0" applyAlignment="1">
      <alignment vertical="center"/>
    </xf>
    <xf numFmtId="0" fontId="0" fillId="0" borderId="0" xfId="0"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xf>
    <xf numFmtId="0" fontId="7" fillId="0" borderId="0" xfId="0" applyFont="1"/>
    <xf numFmtId="0" fontId="5" fillId="0" borderId="0" xfId="2" applyFont="1" applyAlignment="1">
      <alignment horizontal="center" vertical="center" wrapText="1"/>
    </xf>
    <xf numFmtId="0" fontId="8" fillId="0" borderId="0" xfId="0" applyFont="1"/>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166" fontId="3" fillId="3" borderId="0" xfId="0" applyNumberFormat="1" applyFont="1" applyFill="1" applyBorder="1" applyAlignment="1">
      <alignment horizontal="center"/>
    </xf>
    <xf numFmtId="0" fontId="3" fillId="0" borderId="0" xfId="0" applyFont="1" applyBorder="1" applyAlignment="1">
      <alignment horizontal="center"/>
    </xf>
    <xf numFmtId="168" fontId="3" fillId="3" borderId="0" xfId="0" applyNumberFormat="1" applyFont="1" applyFill="1" applyBorder="1" applyAlignment="1">
      <alignment horizontal="center"/>
    </xf>
    <xf numFmtId="0" fontId="0" fillId="0" borderId="0" xfId="0" applyBorder="1"/>
    <xf numFmtId="0" fontId="3" fillId="4" borderId="0" xfId="0" applyFont="1" applyFill="1" applyBorder="1" applyAlignment="1">
      <alignment horizontal="center"/>
    </xf>
    <xf numFmtId="0" fontId="4" fillId="2" borderId="2" xfId="0" applyFont="1" applyFill="1" applyBorder="1" applyAlignment="1">
      <alignment horizontal="center" vertical="center" wrapText="1"/>
    </xf>
    <xf numFmtId="0" fontId="9" fillId="0" borderId="0" xfId="2" applyFont="1" applyAlignment="1">
      <alignment horizontal="center" vertical="center" wrapText="1"/>
    </xf>
    <xf numFmtId="0" fontId="5" fillId="0" borderId="3" xfId="0" applyFont="1" applyBorder="1" applyAlignment="1">
      <alignment horizontal="center" vertical="center" wrapText="1"/>
    </xf>
    <xf numFmtId="169" fontId="10" fillId="0" borderId="0" xfId="0" applyNumberFormat="1" applyFont="1" applyAlignment="1" applyProtection="1">
      <alignment vertical="center"/>
      <protection hidden="1"/>
    </xf>
    <xf numFmtId="0" fontId="5" fillId="0" borderId="0" xfId="0" applyFont="1" applyBorder="1" applyAlignment="1">
      <alignment horizontal="center" vertical="center"/>
    </xf>
    <xf numFmtId="168" fontId="5"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0" fontId="5" fillId="0" borderId="0" xfId="0" applyFont="1" applyAlignment="1">
      <alignment horizontal="left" vertical="center"/>
    </xf>
    <xf numFmtId="170" fontId="3" fillId="3" borderId="0" xfId="0" applyNumberFormat="1" applyFont="1" applyFill="1" applyBorder="1" applyAlignment="1">
      <alignment horizontal="center"/>
    </xf>
    <xf numFmtId="169" fontId="5" fillId="0" borderId="4" xfId="0" applyNumberFormat="1" applyFont="1" applyBorder="1" applyAlignment="1">
      <alignment horizontal="center" vertical="center"/>
    </xf>
    <xf numFmtId="1" fontId="5" fillId="0" borderId="0" xfId="1" applyNumberFormat="1" applyFont="1" applyBorder="1" applyAlignment="1">
      <alignment horizontal="center" vertical="center"/>
    </xf>
    <xf numFmtId="0" fontId="3" fillId="3" borderId="0" xfId="0" applyNumberFormat="1" applyFont="1" applyFill="1" applyBorder="1" applyAlignment="1">
      <alignment horizontal="center"/>
    </xf>
    <xf numFmtId="171"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11" fillId="0" borderId="0" xfId="0" applyFont="1" applyAlignment="1">
      <alignment horizontal="center" vertical="center" wrapText="1"/>
    </xf>
    <xf numFmtId="0" fontId="5" fillId="0" borderId="5" xfId="0" applyFont="1" applyBorder="1" applyAlignment="1">
      <alignment horizontal="center" vertical="center" wrapText="1"/>
    </xf>
    <xf numFmtId="169" fontId="5" fillId="0" borderId="0" xfId="0" applyNumberFormat="1" applyFont="1" applyAlignment="1">
      <alignment horizontal="center" vertical="center"/>
    </xf>
    <xf numFmtId="164" fontId="11" fillId="0" borderId="0" xfId="1" applyFont="1" applyAlignment="1">
      <alignment horizontal="center" vertical="center" wrapText="1"/>
    </xf>
    <xf numFmtId="2" fontId="5" fillId="0" borderId="0" xfId="1" applyNumberFormat="1" applyFont="1" applyBorder="1" applyAlignment="1">
      <alignment horizontal="center" vertical="center" wrapText="1"/>
    </xf>
    <xf numFmtId="0" fontId="12" fillId="0" borderId="0" xfId="0" applyFont="1" applyAlignment="1">
      <alignment vertical="center"/>
    </xf>
    <xf numFmtId="0" fontId="12" fillId="0" borderId="0" xfId="0" applyFont="1" applyAlignment="1">
      <alignment vertical="center" wrapText="1"/>
    </xf>
    <xf numFmtId="167" fontId="12" fillId="0" borderId="0" xfId="1" applyNumberFormat="1" applyFont="1" applyAlignment="1" applyProtection="1">
      <alignment vertical="center"/>
      <protection hidden="1"/>
    </xf>
    <xf numFmtId="169" fontId="13" fillId="0" borderId="0" xfId="0" applyNumberFormat="1" applyFont="1" applyAlignment="1" applyProtection="1">
      <alignment vertical="center"/>
      <protection hidden="1"/>
    </xf>
    <xf numFmtId="167" fontId="12" fillId="0" borderId="0" xfId="1" applyNumberFormat="1" applyFont="1" applyAlignment="1" applyProtection="1">
      <alignment horizontal="center" vertical="center"/>
      <protection hidden="1"/>
    </xf>
    <xf numFmtId="171" fontId="12" fillId="0" borderId="0" xfId="1" applyNumberFormat="1" applyFont="1" applyAlignment="1" applyProtection="1">
      <alignment vertical="center"/>
      <protection hidden="1"/>
    </xf>
    <xf numFmtId="0" fontId="13" fillId="0" borderId="0" xfId="0" applyFont="1" applyAlignment="1">
      <alignment vertical="center"/>
    </xf>
    <xf numFmtId="0" fontId="13" fillId="0" borderId="0" xfId="0" applyFont="1" applyAlignment="1">
      <alignment vertical="center" wrapText="1"/>
    </xf>
    <xf numFmtId="164" fontId="13" fillId="0" borderId="0" xfId="1" applyFont="1" applyAlignment="1">
      <alignment vertical="center"/>
    </xf>
    <xf numFmtId="0" fontId="14" fillId="5" borderId="0" xfId="0" applyFont="1" applyFill="1"/>
    <xf numFmtId="169" fontId="14" fillId="5" borderId="0" xfId="0" applyNumberFormat="1" applyFont="1" applyFill="1"/>
    <xf numFmtId="0" fontId="3" fillId="3" borderId="0" xfId="0" applyFont="1" applyFill="1" applyAlignment="1">
      <alignment horizontal="center"/>
    </xf>
    <xf numFmtId="0" fontId="3" fillId="0" borderId="0" xfId="0" applyFont="1" applyAlignment="1">
      <alignment horizontal="center"/>
    </xf>
    <xf numFmtId="168" fontId="3" fillId="3" borderId="0" xfId="0" applyNumberFormat="1" applyFont="1" applyFill="1" applyAlignment="1">
      <alignment horizontal="center"/>
    </xf>
    <xf numFmtId="0" fontId="0" fillId="0" borderId="0" xfId="0" applyAlignment="1">
      <alignment horizontal="center"/>
    </xf>
    <xf numFmtId="171" fontId="3" fillId="0" borderId="0" xfId="1" applyNumberFormat="1" applyFont="1" applyAlignment="1">
      <alignment horizontal="center"/>
    </xf>
    <xf numFmtId="0" fontId="3" fillId="4" borderId="0" xfId="0" applyFont="1" applyFill="1" applyAlignment="1">
      <alignment horizontal="center"/>
    </xf>
    <xf numFmtId="0" fontId="3" fillId="3" borderId="6" xfId="0" applyFont="1" applyFill="1" applyBorder="1" applyAlignment="1">
      <alignment horizontal="center"/>
    </xf>
    <xf numFmtId="165" fontId="3" fillId="3" borderId="6" xfId="0" applyNumberFormat="1" applyFont="1" applyFill="1" applyBorder="1" applyAlignment="1">
      <alignment horizontal="center"/>
    </xf>
    <xf numFmtId="0" fontId="3" fillId="4" borderId="6" xfId="0" applyFont="1" applyFill="1" applyBorder="1" applyAlignment="1">
      <alignment horizontal="center"/>
    </xf>
    <xf numFmtId="0" fontId="3" fillId="4" borderId="6" xfId="0" applyFont="1" applyFill="1" applyBorder="1" applyAlignment="1">
      <alignment vertical="center"/>
    </xf>
    <xf numFmtId="171" fontId="3" fillId="3" borderId="6" xfId="1" applyNumberFormat="1" applyFont="1" applyFill="1" applyBorder="1" applyAlignment="1">
      <alignment horizontal="center"/>
    </xf>
    <xf numFmtId="165" fontId="3" fillId="4" borderId="6" xfId="1" applyNumberFormat="1" applyFont="1" applyFill="1" applyBorder="1" applyAlignment="1">
      <alignment horizontal="center"/>
    </xf>
    <xf numFmtId="0" fontId="3" fillId="0" borderId="6" xfId="0" applyFont="1" applyBorder="1" applyAlignment="1">
      <alignment horizontal="center"/>
    </xf>
    <xf numFmtId="168" fontId="3" fillId="3" borderId="6" xfId="0" applyNumberFormat="1" applyFont="1" applyFill="1" applyBorder="1" applyAlignment="1">
      <alignment horizontal="center"/>
    </xf>
    <xf numFmtId="0" fontId="0" fillId="0" borderId="7" xfId="0" applyFont="1" applyBorder="1"/>
    <xf numFmtId="0" fontId="0" fillId="0" borderId="0" xfId="0" applyAlignment="1">
      <alignment horizontal="center" vertical="center"/>
    </xf>
    <xf numFmtId="167" fontId="0" fillId="0" borderId="0" xfId="1" applyNumberFormat="1" applyFont="1" applyAlignment="1" applyProtection="1">
      <alignment vertical="center"/>
      <protection hidden="1"/>
    </xf>
    <xf numFmtId="167" fontId="15" fillId="0" borderId="0" xfId="1" applyNumberFormat="1" applyFont="1" applyAlignment="1" applyProtection="1">
      <alignment vertical="center"/>
      <protection hidden="1"/>
    </xf>
    <xf numFmtId="0" fontId="5" fillId="0" borderId="0" xfId="0" applyNumberFormat="1" applyFont="1" applyBorder="1" applyAlignment="1">
      <alignment horizontal="center" vertical="center" wrapText="1"/>
    </xf>
    <xf numFmtId="10" fontId="5" fillId="0" borderId="0" xfId="1" applyNumberFormat="1" applyFont="1" applyBorder="1" applyAlignment="1">
      <alignment horizontal="center" vertical="center" wrapText="1"/>
    </xf>
    <xf numFmtId="0" fontId="5" fillId="0" borderId="0" xfId="3" applyNumberFormat="1" applyFont="1" applyBorder="1" applyAlignment="1">
      <alignment horizontal="center" vertical="center" wrapText="1"/>
    </xf>
    <xf numFmtId="168" fontId="5" fillId="0" borderId="0" xfId="0" applyNumberFormat="1" applyFont="1" applyAlignment="1">
      <alignment horizontal="center"/>
    </xf>
    <xf numFmtId="0" fontId="11" fillId="0" borderId="0" xfId="1" applyNumberFormat="1" applyFont="1" applyAlignment="1">
      <alignment horizontal="center" vertical="center" wrapText="1"/>
    </xf>
    <xf numFmtId="0" fontId="11" fillId="0" borderId="0" xfId="3" applyNumberFormat="1" applyFont="1" applyAlignment="1">
      <alignment horizontal="center" vertical="center" wrapText="1"/>
    </xf>
    <xf numFmtId="0" fontId="6" fillId="0" borderId="0" xfId="3" applyNumberFormat="1" applyFont="1" applyBorder="1" applyAlignment="1">
      <alignment horizontal="center" vertical="center" wrapText="1"/>
    </xf>
    <xf numFmtId="0" fontId="5" fillId="0" borderId="0" xfId="0" applyFont="1" applyBorder="1" applyAlignment="1">
      <alignment horizontal="center" vertical="center" wrapText="1"/>
    </xf>
    <xf numFmtId="172" fontId="11" fillId="0" borderId="0" xfId="1" applyNumberFormat="1" applyFont="1" applyAlignment="1">
      <alignment horizontal="center" vertical="center" wrapText="1"/>
    </xf>
    <xf numFmtId="173" fontId="12" fillId="0" borderId="0" xfId="0" applyNumberFormat="1" applyFont="1" applyAlignment="1">
      <alignment vertical="center"/>
    </xf>
    <xf numFmtId="167" fontId="1" fillId="0" borderId="0" xfId="1" applyNumberFormat="1" applyFont="1" applyAlignment="1" applyProtection="1">
      <alignment vertical="center"/>
      <protection hidden="1"/>
    </xf>
    <xf numFmtId="0" fontId="3" fillId="4" borderId="0" xfId="0" applyFont="1" applyFill="1" applyAlignment="1">
      <alignment vertical="center"/>
    </xf>
    <xf numFmtId="170" fontId="3" fillId="4" borderId="0" xfId="0" applyNumberFormat="1" applyFont="1" applyFill="1" applyBorder="1" applyAlignment="1">
      <alignment horizontal="center"/>
    </xf>
    <xf numFmtId="2" fontId="3" fillId="4" borderId="0" xfId="1" applyNumberFormat="1" applyFont="1" applyFill="1" applyBorder="1" applyAlignment="1">
      <alignment horizontal="center"/>
    </xf>
    <xf numFmtId="171" fontId="3" fillId="3" borderId="0" xfId="1" applyNumberFormat="1" applyFont="1" applyFill="1" applyBorder="1" applyAlignment="1">
      <alignment horizontal="center"/>
    </xf>
    <xf numFmtId="165" fontId="3" fillId="4" borderId="0" xfId="1" applyNumberFormat="1" applyFont="1" applyFill="1" applyBorder="1" applyAlignment="1">
      <alignment horizontal="center"/>
    </xf>
    <xf numFmtId="2" fontId="3" fillId="4" borderId="6" xfId="1" applyNumberFormat="1" applyFont="1" applyFill="1" applyBorder="1" applyAlignment="1">
      <alignment horizontal="center"/>
    </xf>
    <xf numFmtId="0" fontId="16" fillId="0" borderId="0" xfId="0" applyFont="1" applyAlignment="1">
      <alignment horizontal="center"/>
    </xf>
    <xf numFmtId="0" fontId="16" fillId="0" borderId="0" xfId="0" applyFont="1" applyAlignment="1">
      <alignment horizontal="center" vertical="center"/>
    </xf>
    <xf numFmtId="0" fontId="3" fillId="4" borderId="0" xfId="0" applyFont="1" applyFill="1" applyBorder="1" applyAlignment="1"/>
    <xf numFmtId="2" fontId="4" fillId="2" borderId="2" xfId="0" applyNumberFormat="1" applyFont="1" applyFill="1" applyBorder="1" applyAlignment="1">
      <alignment horizontal="center" vertical="center" wrapText="1"/>
    </xf>
    <xf numFmtId="2" fontId="0" fillId="0" borderId="0" xfId="0" applyNumberFormat="1"/>
    <xf numFmtId="166" fontId="3" fillId="3" borderId="0" xfId="0" applyNumberFormat="1" applyFont="1" applyFill="1" applyAlignment="1">
      <alignment horizontal="center"/>
    </xf>
    <xf numFmtId="171" fontId="3" fillId="0" borderId="0" xfId="1" applyNumberFormat="1" applyFont="1"/>
    <xf numFmtId="0" fontId="0" fillId="0" borderId="0" xfId="0" applyFont="1" applyBorder="1"/>
    <xf numFmtId="0" fontId="17" fillId="4" borderId="0" xfId="0" applyFont="1" applyFill="1" applyBorder="1" applyAlignment="1">
      <alignment vertical="center"/>
    </xf>
    <xf numFmtId="0" fontId="17" fillId="3" borderId="0" xfId="0" applyFont="1" applyFill="1" applyBorder="1" applyAlignment="1">
      <alignment horizontal="center"/>
    </xf>
    <xf numFmtId="165" fontId="17" fillId="3" borderId="0" xfId="0" applyNumberFormat="1" applyFont="1" applyFill="1" applyBorder="1" applyAlignment="1">
      <alignment horizontal="center"/>
    </xf>
    <xf numFmtId="0" fontId="17" fillId="4" borderId="0" xfId="0" applyFont="1" applyFill="1" applyBorder="1" applyAlignment="1">
      <alignment horizontal="center"/>
    </xf>
    <xf numFmtId="166" fontId="17" fillId="3" borderId="0" xfId="0" applyNumberFormat="1" applyFont="1" applyFill="1" applyBorder="1" applyAlignment="1">
      <alignment horizontal="center"/>
    </xf>
    <xf numFmtId="171" fontId="17" fillId="3" borderId="0" xfId="1" applyNumberFormat="1" applyFont="1" applyFill="1" applyBorder="1" applyAlignment="1">
      <alignment horizontal="center"/>
    </xf>
    <xf numFmtId="0" fontId="17" fillId="0" borderId="0" xfId="0" applyFont="1" applyBorder="1" applyAlignment="1">
      <alignment horizontal="center"/>
    </xf>
    <xf numFmtId="168" fontId="17" fillId="3" borderId="0" xfId="0" applyNumberFormat="1" applyFont="1" applyFill="1" applyBorder="1" applyAlignment="1">
      <alignment horizontal="center"/>
    </xf>
    <xf numFmtId="2" fontId="17" fillId="4" borderId="0" xfId="1" applyNumberFormat="1" applyFont="1" applyFill="1" applyBorder="1" applyAlignment="1">
      <alignment horizontal="center"/>
    </xf>
    <xf numFmtId="0" fontId="3" fillId="3" borderId="0" xfId="0" applyFont="1" applyFill="1" applyBorder="1" applyAlignment="1">
      <alignment horizontal="center" vertical="center"/>
    </xf>
    <xf numFmtId="0" fontId="5" fillId="0" borderId="0" xfId="2" applyFont="1" applyFill="1" applyAlignment="1">
      <alignment horizontal="center" vertical="center" wrapText="1"/>
    </xf>
    <xf numFmtId="0" fontId="0" fillId="0" borderId="7" xfId="0" applyFont="1" applyFill="1" applyBorder="1"/>
    <xf numFmtId="174" fontId="5" fillId="0" borderId="0" xfId="1" applyNumberFormat="1" applyFont="1" applyBorder="1" applyAlignment="1">
      <alignment horizontal="center" vertical="center"/>
    </xf>
    <xf numFmtId="164" fontId="11" fillId="0" borderId="0" xfId="1" applyNumberFormat="1" applyFont="1" applyAlignment="1">
      <alignment horizontal="center" vertical="center" wrapText="1"/>
    </xf>
    <xf numFmtId="0" fontId="0" fillId="0" borderId="0" xfId="0" applyAlignment="1">
      <alignment vertical="center"/>
    </xf>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0" fontId="3" fillId="4" borderId="0" xfId="0" applyFont="1" applyFill="1" applyBorder="1" applyAlignment="1">
      <alignment horizontal="center"/>
    </xf>
    <xf numFmtId="170"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3" fillId="0" borderId="0" xfId="0" applyFont="1" applyAlignment="1">
      <alignment horizontal="center"/>
    </xf>
    <xf numFmtId="0" fontId="3" fillId="4" borderId="0" xfId="0" applyFont="1" applyFill="1" applyAlignment="1">
      <alignment horizontal="center"/>
    </xf>
    <xf numFmtId="0" fontId="3" fillId="4" borderId="0" xfId="0" applyFont="1" applyFill="1" applyAlignment="1">
      <alignment vertical="center"/>
    </xf>
    <xf numFmtId="2" fontId="3" fillId="4" borderId="0" xfId="1" applyNumberFormat="1" applyFont="1" applyFill="1" applyBorder="1" applyAlignment="1">
      <alignment horizontal="center"/>
    </xf>
    <xf numFmtId="0" fontId="0" fillId="0" borderId="0" xfId="0"/>
    <xf numFmtId="0" fontId="8" fillId="0" borderId="0" xfId="0" applyFont="1"/>
    <xf numFmtId="165" fontId="3" fillId="3" borderId="0" xfId="0" applyNumberFormat="1" applyFont="1" applyFill="1" applyBorder="1" applyAlignment="1">
      <alignment horizontal="center"/>
    </xf>
    <xf numFmtId="0" fontId="0" fillId="0" borderId="0" xfId="0" applyBorder="1"/>
    <xf numFmtId="0" fontId="9" fillId="0" borderId="0" xfId="2" applyFont="1" applyAlignment="1">
      <alignment horizontal="center" vertical="center" wrapText="1"/>
    </xf>
    <xf numFmtId="169" fontId="10" fillId="0" borderId="0" xfId="0" applyNumberFormat="1" applyFont="1" applyAlignment="1" applyProtection="1">
      <alignment vertical="center"/>
      <protection hidden="1"/>
    </xf>
    <xf numFmtId="169" fontId="13" fillId="0" borderId="0" xfId="0" applyNumberFormat="1" applyFont="1" applyAlignment="1" applyProtection="1">
      <alignment vertical="center"/>
      <protection hidden="1"/>
    </xf>
    <xf numFmtId="169" fontId="0" fillId="0" borderId="0" xfId="1" applyNumberFormat="1" applyFont="1" applyAlignment="1" applyProtection="1">
      <alignment vertical="center"/>
      <protection hidden="1"/>
    </xf>
    <xf numFmtId="0" fontId="0" fillId="0" borderId="0" xfId="0" applyAlignment="1">
      <alignment vertical="center"/>
    </xf>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0" fontId="3" fillId="4" borderId="0" xfId="0" applyFont="1" applyFill="1" applyBorder="1" applyAlignment="1">
      <alignment horizontal="center"/>
    </xf>
    <xf numFmtId="170"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0" fillId="0" borderId="0" xfId="0" applyBorder="1"/>
    <xf numFmtId="0" fontId="0" fillId="0" borderId="0" xfId="0" applyAlignment="1">
      <alignment vertical="center"/>
    </xf>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0" fontId="3" fillId="4" borderId="0" xfId="0" applyFont="1" applyFill="1" applyBorder="1" applyAlignment="1">
      <alignment horizontal="center"/>
    </xf>
    <xf numFmtId="170"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3" fillId="4" borderId="6" xfId="0" applyFont="1" applyFill="1" applyBorder="1" applyAlignment="1">
      <alignment horizontal="center"/>
    </xf>
    <xf numFmtId="0" fontId="3" fillId="4" borderId="0" xfId="0" applyFont="1" applyFill="1" applyAlignment="1">
      <alignment vertical="center"/>
    </xf>
    <xf numFmtId="170" fontId="3" fillId="4" borderId="0" xfId="0" applyNumberFormat="1" applyFont="1" applyFill="1" applyBorder="1" applyAlignment="1">
      <alignment horizontal="center"/>
    </xf>
    <xf numFmtId="2" fontId="3" fillId="4" borderId="0" xfId="1" applyNumberFormat="1" applyFont="1" applyFill="1" applyBorder="1" applyAlignment="1">
      <alignment horizontal="center"/>
    </xf>
    <xf numFmtId="2" fontId="3" fillId="4" borderId="6" xfId="1" applyNumberFormat="1" applyFont="1" applyFill="1" applyBorder="1" applyAlignment="1">
      <alignment horizontal="center"/>
    </xf>
    <xf numFmtId="0" fontId="0" fillId="0" borderId="0" xfId="0" applyBorder="1"/>
    <xf numFmtId="0" fontId="0" fillId="0" borderId="0" xfId="0"/>
    <xf numFmtId="0" fontId="0" fillId="0" borderId="0" xfId="0" applyAlignment="1">
      <alignment vertical="center"/>
    </xf>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166" fontId="3" fillId="3" borderId="0" xfId="0" applyNumberFormat="1" applyFont="1" applyFill="1" applyBorder="1" applyAlignment="1">
      <alignment horizontal="center"/>
    </xf>
    <xf numFmtId="0" fontId="3" fillId="0" borderId="0" xfId="0" applyFont="1" applyBorder="1" applyAlignment="1">
      <alignment horizontal="center"/>
    </xf>
    <xf numFmtId="168" fontId="3" fillId="3" borderId="0" xfId="0" applyNumberFormat="1" applyFont="1" applyFill="1" applyBorder="1" applyAlignment="1">
      <alignment horizontal="center"/>
    </xf>
    <xf numFmtId="0" fontId="0" fillId="0" borderId="0" xfId="0" applyBorder="1"/>
    <xf numFmtId="0" fontId="3" fillId="4" borderId="0" xfId="0" applyFont="1" applyFill="1" applyBorder="1" applyAlignment="1">
      <alignment horizontal="center"/>
    </xf>
    <xf numFmtId="0" fontId="3" fillId="3" borderId="0" xfId="0" applyNumberFormat="1" applyFont="1" applyFill="1" applyBorder="1" applyAlignment="1">
      <alignment horizontal="center"/>
    </xf>
    <xf numFmtId="171"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0" fillId="0" borderId="0" xfId="0"/>
    <xf numFmtId="0" fontId="0" fillId="0" borderId="0" xfId="0" applyAlignment="1">
      <alignment vertical="center"/>
    </xf>
    <xf numFmtId="0" fontId="3" fillId="3" borderId="0" xfId="0" applyFont="1" applyFill="1" applyBorder="1" applyAlignment="1">
      <alignment horizontal="center"/>
    </xf>
    <xf numFmtId="165" fontId="3" fillId="3" borderId="0" xfId="0" applyNumberFormat="1" applyFont="1" applyFill="1" applyBorder="1" applyAlignment="1">
      <alignment horizontal="center"/>
    </xf>
    <xf numFmtId="166" fontId="3" fillId="3" borderId="0" xfId="0" applyNumberFormat="1" applyFont="1" applyFill="1" applyBorder="1" applyAlignment="1">
      <alignment horizontal="center"/>
    </xf>
    <xf numFmtId="0" fontId="3" fillId="0" borderId="0" xfId="0" applyFont="1" applyBorder="1" applyAlignment="1">
      <alignment horizontal="center"/>
    </xf>
    <xf numFmtId="168" fontId="3" fillId="3" borderId="0" xfId="0" applyNumberFormat="1" applyFont="1" applyFill="1" applyBorder="1" applyAlignment="1">
      <alignment horizontal="center"/>
    </xf>
    <xf numFmtId="0" fontId="0" fillId="0" borderId="0" xfId="0" applyBorder="1"/>
    <xf numFmtId="0" fontId="3" fillId="4" borderId="0" xfId="0" applyFont="1" applyFill="1" applyBorder="1" applyAlignment="1">
      <alignment horizontal="center"/>
    </xf>
    <xf numFmtId="0" fontId="3" fillId="3" borderId="0" xfId="0" applyNumberFormat="1" applyFont="1" applyFill="1" applyBorder="1" applyAlignment="1">
      <alignment horizontal="center"/>
    </xf>
    <xf numFmtId="171" fontId="3" fillId="3" borderId="0" xfId="0" applyNumberFormat="1" applyFont="1" applyFill="1" applyBorder="1" applyAlignment="1">
      <alignment horizontal="center"/>
    </xf>
    <xf numFmtId="2" fontId="3" fillId="3" borderId="0" xfId="1" applyNumberFormat="1" applyFont="1" applyFill="1" applyBorder="1" applyAlignment="1">
      <alignment horizontal="center"/>
    </xf>
    <xf numFmtId="0" fontId="12" fillId="0" borderId="0" xfId="0" applyFont="1" applyAlignment="1">
      <alignment vertical="center"/>
    </xf>
    <xf numFmtId="0" fontId="12" fillId="0" borderId="0" xfId="0" applyFont="1" applyAlignment="1">
      <alignment vertical="center" wrapText="1"/>
    </xf>
    <xf numFmtId="167" fontId="12" fillId="0" borderId="0" xfId="1" applyNumberFormat="1" applyFont="1" applyAlignment="1" applyProtection="1">
      <alignment vertical="center"/>
      <protection hidden="1"/>
    </xf>
    <xf numFmtId="164" fontId="12" fillId="0" borderId="0" xfId="1" applyFont="1" applyAlignment="1" applyProtection="1">
      <alignment vertical="center"/>
      <protection hidden="1"/>
    </xf>
    <xf numFmtId="0" fontId="13" fillId="0" borderId="0" xfId="0" applyFont="1"/>
    <xf numFmtId="164" fontId="13" fillId="0" borderId="0" xfId="1" applyFont="1"/>
    <xf numFmtId="0" fontId="13" fillId="0" borderId="0" xfId="0" applyFont="1" applyAlignment="1">
      <alignment vertical="center"/>
    </xf>
    <xf numFmtId="0" fontId="13" fillId="0" borderId="0" xfId="0" applyFont="1" applyAlignment="1">
      <alignment vertical="center" wrapText="1"/>
    </xf>
    <xf numFmtId="164" fontId="13" fillId="0" borderId="0" xfId="1" applyFont="1" applyAlignment="1">
      <alignment vertical="center"/>
    </xf>
    <xf numFmtId="167" fontId="18" fillId="0" borderId="0" xfId="1" applyNumberFormat="1" applyFont="1" applyAlignment="1" applyProtection="1">
      <alignment vertical="center"/>
      <protection hidden="1"/>
    </xf>
    <xf numFmtId="167" fontId="19" fillId="0" borderId="0" xfId="1" applyNumberFormat="1" applyFont="1" applyAlignment="1" applyProtection="1">
      <alignment vertical="center"/>
      <protection hidden="1"/>
    </xf>
    <xf numFmtId="169" fontId="19" fillId="0" borderId="0" xfId="1" applyNumberFormat="1" applyFont="1" applyAlignment="1" applyProtection="1">
      <alignment vertical="center"/>
      <protection hidden="1"/>
    </xf>
    <xf numFmtId="169" fontId="19" fillId="0" borderId="0" xfId="0" applyNumberFormat="1" applyFont="1" applyAlignment="1" applyProtection="1">
      <alignment vertical="center"/>
      <protection hidden="1"/>
    </xf>
    <xf numFmtId="167" fontId="18" fillId="0" borderId="0" xfId="1" applyNumberFormat="1" applyFont="1" applyAlignment="1" applyProtection="1">
      <alignment horizontal="center" vertical="center"/>
      <protection hidden="1"/>
    </xf>
    <xf numFmtId="171" fontId="18" fillId="0" borderId="0" xfId="1" applyNumberFormat="1" applyFont="1" applyAlignment="1" applyProtection="1">
      <alignment vertical="center"/>
      <protection hidden="1"/>
    </xf>
    <xf numFmtId="0" fontId="20" fillId="0" borderId="0" xfId="0" applyFont="1" applyBorder="1" applyAlignment="1">
      <alignment horizontal="center" vertical="center"/>
    </xf>
    <xf numFmtId="0" fontId="20" fillId="0" borderId="0" xfId="0" applyFont="1" applyBorder="1" applyAlignment="1">
      <alignment vertical="center"/>
    </xf>
    <xf numFmtId="0" fontId="20" fillId="0" borderId="0" xfId="0" applyFont="1" applyBorder="1" applyAlignment="1">
      <alignment horizontal="left" vertical="center"/>
    </xf>
    <xf numFmtId="0" fontId="20" fillId="0" borderId="0" xfId="0" applyNumberFormat="1" applyFont="1" applyBorder="1" applyAlignment="1">
      <alignment horizontal="center" vertical="center"/>
    </xf>
    <xf numFmtId="169" fontId="21" fillId="6" borderId="8" xfId="0" applyNumberFormat="1" applyFont="1" applyFill="1" applyBorder="1" applyAlignment="1" applyProtection="1">
      <alignment horizontal="center" vertical="center"/>
      <protection hidden="1"/>
    </xf>
    <xf numFmtId="1" fontId="20" fillId="0" borderId="0" xfId="1" applyNumberFormat="1" applyFont="1" applyBorder="1" applyAlignment="1">
      <alignment horizontal="center" vertical="center"/>
    </xf>
    <xf numFmtId="174" fontId="20" fillId="0" borderId="0" xfId="1" applyNumberFormat="1" applyFont="1" applyBorder="1" applyAlignment="1">
      <alignment horizontal="center" vertical="center"/>
    </xf>
    <xf numFmtId="168" fontId="20" fillId="0" borderId="0" xfId="0" applyNumberFormat="1" applyFont="1" applyBorder="1" applyAlignment="1">
      <alignment horizontal="center"/>
    </xf>
    <xf numFmtId="169" fontId="20" fillId="6" borderId="9" xfId="0" applyNumberFormat="1" applyFont="1" applyFill="1" applyBorder="1" applyAlignment="1" applyProtection="1">
      <alignment horizontal="center" vertical="center"/>
      <protection hidden="1"/>
    </xf>
    <xf numFmtId="164" fontId="22" fillId="0" borderId="0" xfId="1" applyNumberFormat="1" applyFont="1" applyBorder="1" applyAlignment="1">
      <alignment horizontal="center" vertical="center" wrapText="1"/>
    </xf>
    <xf numFmtId="0" fontId="23" fillId="0" borderId="0" xfId="2" applyFont="1" applyAlignment="1">
      <alignment horizontal="center" vertical="center" wrapText="1"/>
    </xf>
    <xf numFmtId="164" fontId="10" fillId="0" borderId="0" xfId="1" applyFont="1" applyAlignment="1" applyProtection="1">
      <alignment vertical="center"/>
      <protection hidden="1"/>
    </xf>
    <xf numFmtId="0" fontId="24" fillId="0" borderId="0" xfId="0" applyFont="1" applyAlignment="1">
      <alignment vertical="center"/>
    </xf>
    <xf numFmtId="0" fontId="24" fillId="0" borderId="0" xfId="0" applyFont="1" applyAlignment="1">
      <alignment vertical="center" wrapText="1"/>
    </xf>
    <xf numFmtId="167" fontId="24" fillId="0" borderId="0" xfId="0" applyNumberFormat="1" applyFont="1" applyAlignment="1">
      <alignment vertical="center"/>
    </xf>
    <xf numFmtId="169" fontId="24" fillId="0" borderId="0" xfId="0" applyNumberFormat="1" applyFont="1" applyAlignment="1">
      <alignment vertical="center"/>
    </xf>
    <xf numFmtId="167" fontId="25" fillId="0" borderId="0" xfId="0" applyNumberFormat="1" applyFont="1" applyAlignment="1" applyProtection="1">
      <alignment horizontal="center" vertical="center"/>
      <protection hidden="1"/>
    </xf>
    <xf numFmtId="167" fontId="24" fillId="0" borderId="0" xfId="0" applyNumberFormat="1"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28" fillId="4" borderId="0" xfId="0" applyFont="1" applyFill="1" applyBorder="1" applyAlignment="1">
      <alignment vertical="center"/>
    </xf>
    <xf numFmtId="0" fontId="28" fillId="3" borderId="0" xfId="0" applyFont="1" applyFill="1" applyBorder="1" applyAlignment="1">
      <alignment horizontal="center"/>
    </xf>
    <xf numFmtId="165" fontId="28" fillId="3" borderId="0" xfId="0" applyNumberFormat="1" applyFont="1" applyFill="1" applyBorder="1" applyAlignment="1">
      <alignment horizontal="center"/>
    </xf>
    <xf numFmtId="0" fontId="28" fillId="4" borderId="0" xfId="0" applyFont="1" applyFill="1" applyBorder="1" applyAlignment="1">
      <alignment horizontal="center"/>
    </xf>
    <xf numFmtId="165" fontId="28" fillId="4" borderId="0" xfId="1" applyNumberFormat="1" applyFont="1" applyFill="1" applyBorder="1" applyAlignment="1">
      <alignment horizontal="center"/>
    </xf>
    <xf numFmtId="166" fontId="28" fillId="3" borderId="0" xfId="0" applyNumberFormat="1" applyFont="1" applyFill="1" applyBorder="1" applyAlignment="1">
      <alignment horizontal="center"/>
    </xf>
    <xf numFmtId="171" fontId="28" fillId="3" borderId="0" xfId="1" applyNumberFormat="1" applyFont="1" applyFill="1" applyBorder="1" applyAlignment="1">
      <alignment horizontal="center"/>
    </xf>
    <xf numFmtId="0" fontId="28" fillId="0" borderId="0" xfId="0" applyFont="1" applyBorder="1" applyAlignment="1">
      <alignment horizontal="center"/>
    </xf>
    <xf numFmtId="168" fontId="28" fillId="3" borderId="0" xfId="0" applyNumberFormat="1" applyFont="1" applyFill="1" applyBorder="1" applyAlignment="1">
      <alignment horizontal="center"/>
    </xf>
    <xf numFmtId="0" fontId="28" fillId="3" borderId="0" xfId="0" applyNumberFormat="1" applyFont="1" applyFill="1" applyBorder="1" applyAlignment="1">
      <alignment horizontal="center"/>
    </xf>
    <xf numFmtId="165" fontId="3" fillId="3" borderId="0" xfId="0" applyNumberFormat="1" applyFont="1" applyFill="1" applyBorder="1" applyAlignment="1">
      <alignment horizontal="right"/>
    </xf>
    <xf numFmtId="0" fontId="28" fillId="0" borderId="0" xfId="0" applyNumberFormat="1" applyFont="1" applyBorder="1" applyAlignment="1">
      <alignment horizontal="center"/>
    </xf>
    <xf numFmtId="169" fontId="10" fillId="7" borderId="0" xfId="0" applyNumberFormat="1" applyFont="1" applyFill="1" applyAlignment="1" applyProtection="1">
      <alignment vertical="center"/>
      <protection hidden="1"/>
    </xf>
    <xf numFmtId="0" fontId="7" fillId="0" borderId="0" xfId="0" applyFont="1" applyAlignment="1">
      <alignment vertical="center"/>
    </xf>
    <xf numFmtId="0" fontId="7" fillId="0" borderId="0" xfId="0" applyFont="1" applyAlignment="1">
      <alignment vertical="center" wrapText="1"/>
    </xf>
    <xf numFmtId="169" fontId="7" fillId="0" borderId="0" xfId="0" applyNumberFormat="1" applyFont="1" applyAlignment="1">
      <alignment vertical="center"/>
    </xf>
    <xf numFmtId="0" fontId="7" fillId="0" borderId="0" xfId="0" applyNumberFormat="1" applyFont="1" applyAlignment="1">
      <alignment vertical="center"/>
    </xf>
    <xf numFmtId="169" fontId="10" fillId="8" borderId="0" xfId="0" applyNumberFormat="1" applyFont="1" applyFill="1" applyAlignment="1" applyProtection="1">
      <alignment vertical="center"/>
      <protection hidden="1"/>
    </xf>
    <xf numFmtId="0" fontId="2" fillId="0" borderId="0" xfId="2" applyAlignment="1">
      <alignment horizontal="left"/>
    </xf>
    <xf numFmtId="2" fontId="28" fillId="4" borderId="0" xfId="1" applyNumberFormat="1" applyFont="1" applyFill="1" applyBorder="1" applyAlignment="1">
      <alignment horizontal="center"/>
    </xf>
  </cellXfs>
  <cellStyles count="4">
    <cellStyle name="Comma" xfId="1" builtinId="3"/>
    <cellStyle name="Explanatory Text" xfId="2" builtinId="53"/>
    <cellStyle name="Normal" xfId="0" builtinId="0"/>
    <cellStyle name="Percent" xfId="3" builtinId="5"/>
  </cellStyles>
  <dxfs count="1198">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2" formatCode="0.00"/>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2"/>
        <color theme="1"/>
        <name val="Arial"/>
        <scheme val="none"/>
      </font>
      <numFmt numFmtId="0" formatCode="General"/>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8" formatCode="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numFmt numFmtId="171" formatCode="[h];@"/>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h]:mm:ss;@"/>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m/d/yy\ h:mm;@"/>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theme="0" tint="-0.14999847407452621"/>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center" textRotation="0" wrapText="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theme="8"/>
          <bgColor theme="8"/>
        </patternFill>
      </fill>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scheme val="minor"/>
      </font>
      <numFmt numFmtId="169" formatCode="[h]\ &quot;Hrs&quot;\ mm\ &quot;Min&quot;;@"/>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auto="1"/>
        <name val="Calibri"/>
        <family val="2"/>
        <scheme val="minor"/>
      </font>
      <numFmt numFmtId="169" formatCode="[h]\ &quot;Hrs&quot;\ mm\ &quot;Min&quot;;@"/>
      <alignment horizontal="general" vertical="center" textRotation="0" wrapText="0" indent="0" justifyLastLine="0" shrinkToFit="0" readingOrder="0"/>
      <protection locked="1" hidden="1"/>
    </dxf>
    <dxf>
      <font>
        <color auto="1"/>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numFmt numFmtId="0" formatCode="General"/>
      <alignment horizontal="general" vertical="center" textRotation="0" wrapText="0" indent="0" justifyLastLine="0" shrinkToFit="0" readingOrder="0"/>
    </dxf>
    <dxf>
      <font>
        <color auto="1"/>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numFmt numFmtId="173" formatCode="0.0"/>
      <alignment horizontal="general" vertical="center" textRotation="0" wrapText="0" indent="0" justifyLastLine="0" shrinkToFit="0" readingOrder="0"/>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font>
        <b val="0"/>
        <strike val="0"/>
        <outline val="0"/>
        <shadow val="0"/>
        <u val="none"/>
        <vertAlign val="baseline"/>
        <sz val="11"/>
        <color auto="1"/>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Cambria"/>
        <family val="1"/>
        <scheme val="none"/>
      </font>
      <alignment horizontal="general" vertical="center" textRotation="0" wrapText="1" indent="0" justifyLastLine="0" shrinkToFit="0" readingOrder="0"/>
    </dxf>
    <dxf>
      <font>
        <b val="0"/>
        <strike val="0"/>
        <outline val="0"/>
        <shadow val="0"/>
        <u val="none"/>
        <vertAlign val="baseline"/>
        <sz val="11"/>
        <color auto="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2"/>
        <color auto="1"/>
        <name val="Cambria"/>
        <family val="1"/>
        <scheme val="none"/>
      </font>
      <alignment horizontal="general" vertical="center" textRotation="0" wrapText="1" indent="0" justifyLastLine="0" shrinkToFit="0" readingOrder="0"/>
    </dxf>
    <dxf>
      <font>
        <b val="0"/>
        <strike val="0"/>
        <outline val="0"/>
        <shadow val="0"/>
        <u val="none"/>
        <vertAlign val="baseline"/>
        <sz val="11"/>
        <color auto="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2"/>
        <color auto="1"/>
        <name val="Cambria"/>
        <family val="1"/>
        <scheme val="none"/>
      </font>
      <alignment horizontal="general" vertical="center" textRotation="0" wrapText="0" indent="0" justifyLastLine="0" shrinkToFit="0" readingOrder="0"/>
    </dxf>
    <dxf>
      <font>
        <b val="0"/>
        <strike val="0"/>
        <outline val="0"/>
        <shadow val="0"/>
        <u val="none"/>
        <vertAlign val="baseline"/>
        <sz val="11"/>
        <color auto="1"/>
        <name val="Calibri"/>
        <scheme val="none"/>
      </font>
      <alignment horizontal="general" vertical="center" textRotation="0" wrapText="0" indent="0" justifyLastLine="0" shrinkToFit="0" readingOrder="0"/>
    </dxf>
    <dxf>
      <font>
        <b/>
        <strike val="0"/>
        <outline val="0"/>
        <shadow val="0"/>
        <u val="none"/>
        <vertAlign val="baseline"/>
        <sz val="12"/>
        <color auto="1"/>
        <name val="Cambria"/>
        <scheme val="none"/>
      </font>
    </dxf>
    <dxf>
      <alignment horizontal="general" vertical="center" textRotation="0" indent="0" justifyLastLine="0" shrinkToFit="0" readingOrder="0"/>
    </dxf>
    <dxf>
      <font>
        <i val="0"/>
        <strike val="0"/>
        <outline val="0"/>
        <shadow val="0"/>
        <u val="none"/>
        <vertAlign val="baseline"/>
        <sz val="11"/>
        <color theme="1"/>
        <name val="Arial"/>
        <scheme val="none"/>
      </font>
      <alignment horizontal="center" vertical="center" textRotation="0" wrapText="1" indent="0" justifyLastLine="0" shrinkToFit="0" readingOrder="0"/>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71" formatCode="[h];@"/>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general"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minor"/>
      </font>
      <numFmt numFmtId="167" formatCode="_(* #,##0_);_(* \(#,##0\);_(* &quot;-&quot;??_);_(@_)"/>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Calibri"/>
        <scheme val="none"/>
      </font>
      <numFmt numFmtId="167" formatCode="_(* #,##0_);_(* \(#,##0\);_(* &quot;-&quot;??_);_(@_)"/>
      <alignment horizontal="center"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strike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9" formatCode="[h]\ &quot;Hrs&quot;\ mm\ &quot;Min&quo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9" formatCode="[h]\ &quot;Hrs&quot;\ mm\ &quot;Min&quot;;@"/>
      <alignment horizontal="general" vertical="center" textRotation="0" wrapText="0" indent="0" justifyLastLine="0" shrinkToFit="0" readingOrder="0"/>
      <protection locked="1" hidden="1"/>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7" formatCode="_(* #,##0_);_(* \(#,##0\);_(* &quot;-&quot;??_);_(@_)"/>
      <alignment horizontal="general" vertical="center" textRotation="0" wrapText="0" indent="0" justifyLastLine="0" shrinkToFit="0" readingOrder="0"/>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7" formatCode="_(* #,##0_);_(* \(#,##0\);_(* &quot;-&quot;??_);_(@_)"/>
      <alignment horizontal="general" vertical="center" textRotation="0" wrapText="0" indent="0" justifyLastLine="0" shrinkToFit="0" readingOrder="0"/>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67" formatCode="_(* #,##0_);_(* \(#,##0\);_(* &quot;-&quot;??_);_(@_)"/>
      <alignment horizontal="general" vertical="center" textRotation="0" wrapText="0" indent="0" justifyLastLine="0" shrinkToFit="0" readingOrder="0"/>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strike val="0"/>
        <outline val="0"/>
        <shadow val="0"/>
        <u val="none"/>
        <vertAlign val="baseline"/>
        <sz val="11"/>
        <name val="Calibri"/>
        <scheme val="none"/>
      </font>
      <numFmt numFmtId="167" formatCode="_(* #,##0_);_(* \(#,##0\);_(* &quot;-&quot;??_);_(@_)"/>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strike val="0"/>
        <outline val="0"/>
        <shadow val="0"/>
        <u val="none"/>
        <vertAlign val="baseline"/>
        <sz val="11"/>
        <name val="Calibri"/>
        <scheme val="none"/>
      </font>
      <numFmt numFmtId="167" formatCode="_(* #,##0_);_(* \(#,##0\);_(* &quot;-&quot;??_);_(@_)"/>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strike val="0"/>
        <outline val="0"/>
        <shadow val="0"/>
        <u val="none"/>
        <vertAlign val="baseline"/>
        <sz val="11"/>
        <name val="Calibri"/>
        <scheme val="none"/>
      </font>
      <numFmt numFmtId="167" formatCode="_(* #,##0_);_(* \(#,##0\);_(* &quot;-&quot;??_);_(@_)"/>
    </dxf>
    <dxf>
      <font>
        <b/>
        <i val="0"/>
        <strike val="0"/>
        <condense val="0"/>
        <extend val="0"/>
        <outline val="0"/>
        <shadow val="0"/>
        <u val="none"/>
        <vertAlign val="baseline"/>
        <sz val="12"/>
        <color auto="1"/>
        <name val="Cambria"/>
        <scheme val="none"/>
      </font>
      <numFmt numFmtId="167" formatCode="_(* #,##0_);_(* \(#,##0\);_(* &quot;-&quot;??_);_(@_)"/>
      <alignment horizontal="general" vertical="center" textRotation="0" wrapText="0" indent="0" justifyLastLine="0" shrinkToFit="0" readingOrder="0"/>
    </dxf>
    <dxf>
      <font>
        <b val="0"/>
        <strike val="0"/>
        <outline val="0"/>
        <shadow val="0"/>
        <u val="none"/>
        <vertAlign val="baseline"/>
        <sz val="11"/>
        <name val="Calibri"/>
        <scheme val="none"/>
      </font>
      <numFmt numFmtId="167" formatCode="_(* #,##0_);_(* \(#,##0\);_(* &quot;-&quot;??_);_(@_)"/>
    </dxf>
    <dxf>
      <font>
        <b/>
        <i val="0"/>
        <strike val="0"/>
        <condense val="0"/>
        <extend val="0"/>
        <outline val="0"/>
        <shadow val="0"/>
        <u val="none"/>
        <vertAlign val="baseline"/>
        <sz val="12"/>
        <color auto="1"/>
        <name val="Cambria"/>
        <scheme val="none"/>
      </font>
      <alignment horizontal="general" vertical="center" textRotation="0" wrapText="0" indent="0" justifyLastLine="0" shrinkToFit="0" readingOrder="0"/>
    </dxf>
    <dxf>
      <font>
        <b val="0"/>
        <strike val="0"/>
        <outline val="0"/>
        <shadow val="0"/>
        <u val="none"/>
        <vertAlign val="baseline"/>
        <sz val="11"/>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Cambria"/>
        <scheme val="none"/>
      </font>
      <alignment horizontal="general" vertical="center" textRotation="0" wrapText="0" indent="0" justifyLastLine="0" shrinkToFit="0" readingOrder="0"/>
    </dxf>
    <dxf>
      <font>
        <b val="0"/>
        <strike val="0"/>
        <outline val="0"/>
        <shadow val="0"/>
        <u val="none"/>
        <vertAlign val="baseline"/>
        <sz val="11"/>
        <name val="Calibri"/>
        <scheme val="none"/>
      </font>
    </dxf>
    <dxf>
      <font>
        <b/>
        <i val="0"/>
        <strike val="0"/>
        <condense val="0"/>
        <extend val="0"/>
        <outline val="0"/>
        <shadow val="0"/>
        <u val="none"/>
        <vertAlign val="baseline"/>
        <sz val="12"/>
        <color auto="1"/>
        <name val="Cambria"/>
        <scheme val="none"/>
      </font>
      <alignment horizontal="general" vertical="center" textRotation="0" wrapText="1" indent="0" justifyLastLine="0" shrinkToFit="0" readingOrder="0"/>
    </dxf>
    <dxf>
      <font>
        <b val="0"/>
        <strike val="0"/>
        <outline val="0"/>
        <shadow val="0"/>
        <u val="none"/>
        <vertAlign val="baseline"/>
        <sz val="1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2"/>
        <color auto="1"/>
        <name val="Cambria"/>
        <scheme val="none"/>
      </font>
      <alignment horizontal="general" vertical="center" textRotation="0" wrapText="1" indent="0" justifyLastLine="0" shrinkToFit="0" readingOrder="0"/>
    </dxf>
    <dxf>
      <font>
        <b val="0"/>
        <strike val="0"/>
        <outline val="0"/>
        <shadow val="0"/>
        <u val="none"/>
        <vertAlign val="baseline"/>
        <sz val="11"/>
        <name val="Calibri"/>
        <scheme val="none"/>
      </font>
    </dxf>
    <dxf>
      <font>
        <b/>
        <i val="0"/>
        <strike val="0"/>
        <condense val="0"/>
        <extend val="0"/>
        <outline val="0"/>
        <shadow val="0"/>
        <u val="none"/>
        <vertAlign val="baseline"/>
        <sz val="12"/>
        <color auto="1"/>
        <name val="Cambria"/>
        <scheme val="none"/>
      </font>
      <alignment horizontal="general" vertical="center" textRotation="0" wrapText="0" indent="0" justifyLastLine="0" shrinkToFit="0" readingOrder="0"/>
    </dxf>
    <dxf>
      <font>
        <b val="0"/>
        <strike val="0"/>
        <outline val="0"/>
        <shadow val="0"/>
        <u val="none"/>
        <vertAlign val="baseline"/>
        <sz val="11"/>
        <name val="Calibri"/>
        <scheme val="none"/>
      </font>
    </dxf>
    <dxf>
      <font>
        <b/>
        <strike val="0"/>
        <outline val="0"/>
        <shadow val="0"/>
        <u val="none"/>
        <vertAlign val="baseline"/>
        <sz val="12"/>
        <color auto="1"/>
        <name val="Cambria"/>
        <scheme val="none"/>
      </font>
    </dxf>
    <dxf>
      <font>
        <b val="0"/>
        <strike val="0"/>
        <outline val="0"/>
        <shadow val="0"/>
        <u val="none"/>
        <vertAlign val="baseline"/>
        <sz val="11"/>
        <name val="Calibri"/>
        <scheme val="none"/>
      </font>
      <alignment horizontal="general" vertical="center" textRotation="0" indent="0" justifyLastLine="0" shrinkToFit="0" readingOrder="0"/>
    </dxf>
    <dxf>
      <font>
        <i val="0"/>
        <strike val="0"/>
        <outline val="0"/>
        <shadow val="0"/>
        <u val="none"/>
        <vertAlign val="baseline"/>
        <sz val="11"/>
        <color theme="1"/>
        <name val="Arial"/>
        <scheme val="none"/>
      </font>
      <alignment horizontal="center" vertical="center" textRotation="0" wrapText="1" indent="0" justifyLastLine="0" shrinkToFit="0" readingOrder="0"/>
    </dxf>
    <dxf>
      <font>
        <b/>
        <strike val="0"/>
        <outline val="0"/>
        <shadow val="0"/>
        <u val="none"/>
        <vertAlign val="baseline"/>
        <sz val="11"/>
        <color theme="1"/>
        <name val="Arial"/>
        <scheme val="none"/>
      </font>
      <numFmt numFmtId="13" formatCode="0%"/>
    </dxf>
    <dxf>
      <font>
        <b/>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dxf>
    <dxf>
      <font>
        <b val="0"/>
        <strike val="0"/>
        <outline val="0"/>
        <shadow val="0"/>
        <u val="none"/>
        <vertAlign val="baseline"/>
        <sz val="11"/>
        <color theme="1"/>
        <name val="Arial"/>
        <scheme val="none"/>
      </font>
      <numFmt numFmtId="0" formatCode="General"/>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168" formatCode="h:mm;@"/>
      <alignment horizontal="center" vertical="center" textRotation="0" wrapText="1" indent="0" justifyLastLine="0" shrinkToFit="0" readingOrder="0"/>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0" formatCode="General"/>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2" formatCode="0.00"/>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14" formatCode="0.00%"/>
    </dxf>
    <dxf>
      <font>
        <b val="0"/>
        <i val="0"/>
        <strike val="0"/>
        <condense val="0"/>
        <extend val="0"/>
        <outline val="0"/>
        <shadow val="0"/>
        <u val="none"/>
        <vertAlign val="baseline"/>
        <sz val="11"/>
        <color theme="1"/>
        <name val="Arial"/>
        <scheme val="none"/>
      </font>
      <numFmt numFmtId="2" formatCode="0.00"/>
    </dxf>
    <dxf>
      <font>
        <b val="0"/>
        <i val="0"/>
        <strike val="0"/>
        <condense val="0"/>
        <extend val="0"/>
        <outline val="0"/>
        <shadow val="0"/>
        <u val="none"/>
        <vertAlign val="baseline"/>
        <sz val="11"/>
        <color theme="1"/>
        <name val="Arial"/>
        <scheme val="none"/>
      </font>
      <numFmt numFmtId="168" formatCode="h:mm;@"/>
    </dxf>
    <dxf>
      <font>
        <b val="0"/>
        <i val="0"/>
        <strike val="0"/>
        <condense val="0"/>
        <extend val="0"/>
        <outline val="0"/>
        <shadow val="0"/>
        <u val="none"/>
        <vertAlign val="baseline"/>
        <sz val="11"/>
        <color theme="1"/>
        <name val="Arial"/>
        <scheme val="none"/>
      </font>
      <numFmt numFmtId="2" formatCode="0.00"/>
    </dxf>
    <dxf>
      <font>
        <b val="0"/>
        <i val="0"/>
        <strike val="0"/>
        <condense val="0"/>
        <extend val="0"/>
        <outline val="0"/>
        <shadow val="0"/>
        <u val="none"/>
        <vertAlign val="baseline"/>
        <sz val="11"/>
        <color theme="1"/>
        <name val="Arial"/>
        <scheme val="none"/>
      </font>
      <numFmt numFmtId="168" formatCode="h:mm;@"/>
    </dxf>
    <dxf>
      <font>
        <strike val="0"/>
        <outline val="0"/>
        <shadow val="0"/>
        <u val="none"/>
        <vertAlign val="baseline"/>
        <sz val="11"/>
        <color theme="1"/>
        <name val="Arial"/>
        <scheme val="none"/>
      </font>
      <numFmt numFmtId="168" formatCode="h:mm;@"/>
      <alignment horizontal="center" textRotation="0" indent="0" justifyLastLine="0" shrinkToFit="0" readingOrder="0"/>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Arial"/>
        <scheme val="none"/>
      </font>
      <numFmt numFmtId="174" formatCode="0.000"/>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Arial"/>
        <scheme val="none"/>
      </font>
      <numFmt numFmtId="169" formatCode="[h]\ &quot;Hrs&quot;\ mm\ &quot;Min&quot;;@"/>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auto="1"/>
        <name val="Arial"/>
        <scheme val="none"/>
      </font>
      <numFmt numFmtId="169" formatCode="[h]\ &quot;Hrs&quot;\ mm\ &quot;Min&quo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outline="0">
        <left/>
        <right/>
        <top style="thin">
          <color theme="6" tint="0.39997558519241921"/>
        </top>
        <bottom style="thin">
          <color theme="6" tint="0.39997558519241921"/>
        </bottom>
      </border>
      <protection locked="1" hidden="1"/>
    </dxf>
    <dxf>
      <font>
        <b val="0"/>
        <i val="0"/>
        <strike val="0"/>
        <condense val="0"/>
        <extend val="0"/>
        <outline val="0"/>
        <shadow val="0"/>
        <u val="none"/>
        <vertAlign val="baseline"/>
        <sz val="11"/>
        <color auto="1"/>
        <name val="Arial"/>
        <scheme val="none"/>
      </font>
      <numFmt numFmtId="169" formatCode="[h]\ &quot;Hrs&quot;\ mm\ &quot;Min&quot;;@"/>
      <alignment horizontal="center" vertical="center" textRotation="0" wrapText="0" indent="0" justifyLastLine="0" shrinkToFit="0" readingOrder="0"/>
      <protection locked="1" hidden="1"/>
    </dxf>
    <dxf>
      <font>
        <b val="0"/>
        <i val="0"/>
        <strike val="0"/>
        <condense val="0"/>
        <extend val="0"/>
        <outline val="0"/>
        <shadow val="0"/>
        <u val="none"/>
        <vertAlign val="baseline"/>
        <sz val="11"/>
        <color auto="1"/>
        <name val="Arial"/>
        <scheme val="none"/>
      </font>
      <numFmt numFmtId="169" formatCode="[h]\ &quot;Hrs&quot;\ mm\ &quot;Min&quo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1"/>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dxf>
    <dxf>
      <border>
        <bottom style="thin">
          <color indexed="64"/>
        </bottom>
      </border>
    </dxf>
    <dxf>
      <font>
        <strike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11"/>
        <color rgb="FF000000"/>
        <name val="Arial"/>
        <scheme val="none"/>
      </font>
      <numFmt numFmtId="0" formatCode="General"/>
      <alignment horizontal="center" vertical="center" textRotation="0" wrapText="1" indent="0" justifyLastLine="0" shrinkToFit="0" readingOrder="0"/>
    </dxf>
    <dxf>
      <font>
        <strike val="0"/>
        <outline val="0"/>
        <shadow val="0"/>
        <u val="none"/>
        <vertAlign val="baseline"/>
        <sz val="11"/>
        <color rgb="FF000000"/>
        <name val="Arial"/>
        <scheme val="none"/>
      </font>
      <numFmt numFmtId="0" formatCode="General"/>
    </dxf>
    <dxf>
      <font>
        <strike val="0"/>
        <outline val="0"/>
        <shadow val="0"/>
        <u val="none"/>
        <vertAlign val="baseline"/>
        <sz val="11"/>
        <color rgb="FF000000"/>
        <name val="Arial"/>
        <scheme val="none"/>
      </font>
      <numFmt numFmtId="164" formatCode="_(* #,##0.00_);_(* \(#,##0.00\);_(* &quot;-&quot;??_);_(@_)"/>
    </dxf>
    <dxf>
      <font>
        <strike val="0"/>
        <outline val="0"/>
        <shadow val="0"/>
        <u val="none"/>
        <vertAlign val="baseline"/>
        <sz val="11"/>
        <color rgb="FF000000"/>
        <name val="Arial"/>
        <scheme val="none"/>
      </font>
      <numFmt numFmtId="0" formatCode="General"/>
    </dxf>
    <dxf>
      <font>
        <strike val="0"/>
        <outline val="0"/>
        <shadow val="0"/>
        <u val="none"/>
        <vertAlign val="baseline"/>
        <sz val="11"/>
        <color rgb="FF000000"/>
        <name val="Arial"/>
        <scheme val="none"/>
      </font>
      <numFmt numFmtId="0" formatCode="General"/>
    </dxf>
    <dxf>
      <font>
        <strike val="0"/>
        <outline val="0"/>
        <shadow val="0"/>
        <u val="none"/>
        <vertAlign val="baseline"/>
        <sz val="11"/>
        <color rgb="FF000000"/>
        <name val="Arial"/>
        <scheme val="none"/>
      </font>
      <numFmt numFmtId="164" formatCode="_(* #,##0.00_);_(* \(#,##0.00\);_(* &quot;-&quot;??_);_(@_)"/>
    </dxf>
    <dxf>
      <font>
        <strike val="0"/>
        <outline val="0"/>
        <shadow val="0"/>
        <u val="none"/>
        <vertAlign val="baseline"/>
        <sz val="11"/>
        <color rgb="FF000000"/>
        <name val="Arial"/>
        <scheme val="none"/>
      </font>
      <numFmt numFmtId="164" formatCode="_(* #,##0.00_);_(* \(#,##0.00\);_(* &quot;-&quot;??_);_(@_)"/>
    </dxf>
    <dxf>
      <font>
        <b val="0"/>
        <i val="0"/>
        <strike val="0"/>
        <condense val="0"/>
        <extend val="0"/>
        <outline val="0"/>
        <shadow val="0"/>
        <u val="none"/>
        <vertAlign val="baseline"/>
        <sz val="11"/>
        <color rgb="FF000000"/>
        <name val="Arial"/>
        <scheme val="none"/>
      </font>
      <numFmt numFmtId="164" formatCode="_(* #,##0.00_);_(* \(#,##0.00\);_(* &quot;-&quot;??_);_(@_)"/>
      <alignment horizontal="center" vertical="center" textRotation="0" wrapText="1" indent="0" justifyLastLine="0" shrinkToFit="0" readingOrder="0"/>
    </dxf>
    <dxf>
      <font>
        <b val="0"/>
        <i val="0"/>
        <strike val="0"/>
        <condense val="0"/>
        <extend val="0"/>
        <outline val="0"/>
        <shadow val="0"/>
        <u val="none"/>
        <vertAlign val="baseline"/>
        <sz val="11"/>
        <color rgb="FF000000"/>
        <name val="Arial"/>
        <scheme val="none"/>
      </font>
      <numFmt numFmtId="164" formatCode="_(* #,##0.00_);_(* \(#,##0.00\);_(* &quot;-&quot;??_);_(@_)"/>
      <alignment horizontal="center" vertical="center" textRotation="0" wrapText="1" indent="0" justifyLastLine="0" shrinkToFit="0" readingOrder="0"/>
    </dxf>
    <dxf>
      <font>
        <strike val="0"/>
        <outline val="0"/>
        <shadow val="0"/>
        <u val="none"/>
        <vertAlign val="baseline"/>
        <sz val="11"/>
        <color rgb="FF000000"/>
        <name val="Arial"/>
        <scheme val="none"/>
      </font>
      <numFmt numFmtId="164" formatCode="_(* #,##0.00_);_(* \(#,##0.00\);_(* &quot;-&quot;??_);_(@_)"/>
    </dxf>
    <dxf>
      <font>
        <b val="0"/>
        <i val="0"/>
        <strike val="0"/>
        <condense val="0"/>
        <extend val="0"/>
        <outline val="0"/>
        <shadow val="0"/>
        <u val="none"/>
        <vertAlign val="baseline"/>
        <sz val="11"/>
        <color theme="1"/>
        <name val="Arial"/>
        <scheme val="none"/>
      </font>
      <numFmt numFmtId="169" formatCode="[h]\ &quot;Hrs&quot;\ mm\ &quot;Min&quo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0"/>
        </top>
        <bottom style="thin">
          <color theme="0"/>
        </bottom>
      </border>
      <protection locked="1" hidden="1"/>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dxf>
    <dxf>
      <font>
        <strike val="0"/>
        <outline val="0"/>
        <shadow val="0"/>
        <u val="none"/>
        <vertAlign val="baseline"/>
        <sz val="11"/>
        <color theme="1"/>
        <name val="Arial"/>
        <scheme val="none"/>
      </font>
      <alignment horizontal="general" vertical="center" textRotation="0" wrapText="0" indent="0" justifyLastLine="0" shrinkToFit="0" readingOrder="0"/>
    </dxf>
    <dxf>
      <font>
        <strike val="0"/>
        <outline val="0"/>
        <shadow val="0"/>
        <u val="none"/>
        <vertAlign val="baseline"/>
        <sz val="11"/>
        <color rgb="FF000000"/>
        <name val="Arial"/>
        <scheme val="none"/>
      </font>
    </dxf>
    <dxf>
      <border>
        <bottom style="thin">
          <color rgb="FF000000"/>
        </bottom>
      </border>
    </dxf>
    <dxf>
      <font>
        <strike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Table135" displayName="Table135" ref="A1:N11" totalsRowShown="0" headerRowDxfId="1197" dataDxfId="1195" headerRowBorderDxfId="1196">
  <tableColumns count="14">
    <tableColumn id="2" xr3:uid="{00000000-0010-0000-0000-000002000000}" name="Region" dataDxfId="1194" totalsRowDxfId="1193"/>
    <tableColumn id="3" xr3:uid="{00000000-0010-0000-0000-000003000000}" name="Total Interruption" dataDxfId="1192" totalsRowDxfId="1191">
      <calculatedColumnFormula>SUMIF(Main!A:A,'Ranking Region'!A2,Main!F:F)</calculatedColumnFormula>
    </tableColumn>
    <tableColumn id="1" xr3:uid="{00000000-0010-0000-0000-000001000000}" name="Total Faults" dataDxfId="1190" totalsRowDxfId="1189">
      <calculatedColumnFormula>SUMIF(Main!A:A,'Ranking Region'!A2,Main!V:V)</calculatedColumnFormula>
    </tableColumn>
    <tableColumn id="4" xr3:uid="{00000000-0010-0000-0000-000004000000}" name="Total Outage Duration" dataDxfId="1188">
      <calculatedColumnFormula>SUMIF(Main!A:A,'Ranking Region'!A2,Main!R:R)</calculatedColumnFormula>
    </tableColumn>
    <tableColumn id="12" xr3:uid="{00000000-0010-0000-0000-00000C000000}" name="SAIDI" dataDxfId="1187" dataCellStyle="Comma">
      <calculatedColumnFormula>SUMIF(Main!A:A,Table135[[#This Row],[Region]],Main!AH:AH)/SUMIF('Supply Hours'!A:A,Table135[[#This Row],[Region]],'Supply Hours'!I:I)</calculatedColumnFormula>
    </tableColumn>
    <tableColumn id="8" xr3:uid="{00000000-0010-0000-0000-000008000000}" name="ASAI" dataDxfId="1186" dataCellStyle="Comma">
      <calculatedColumnFormula>SUMIF('Supply Hours'!A:A,Table135[[#This Row],[Region]],'Supply Hours'!I:I)/(COUNTIF('Supply Hours'!A:A,Table135[[#This Row],[Region]])*Main!Q$199)</calculatedColumnFormula>
    </tableColumn>
    <tableColumn id="6" xr3:uid="{00000000-0010-0000-0000-000006000000}" name="ASIFI" dataDxfId="1185" dataCellStyle="Comma">
      <calculatedColumnFormula>SUMIFS(Main!AI:AI,Main!A:A,Table135[[#This Row],[Region]])/SUMIFS('Supply Hours'!J:J,'Supply Hours'!A:A,Table135[[#This Row],[Region]])</calculatedColumnFormula>
    </tableColumn>
    <tableColumn id="13" xr3:uid="{00000000-0010-0000-0000-00000D000000}" name="Fault Clearance Index" dataDxfId="1184" dataCellStyle="Comma">
      <calculatedColumnFormula>IF((SUMIF(Main!A:A,Table135[[#This Row],[Region]],Main!V:V))&gt;0,SUMIF(Main!A:A,Table135[[#This Row],[Region]],Main!AC:AC)/(SUMIF(Main!A:A,Table135[[#This Row],[Region]],Main!V:V)),1)</calculatedColumnFormula>
    </tableColumn>
    <tableColumn id="14" xr3:uid="{00000000-0010-0000-0000-00000E000000}" name="Ranking SAIDI" dataDxfId="1183" dataCellStyle="Comma">
      <calculatedColumnFormula>RANK(Table135[[#This Row],[SAIDI]],Table135[SAIDI],1)</calculatedColumnFormula>
    </tableColumn>
    <tableColumn id="15" xr3:uid="{00000000-0010-0000-0000-00000F000000}" name="Ranking ASAI" dataDxfId="1182" dataCellStyle="Comma">
      <calculatedColumnFormula>RANK(Table135[[#This Row],[ASAI]],Table135[ASAI],0)</calculatedColumnFormula>
    </tableColumn>
    <tableColumn id="16" xr3:uid="{00000000-0010-0000-0000-000010000000}" name="Ranking ASIFI" dataDxfId="1181">
      <calculatedColumnFormula>RANK(Table135[[#This Row],[ASIFI]],Table135[ASIFI],1)</calculatedColumnFormula>
    </tableColumn>
    <tableColumn id="17" xr3:uid="{00000000-0010-0000-0000-000011000000}" name="Ranking FCI" dataDxfId="1180" dataCellStyle="Comma">
      <calculatedColumnFormula>RANK(Table135[[#This Row],[Fault Clearance Index]],H:H,0)</calculatedColumnFormula>
    </tableColumn>
    <tableColumn id="18" xr3:uid="{00000000-0010-0000-0000-000012000000}" name="Total Points" dataDxfId="1179">
      <calculatedColumnFormula>SUM(Table135[[#This Row],[Ranking SAIDI]:[Ranking FCI]])</calculatedColumnFormula>
    </tableColumn>
    <tableColumn id="7" xr3:uid="{00000000-0010-0000-0000-000007000000}" name="Overal Ranking" dataDxfId="1178">
      <calculatedColumnFormula>RANK(Table135[[#This Row],[Total Points]],Table135[Total Points],1)</calculatedColumnFormula>
    </tableColumn>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9000000}" name="Table2683261" displayName="Table2683261" ref="A1:Q91" headerRowDxfId="805" headerRowBorderDxfId="804">
  <autoFilter ref="A1:Q91" xr:uid="{00000000-0009-0000-0100-00003C000000}"/>
  <tableColumns count="17">
    <tableColumn id="1" xr3:uid="{00000000-0010-0000-0900-000001000000}" name="Name of Feeder" totalsRowLabel="Total" dataDxfId="803"/>
    <tableColumn id="2" xr3:uid="{00000000-0010-0000-0900-000002000000}" name="Fault Type" dataDxfId="802" totalsRowDxfId="801"/>
    <tableColumn id="3" xr3:uid="{00000000-0010-0000-0900-000003000000}" name="Approved Outage Time" dataDxfId="800" totalsRowDxfId="799"/>
    <tableColumn id="4" xr3:uid="{00000000-0010-0000-0900-000004000000}" name="Approved Restoration Time" dataDxfId="798" totalsRowDxfId="797"/>
    <tableColumn id="5" xr3:uid="{00000000-0010-0000-0900-000005000000}" name="Tripping Date &amp; Time_x000a_(MM/DD/YY)" dataDxfId="796" totalsRowDxfId="795"/>
    <tableColumn id="6" xr3:uid="{00000000-0010-0000-0900-000006000000}" name="Load Interrupted (MW)"/>
    <tableColumn id="7" xr3:uid="{00000000-0010-0000-0900-000007000000}" name="Relay Indication" dataDxfId="794" totalsRowDxfId="793"/>
    <tableColumn id="8" xr3:uid="{00000000-0010-0000-0900-000008000000}" name="Brief Description" dataDxfId="792" totalsRowDxfId="791"/>
    <tableColumn id="15" xr3:uid="{00000000-0010-0000-0900-00000F000000}" name="Any Discovery On Patrols?" dataDxfId="790" totalsRowDxfId="789"/>
    <tableColumn id="9" xr3:uid="{00000000-0010-0000-0900-000009000000}" name="Restoration Date &amp; Time_x000a_(MM/DD/YY)" dataDxfId="788" totalsRowDxfId="787"/>
    <tableColumn id="16" xr3:uid="{00000000-0010-0000-0900-000010000000}" name="Load at the time of  Restoration (MW)" dataDxfId="786" totalsRowDxfId="785"/>
    <tableColumn id="10" xr3:uid="{00000000-0010-0000-0900-00000A000000}" name="Outage Duration" dataDxfId="784" totalsRowDxfId="783">
      <calculatedColumnFormula>J2-E2</calculatedColumnFormula>
    </tableColumn>
    <tableColumn id="11" xr3:uid="{00000000-0010-0000-0900-00000B000000}" name="Total Energy Loss (MWH)" dataDxfId="782" totalsRowDxfId="781" dataCellStyle="Comma">
      <calculatedColumnFormula>L2*F2</calculatedColumnFormula>
    </tableColumn>
    <tableColumn id="12" xr3:uid="{00000000-0010-0000-0900-00000C000000}" name="Outage Surrender within duration " dataDxfId="780" totalsRowDxfId="779">
      <calculatedColumnFormula>IF(Table2683261[[#This Row],[Fault Type]]="PM",IF(L2&lt;=(D2-C2),"Yes","No"),"")</calculatedColumnFormula>
    </tableColumn>
    <tableColumn id="13" xr3:uid="{00000000-0010-0000-0900-00000D000000}" name="Extended Time" dataDxfId="778" totalsRowDxfId="777">
      <calculatedColumnFormula>IF(N2="No",(L2-(D2-C2)),"")</calculatedColumnFormula>
    </tableColumn>
    <tableColumn id="17" xr3:uid="{00000000-0010-0000-0900-000011000000}" name="Fault Cleared in Specified Time" dataDxfId="776" totalsRowDxfId="775">
      <calculatedColumnFormula>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calculatedColumnFormula>
    </tableColumn>
    <tableColumn id="14" xr3:uid="{00000000-0010-0000-0900-00000E000000}" name="Name &amp; Designation of Permit Holder" totalsRowFunction="count"/>
  </tableColumns>
  <tableStyleInfo name="TableStyleLight13" showFirstColumn="0" showLastColumn="0" showRowStripes="1"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0A000000}" name="Table2683260" displayName="Table2683260" ref="A1:Q81" headerRowDxfId="774" headerRowBorderDxfId="773">
  <autoFilter ref="A1:Q81" xr:uid="{00000000-0009-0000-0100-00003B000000}"/>
  <tableColumns count="17">
    <tableColumn id="1" xr3:uid="{00000000-0010-0000-0A00-000001000000}" name="Name of Feeder" totalsRowLabel="Total" dataDxfId="772"/>
    <tableColumn id="2" xr3:uid="{00000000-0010-0000-0A00-000002000000}" name="Fault Type" dataDxfId="771" totalsRowDxfId="770"/>
    <tableColumn id="3" xr3:uid="{00000000-0010-0000-0A00-000003000000}" name="Approved Outage Time" dataDxfId="769" totalsRowDxfId="768"/>
    <tableColumn id="4" xr3:uid="{00000000-0010-0000-0A00-000004000000}" name="Approved Restoration Time" dataDxfId="767" totalsRowDxfId="766"/>
    <tableColumn id="5" xr3:uid="{00000000-0010-0000-0A00-000005000000}" name="Tripping Date &amp; Time_x000a_(MM/DD/YY)" dataDxfId="765" totalsRowDxfId="764"/>
    <tableColumn id="6" xr3:uid="{00000000-0010-0000-0A00-000006000000}" name="Load Interrupted (MW)"/>
    <tableColumn id="7" xr3:uid="{00000000-0010-0000-0A00-000007000000}" name="Relay Indication" dataDxfId="763" totalsRowDxfId="762"/>
    <tableColumn id="8" xr3:uid="{00000000-0010-0000-0A00-000008000000}" name="Brief Description" dataDxfId="761" totalsRowDxfId="760"/>
    <tableColumn id="15" xr3:uid="{00000000-0010-0000-0A00-00000F000000}" name="Any Discovery On Patrols?" dataDxfId="759" totalsRowDxfId="758"/>
    <tableColumn id="9" xr3:uid="{00000000-0010-0000-0A00-000009000000}" name="Restoration Date &amp; Time_x000a_(MM/DD/YY)" dataDxfId="757" totalsRowDxfId="756"/>
    <tableColumn id="16" xr3:uid="{00000000-0010-0000-0A00-000010000000}" name="Load at the time of  Restoration (MW)" dataDxfId="755" totalsRowDxfId="754"/>
    <tableColumn id="10" xr3:uid="{00000000-0010-0000-0A00-00000A000000}" name="Outage Duration" dataDxfId="753" totalsRowDxfId="752">
      <calculatedColumnFormula>J2-E2</calculatedColumnFormula>
    </tableColumn>
    <tableColumn id="11" xr3:uid="{00000000-0010-0000-0A00-00000B000000}" name="Total Energy Loss (MWH)" dataDxfId="751" totalsRowDxfId="750" dataCellStyle="Comma">
      <calculatedColumnFormula>L2*F2</calculatedColumnFormula>
    </tableColumn>
    <tableColumn id="12" xr3:uid="{00000000-0010-0000-0A00-00000C000000}" name="Outage Surrender within duration " dataDxfId="749" totalsRowDxfId="748">
      <calculatedColumnFormula>IF(Table2683260[[#This Row],[Fault Type]]="PM",IF(L2&lt;=(D2-C2),"Yes","No"),"")</calculatedColumnFormula>
    </tableColumn>
    <tableColumn id="13" xr3:uid="{00000000-0010-0000-0A00-00000D000000}" name="Extended Time" dataDxfId="747" totalsRowDxfId="746">
      <calculatedColumnFormula>IF(N2="No",(L2-(D2-C2)),"")</calculatedColumnFormula>
    </tableColumn>
    <tableColumn id="17" xr3:uid="{00000000-0010-0000-0A00-000011000000}" name="Fault Cleared in Specified Time" dataDxfId="745" totalsRowDxfId="744">
      <calculatedColumnFormula>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calculatedColumnFormula>
    </tableColumn>
    <tableColumn id="14" xr3:uid="{00000000-0010-0000-0A00-00000E000000}" name="Name &amp; Designation of Permit Holder" totalsRowFunction="count"/>
  </tableColumns>
  <tableStyleInfo name="TableStyleLight13" showFirstColumn="0" showLastColumn="0" showRowStripes="1"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B000000}" name="Table2683259" displayName="Table2683259" ref="A1:Q118" headerRowDxfId="743" headerRowBorderDxfId="742">
  <autoFilter ref="A1:Q118" xr:uid="{00000000-0009-0000-0100-00003A000000}"/>
  <tableColumns count="17">
    <tableColumn id="1" xr3:uid="{00000000-0010-0000-0B00-000001000000}" name="Name of Feeder" totalsRowLabel="Total" dataDxfId="741"/>
    <tableColumn id="2" xr3:uid="{00000000-0010-0000-0B00-000002000000}" name="Fault Type" dataDxfId="740" totalsRowDxfId="739"/>
    <tableColumn id="3" xr3:uid="{00000000-0010-0000-0B00-000003000000}" name="Approved Outage Time" dataDxfId="738" totalsRowDxfId="737"/>
    <tableColumn id="4" xr3:uid="{00000000-0010-0000-0B00-000004000000}" name="Approved Restoration Time" dataDxfId="736" totalsRowDxfId="735"/>
    <tableColumn id="5" xr3:uid="{00000000-0010-0000-0B00-000005000000}" name="Tripping Date &amp; Time_x000a_(MM/DD/YY)" dataDxfId="734" totalsRowDxfId="733"/>
    <tableColumn id="6" xr3:uid="{00000000-0010-0000-0B00-000006000000}" name="Load Interrupted (MW)"/>
    <tableColumn id="7" xr3:uid="{00000000-0010-0000-0B00-000007000000}" name="Relay Indication" dataDxfId="732" totalsRowDxfId="731"/>
    <tableColumn id="8" xr3:uid="{00000000-0010-0000-0B00-000008000000}" name="Brief Description" dataDxfId="730" totalsRowDxfId="729"/>
    <tableColumn id="15" xr3:uid="{00000000-0010-0000-0B00-00000F000000}" name="Any Discovery On Patrols?" dataDxfId="728" totalsRowDxfId="727"/>
    <tableColumn id="9" xr3:uid="{00000000-0010-0000-0B00-000009000000}" name="Restoration Date &amp; Time_x000a_(MM/DD/YY)" dataDxfId="726" totalsRowDxfId="725"/>
    <tableColumn id="16" xr3:uid="{00000000-0010-0000-0B00-000010000000}" name="Load at the time of  Restoration (MW)" dataDxfId="724" totalsRowDxfId="723"/>
    <tableColumn id="10" xr3:uid="{00000000-0010-0000-0B00-00000A000000}" name="Outage Duration" dataDxfId="722" totalsRowDxfId="721">
      <calculatedColumnFormula>J2-E2</calculatedColumnFormula>
    </tableColumn>
    <tableColumn id="11" xr3:uid="{00000000-0010-0000-0B00-00000B000000}" name="Total Energy Loss (MWH)" dataDxfId="720" totalsRowDxfId="719" dataCellStyle="Comma">
      <calculatedColumnFormula>L2*F2</calculatedColumnFormula>
    </tableColumn>
    <tableColumn id="12" xr3:uid="{00000000-0010-0000-0B00-00000C000000}" name="Outage Surrender within duration " dataDxfId="718" totalsRowDxfId="717">
      <calculatedColumnFormula>IF(Table2683259[[#This Row],[Fault Type]]="PM",IF(L2&lt;=(D2-C2),"Yes","No"),"")</calculatedColumnFormula>
    </tableColumn>
    <tableColumn id="13" xr3:uid="{00000000-0010-0000-0B00-00000D000000}" name="Extended Time" dataDxfId="716" totalsRowDxfId="715">
      <calculatedColumnFormula>IF(N2="No",(L2-(D2-C2)),"")</calculatedColumnFormula>
    </tableColumn>
    <tableColumn id="17" xr3:uid="{00000000-0010-0000-0B00-000011000000}" name="Fault Cleared in Specified Time" dataDxfId="714" totalsRowDxfId="713">
      <calculatedColumnFormula>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calculatedColumnFormula>
    </tableColumn>
    <tableColumn id="14" xr3:uid="{00000000-0010-0000-0B00-00000E000000}" name="Name &amp; Designation of Permit Holder" totalsRowFunction="count"/>
  </tableColumns>
  <tableStyleInfo name="TableStyleLight13" showFirstColumn="0" showLastColumn="0" showRowStripes="1"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C000000}" name="Table2683258" displayName="Table2683258" ref="A1:Q78" headerRowDxfId="712" headerRowBorderDxfId="711">
  <autoFilter ref="A1:Q78" xr:uid="{00000000-0009-0000-0100-000039000000}"/>
  <tableColumns count="17">
    <tableColumn id="1" xr3:uid="{00000000-0010-0000-0C00-000001000000}" name="Name of Feeder" totalsRowLabel="Total" dataDxfId="710"/>
    <tableColumn id="2" xr3:uid="{00000000-0010-0000-0C00-000002000000}" name="Fault Type" dataDxfId="709" totalsRowDxfId="708"/>
    <tableColumn id="3" xr3:uid="{00000000-0010-0000-0C00-000003000000}" name="Approved Outage Time" dataDxfId="707" totalsRowDxfId="706"/>
    <tableColumn id="4" xr3:uid="{00000000-0010-0000-0C00-000004000000}" name="Approved Restoration Time" dataDxfId="705" totalsRowDxfId="704"/>
    <tableColumn id="5" xr3:uid="{00000000-0010-0000-0C00-000005000000}" name="Tripping Date &amp; Time_x000a_(MM/DD/YY)" dataDxfId="703" totalsRowDxfId="702"/>
    <tableColumn id="6" xr3:uid="{00000000-0010-0000-0C00-000006000000}" name="Load Interrupted (MW)"/>
    <tableColumn id="7" xr3:uid="{00000000-0010-0000-0C00-000007000000}" name="Relay Indication" dataDxfId="701" totalsRowDxfId="700"/>
    <tableColumn id="8" xr3:uid="{00000000-0010-0000-0C00-000008000000}" name="Brief Description" dataDxfId="699" totalsRowDxfId="698"/>
    <tableColumn id="15" xr3:uid="{00000000-0010-0000-0C00-00000F000000}" name="Any Discovery On Patrols?" dataDxfId="697" totalsRowDxfId="696"/>
    <tableColumn id="9" xr3:uid="{00000000-0010-0000-0C00-000009000000}" name="Restoration Date &amp; Time_x000a_(MM/DD/YY)" dataDxfId="695" totalsRowDxfId="694"/>
    <tableColumn id="16" xr3:uid="{00000000-0010-0000-0C00-000010000000}" name="Load at the time of  Restoration (MW)" dataDxfId="693" totalsRowDxfId="692"/>
    <tableColumn id="10" xr3:uid="{00000000-0010-0000-0C00-00000A000000}" name="Outage Duration" dataDxfId="691" totalsRowDxfId="690">
      <calculatedColumnFormula>J2-E2</calculatedColumnFormula>
    </tableColumn>
    <tableColumn id="11" xr3:uid="{00000000-0010-0000-0C00-00000B000000}" name="Total Energy Loss (MWH)" dataDxfId="689" totalsRowDxfId="688" dataCellStyle="Comma">
      <calculatedColumnFormula>L2*F2</calculatedColumnFormula>
    </tableColumn>
    <tableColumn id="12" xr3:uid="{00000000-0010-0000-0C00-00000C000000}" name="Outage Surrender within duration " dataDxfId="687" totalsRowDxfId="686">
      <calculatedColumnFormula>IF(Table2683258[[#This Row],[Fault Type]]="PM",IF(L2&lt;=(D2-C2),"Yes","No"),"")</calculatedColumnFormula>
    </tableColumn>
    <tableColumn id="13" xr3:uid="{00000000-0010-0000-0C00-00000D000000}" name="Extended Time" dataDxfId="685" totalsRowDxfId="684">
      <calculatedColumnFormula>IF(N2="No",(L2-(D2-C2)),"")</calculatedColumnFormula>
    </tableColumn>
    <tableColumn id="17" xr3:uid="{00000000-0010-0000-0C00-000011000000}" name="Fault Cleared in Specified Time" dataDxfId="683" totalsRowDxfId="682">
      <calculatedColumnFormula>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calculatedColumnFormula>
    </tableColumn>
    <tableColumn id="14" xr3:uid="{00000000-0010-0000-0C00-00000E000000}" name="Name &amp; Designation of Permit Holder" totalsRowFunction="count"/>
  </tableColumns>
  <tableStyleInfo name="TableStyleLight13" showFirstColumn="0" showLastColumn="0" showRowStripes="1"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D000000}" name="Table2683257" displayName="Table2683257" ref="A1:Q92" headerRowDxfId="681" headerRowBorderDxfId="680">
  <autoFilter ref="A1:Q92" xr:uid="{00000000-0009-0000-0100-000038000000}"/>
  <tableColumns count="17">
    <tableColumn id="1" xr3:uid="{00000000-0010-0000-0D00-000001000000}" name="Name of Feeder" totalsRowLabel="Total" dataDxfId="679"/>
    <tableColumn id="2" xr3:uid="{00000000-0010-0000-0D00-000002000000}" name="Fault Type" dataDxfId="678" totalsRowDxfId="677"/>
    <tableColumn id="3" xr3:uid="{00000000-0010-0000-0D00-000003000000}" name="Approved Outage Time" dataDxfId="676" totalsRowDxfId="675"/>
    <tableColumn id="4" xr3:uid="{00000000-0010-0000-0D00-000004000000}" name="Approved Restoration Time" dataDxfId="674" totalsRowDxfId="673"/>
    <tableColumn id="5" xr3:uid="{00000000-0010-0000-0D00-000005000000}" name="Tripping Date &amp; Time_x000a_(MM/DD/YY)" dataDxfId="672" totalsRowDxfId="671"/>
    <tableColumn id="6" xr3:uid="{00000000-0010-0000-0D00-000006000000}" name="Load Interrupted (MW)"/>
    <tableColumn id="7" xr3:uid="{00000000-0010-0000-0D00-000007000000}" name="Relay Indication" dataDxfId="670" totalsRowDxfId="669"/>
    <tableColumn id="8" xr3:uid="{00000000-0010-0000-0D00-000008000000}" name="Brief Description" dataDxfId="668" totalsRowDxfId="667"/>
    <tableColumn id="15" xr3:uid="{00000000-0010-0000-0D00-00000F000000}" name="Any Discovery On Patrols?" dataDxfId="666" totalsRowDxfId="665"/>
    <tableColumn id="9" xr3:uid="{00000000-0010-0000-0D00-000009000000}" name="Restoration Date &amp; Time_x000a_(MM/DD/YY)" dataDxfId="664" totalsRowDxfId="663"/>
    <tableColumn id="16" xr3:uid="{00000000-0010-0000-0D00-000010000000}" name="Load at the time of  Restoration (MW)" dataDxfId="662" totalsRowDxfId="661"/>
    <tableColumn id="10" xr3:uid="{00000000-0010-0000-0D00-00000A000000}" name="Outage Duration" dataDxfId="660" totalsRowDxfId="659">
      <calculatedColumnFormula>J2-E2</calculatedColumnFormula>
    </tableColumn>
    <tableColumn id="11" xr3:uid="{00000000-0010-0000-0D00-00000B000000}" name="Total Energy Loss (MWH)" dataDxfId="658" totalsRowDxfId="657" dataCellStyle="Comma">
      <calculatedColumnFormula>L2*F2</calculatedColumnFormula>
    </tableColumn>
    <tableColumn id="12" xr3:uid="{00000000-0010-0000-0D00-00000C000000}" name="Outage Surrender within duration " dataDxfId="656" totalsRowDxfId="655">
      <calculatedColumnFormula>IF(Table2683257[[#This Row],[Fault Type]]="PM",IF(L2&lt;=(D2-C2),"Yes","No"),"")</calculatedColumnFormula>
    </tableColumn>
    <tableColumn id="13" xr3:uid="{00000000-0010-0000-0D00-00000D000000}" name="Extended Time" dataDxfId="654" totalsRowDxfId="653">
      <calculatedColumnFormula>IF(N2="No",(L2-(D2-C2)),"")</calculatedColumnFormula>
    </tableColumn>
    <tableColumn id="17" xr3:uid="{00000000-0010-0000-0D00-000011000000}" name="Fault Cleared in Specified Time" dataDxfId="652" totalsRowDxfId="651">
      <calculatedColumnFormula>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calculatedColumnFormula>
    </tableColumn>
    <tableColumn id="14" xr3:uid="{00000000-0010-0000-0D00-00000E000000}" name="Name &amp; Designation of Permit Holder" totalsRowFunction="count"/>
  </tableColumns>
  <tableStyleInfo name="TableStyleLight13" showFirstColumn="0" showLastColumn="0" showRowStripes="1"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E000000}" name="Table2683256" displayName="Table2683256" ref="A1:Q135" headerRowDxfId="650" headerRowBorderDxfId="649">
  <autoFilter ref="A1:Q135" xr:uid="{00000000-0009-0000-0100-000037000000}"/>
  <tableColumns count="17">
    <tableColumn id="1" xr3:uid="{00000000-0010-0000-0E00-000001000000}" name="Name of Feeder" totalsRowLabel="Total" dataDxfId="648"/>
    <tableColumn id="2" xr3:uid="{00000000-0010-0000-0E00-000002000000}" name="Fault Type" dataDxfId="647" totalsRowDxfId="646"/>
    <tableColumn id="3" xr3:uid="{00000000-0010-0000-0E00-000003000000}" name="Approved Outage Time" dataDxfId="645" totalsRowDxfId="644"/>
    <tableColumn id="4" xr3:uid="{00000000-0010-0000-0E00-000004000000}" name="Approved Restoration Time" dataDxfId="643" totalsRowDxfId="642"/>
    <tableColumn id="5" xr3:uid="{00000000-0010-0000-0E00-000005000000}" name="Tripping Date &amp; Time_x000a_(MM/DD/YY)" dataDxfId="641" totalsRowDxfId="640"/>
    <tableColumn id="6" xr3:uid="{00000000-0010-0000-0E00-000006000000}" name="Load Interrupted (MW)"/>
    <tableColumn id="7" xr3:uid="{00000000-0010-0000-0E00-000007000000}" name="Relay Indication" dataDxfId="639" totalsRowDxfId="638"/>
    <tableColumn id="8" xr3:uid="{00000000-0010-0000-0E00-000008000000}" name="Brief Description" dataDxfId="637" totalsRowDxfId="636"/>
    <tableColumn id="15" xr3:uid="{00000000-0010-0000-0E00-00000F000000}" name="Any Discovery On Patrols?" dataDxfId="635" totalsRowDxfId="634"/>
    <tableColumn id="9" xr3:uid="{00000000-0010-0000-0E00-000009000000}" name="Restoration Date &amp; Time_x000a_(MM/DD/YY)" dataDxfId="633" totalsRowDxfId="632"/>
    <tableColumn id="16" xr3:uid="{00000000-0010-0000-0E00-000010000000}" name="Load at the time of  Restoration (MW)" dataDxfId="631" totalsRowDxfId="630"/>
    <tableColumn id="10" xr3:uid="{00000000-0010-0000-0E00-00000A000000}" name="Outage Duration" dataDxfId="629" totalsRowDxfId="628">
      <calculatedColumnFormula>J2-E2</calculatedColumnFormula>
    </tableColumn>
    <tableColumn id="11" xr3:uid="{00000000-0010-0000-0E00-00000B000000}" name="Total Energy Loss (MWH)" dataDxfId="627" totalsRowDxfId="626" dataCellStyle="Comma">
      <calculatedColumnFormula>L2*F2</calculatedColumnFormula>
    </tableColumn>
    <tableColumn id="12" xr3:uid="{00000000-0010-0000-0E00-00000C000000}" name="Outage Surrender within duration " dataDxfId="625" totalsRowDxfId="624">
      <calculatedColumnFormula>IF(Table2683257[[#This Row],[Fault Type]]="PM",IF(L2&lt;=(D2-C2),"Yes","No"),"")</calculatedColumnFormula>
    </tableColumn>
    <tableColumn id="13" xr3:uid="{00000000-0010-0000-0E00-00000D000000}" name="Extended Time" dataDxfId="623" totalsRowDxfId="622">
      <calculatedColumnFormula>IF(N2="No",(L2-(D2-C2)),"")</calculatedColumnFormula>
    </tableColumn>
    <tableColumn id="17" xr3:uid="{00000000-0010-0000-0E00-000011000000}" name="Fault Cleared in Specified Time" dataDxfId="621" totalsRowDxfId="620">
      <calculatedColumnFormula>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calculatedColumnFormula>
    </tableColumn>
    <tableColumn id="14" xr3:uid="{00000000-0010-0000-0E00-00000E000000}" name="Name &amp; Designation of Permit Holder" totalsRowFunction="count"/>
  </tableColumns>
  <tableStyleInfo name="TableStyleLight13" showFirstColumn="0" showLastColumn="0" showRowStripes="1"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F000000}" name="Table2683255" displayName="Table2683255" ref="A1:Q78" headerRowDxfId="619" headerRowBorderDxfId="618">
  <autoFilter ref="A1:Q78" xr:uid="{00000000-0009-0000-0100-000036000000}">
    <filterColumn colId="1">
      <filters blank="1">
        <filter val="SE"/>
        <filter val="TL"/>
      </filters>
    </filterColumn>
  </autoFilter>
  <tableColumns count="17">
    <tableColumn id="1" xr3:uid="{00000000-0010-0000-0F00-000001000000}" name="Name of Feeder" totalsRowLabel="Total" dataDxfId="617"/>
    <tableColumn id="2" xr3:uid="{00000000-0010-0000-0F00-000002000000}" name="Fault Type" dataDxfId="616" totalsRowDxfId="615"/>
    <tableColumn id="3" xr3:uid="{00000000-0010-0000-0F00-000003000000}" name="Approved Outage Time" dataDxfId="614" totalsRowDxfId="613"/>
    <tableColumn id="4" xr3:uid="{00000000-0010-0000-0F00-000004000000}" name="Approved Restoration Time" dataDxfId="612" totalsRowDxfId="611"/>
    <tableColumn id="5" xr3:uid="{00000000-0010-0000-0F00-000005000000}" name="Tripping Date &amp; Time_x000a_(MM/DD/YY)" dataDxfId="610" totalsRowDxfId="609"/>
    <tableColumn id="6" xr3:uid="{00000000-0010-0000-0F00-000006000000}" name="Load Interrupted (MW)"/>
    <tableColumn id="7" xr3:uid="{00000000-0010-0000-0F00-000007000000}" name="Relay Indication" dataDxfId="608" totalsRowDxfId="607"/>
    <tableColumn id="8" xr3:uid="{00000000-0010-0000-0F00-000008000000}" name="Brief Description" dataDxfId="606" totalsRowDxfId="605"/>
    <tableColumn id="15" xr3:uid="{00000000-0010-0000-0F00-00000F000000}" name="Any Discovery On Patrols?" dataDxfId="604" totalsRowDxfId="603"/>
    <tableColumn id="9" xr3:uid="{00000000-0010-0000-0F00-000009000000}" name="Restoration Date &amp; Time_x000a_(MM/DD/YY)" dataDxfId="602" totalsRowDxfId="601"/>
    <tableColumn id="16" xr3:uid="{00000000-0010-0000-0F00-000010000000}" name="Load at the time of  Restoration (MW)" dataDxfId="600" totalsRowDxfId="599"/>
    <tableColumn id="10" xr3:uid="{00000000-0010-0000-0F00-00000A000000}" name="Outage Duration" dataDxfId="598" totalsRowDxfId="597">
      <calculatedColumnFormula>J2-E2</calculatedColumnFormula>
    </tableColumn>
    <tableColumn id="11" xr3:uid="{00000000-0010-0000-0F00-00000B000000}" name="Total Energy Loss (MWH)" dataDxfId="596" totalsRowDxfId="595" dataCellStyle="Comma">
      <calculatedColumnFormula>L2*F2</calculatedColumnFormula>
    </tableColumn>
    <tableColumn id="12" xr3:uid="{00000000-0010-0000-0F00-00000C000000}" name="Outage Surrender within duration " dataDxfId="594" totalsRowDxfId="593">
      <calculatedColumnFormula>IF(Table2683255[[#This Row],[Fault Type]]="PM",IF(L2&lt;=(D2-C2),"Yes","No"),"")</calculatedColumnFormula>
    </tableColumn>
    <tableColumn id="13" xr3:uid="{00000000-0010-0000-0F00-00000D000000}" name="Extended Time" dataDxfId="592" totalsRowDxfId="591">
      <calculatedColumnFormula>IF(N2="No",(L2-(D2-C2)),"")</calculatedColumnFormula>
    </tableColumn>
    <tableColumn id="17" xr3:uid="{00000000-0010-0000-0F00-000011000000}" name="Fault Cleared in Specified Time" dataDxfId="590" totalsRowDxfId="589">
      <calculatedColumnFormula>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calculatedColumnFormula>
    </tableColumn>
    <tableColumn id="14" xr3:uid="{00000000-0010-0000-0F00-00000E000000}" name="Name &amp; Designation of Permit Holder" totalsRowFunction="count"/>
  </tableColumns>
  <tableStyleInfo name="TableStyleLight13" showFirstColumn="0" showLastColumn="0" showRowStripes="1"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10000000}" name="Table2683254" displayName="Table2683254" ref="A1:Q84" headerRowDxfId="588" headerRowBorderDxfId="587">
  <autoFilter ref="A1:Q84" xr:uid="{00000000-0009-0000-0100-000035000000}"/>
  <tableColumns count="17">
    <tableColumn id="1" xr3:uid="{00000000-0010-0000-1000-000001000000}" name="Name of Feeder" totalsRowLabel="Total" dataDxfId="586"/>
    <tableColumn id="2" xr3:uid="{00000000-0010-0000-1000-000002000000}" name="Fault Type" dataDxfId="585" totalsRowDxfId="584"/>
    <tableColumn id="3" xr3:uid="{00000000-0010-0000-1000-000003000000}" name="Approved Outage Time" dataDxfId="583" totalsRowDxfId="582"/>
    <tableColumn id="4" xr3:uid="{00000000-0010-0000-1000-000004000000}" name="Approved Restoration Time" dataDxfId="581" totalsRowDxfId="580"/>
    <tableColumn id="5" xr3:uid="{00000000-0010-0000-1000-000005000000}" name="Tripping Date &amp; Time_x000a_(MM/DD/YY)" dataDxfId="579" totalsRowDxfId="578"/>
    <tableColumn id="6" xr3:uid="{00000000-0010-0000-1000-000006000000}" name="Load Interrupted (MW)"/>
    <tableColumn id="7" xr3:uid="{00000000-0010-0000-1000-000007000000}" name="Relay Indication" dataDxfId="577" totalsRowDxfId="576"/>
    <tableColumn id="8" xr3:uid="{00000000-0010-0000-1000-000008000000}" name="Brief Description" dataDxfId="575" totalsRowDxfId="574"/>
    <tableColumn id="15" xr3:uid="{00000000-0010-0000-1000-00000F000000}" name="Any Discovery On Patrols?" dataDxfId="573" totalsRowDxfId="572"/>
    <tableColumn id="9" xr3:uid="{00000000-0010-0000-1000-000009000000}" name="Restoration Date &amp; Time_x000a_(MM/DD/YY)" dataDxfId="571" totalsRowDxfId="570"/>
    <tableColumn id="16" xr3:uid="{00000000-0010-0000-1000-000010000000}" name="Load at the time of  Restoration (MW)" dataDxfId="569" totalsRowDxfId="568"/>
    <tableColumn id="10" xr3:uid="{00000000-0010-0000-1000-00000A000000}" name="Outage Duration" dataDxfId="567" totalsRowDxfId="566">
      <calculatedColumnFormula>J2-E2</calculatedColumnFormula>
    </tableColumn>
    <tableColumn id="11" xr3:uid="{00000000-0010-0000-1000-00000B000000}" name="Total Energy Loss (MWH)" dataDxfId="565" totalsRowDxfId="564" dataCellStyle="Comma">
      <calculatedColumnFormula>L2*F2</calculatedColumnFormula>
    </tableColumn>
    <tableColumn id="12" xr3:uid="{00000000-0010-0000-1000-00000C000000}" name="Outage Surrender within duration " dataDxfId="563" totalsRowDxfId="562">
      <calculatedColumnFormula>IF(Table2683254[[#This Row],[Fault Type]]="PM",IF(L2&lt;=(D2-C2),"Yes","No"),"")</calculatedColumnFormula>
    </tableColumn>
    <tableColumn id="13" xr3:uid="{00000000-0010-0000-1000-00000D000000}" name="Extended Time" dataDxfId="561" totalsRowDxfId="560">
      <calculatedColumnFormula>IF(N2="No",(L2-(D2-C2)),"")</calculatedColumnFormula>
    </tableColumn>
    <tableColumn id="17" xr3:uid="{00000000-0010-0000-1000-000011000000}" name="Fault Cleared in Specified Time" dataDxfId="559" totalsRowDxfId="558">
      <calculatedColumnFormula>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calculatedColumnFormula>
    </tableColumn>
    <tableColumn id="14" xr3:uid="{00000000-0010-0000-1000-00000E000000}" name="Name &amp; Designation of Permit Holder" totalsRowFunction="count"/>
  </tableColumns>
  <tableStyleInfo name="TableStyleLight13" showFirstColumn="0" showLastColumn="0" showRowStripes="1"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11000000}" name="Table2683253" displayName="Table2683253" ref="A1:Q77" headerRowDxfId="557" headerRowBorderDxfId="556">
  <autoFilter ref="A1:Q77" xr:uid="{00000000-0009-0000-0100-000034000000}"/>
  <tableColumns count="17">
    <tableColumn id="1" xr3:uid="{00000000-0010-0000-1100-000001000000}" name="Name of Feeder" totalsRowLabel="Total" dataDxfId="555"/>
    <tableColumn id="2" xr3:uid="{00000000-0010-0000-1100-000002000000}" name="Fault Type" dataDxfId="554" totalsRowDxfId="553"/>
    <tableColumn id="3" xr3:uid="{00000000-0010-0000-1100-000003000000}" name="Approved Outage Time" dataDxfId="552" totalsRowDxfId="551"/>
    <tableColumn id="4" xr3:uid="{00000000-0010-0000-1100-000004000000}" name="Approved Restoration Time" dataDxfId="550" totalsRowDxfId="549"/>
    <tableColumn id="5" xr3:uid="{00000000-0010-0000-1100-000005000000}" name="Tripping Date &amp; Time_x000a_(MM/DD/YY)" dataDxfId="548" totalsRowDxfId="547"/>
    <tableColumn id="6" xr3:uid="{00000000-0010-0000-1100-000006000000}" name="Load Interrupted (MW)"/>
    <tableColumn id="7" xr3:uid="{00000000-0010-0000-1100-000007000000}" name="Relay Indication" dataDxfId="546" totalsRowDxfId="545"/>
    <tableColumn id="8" xr3:uid="{00000000-0010-0000-1100-000008000000}" name="Brief Description" dataDxfId="544" totalsRowDxfId="543"/>
    <tableColumn id="15" xr3:uid="{00000000-0010-0000-1100-00000F000000}" name="Any Discovery On Patrols?" dataDxfId="542" totalsRowDxfId="541"/>
    <tableColumn id="9" xr3:uid="{00000000-0010-0000-1100-000009000000}" name="Restoration Date &amp; Time_x000a_(MM/DD/YY)" dataDxfId="540" totalsRowDxfId="539"/>
    <tableColumn id="16" xr3:uid="{00000000-0010-0000-1100-000010000000}" name="Load at the time of  Restoration (MW)" dataDxfId="538" totalsRowDxfId="537"/>
    <tableColumn id="10" xr3:uid="{00000000-0010-0000-1100-00000A000000}" name="Outage Duration" dataDxfId="536" totalsRowDxfId="535">
      <calculatedColumnFormula>J2-E2</calculatedColumnFormula>
    </tableColumn>
    <tableColumn id="11" xr3:uid="{00000000-0010-0000-1100-00000B000000}" name="Total Energy Loss (MWH)" dataDxfId="534" totalsRowDxfId="533" dataCellStyle="Comma">
      <calculatedColumnFormula>L2*F2</calculatedColumnFormula>
    </tableColumn>
    <tableColumn id="12" xr3:uid="{00000000-0010-0000-1100-00000C000000}" name="Outage Surrender within duration " dataDxfId="532" totalsRowDxfId="531">
      <calculatedColumnFormula>IF(Table2683253[[#This Row],[Fault Type]]="PM",IF(L2&lt;=(D2-C2),"Yes","No"),"")</calculatedColumnFormula>
    </tableColumn>
    <tableColumn id="13" xr3:uid="{00000000-0010-0000-1100-00000D000000}" name="Extended Time" dataDxfId="530" totalsRowDxfId="529">
      <calculatedColumnFormula>IF(N2="No",(L2-(D2-C2)),"")</calculatedColumnFormula>
    </tableColumn>
    <tableColumn id="17" xr3:uid="{00000000-0010-0000-1100-000011000000}" name="Fault Cleared in Specified Time" dataDxfId="528" totalsRowDxfId="527">
      <calculatedColumnFormula>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calculatedColumnFormula>
    </tableColumn>
    <tableColumn id="14" xr3:uid="{00000000-0010-0000-1100-00000E000000}" name="Name &amp; Designation of Permit Holder" totalsRowFunction="count"/>
  </tableColumns>
  <tableStyleInfo name="TableStyleLight13" showFirstColumn="0" showLastColumn="0" showRowStripes="1"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12000000}" name="Table2683252" displayName="Table2683252" ref="A1:Q81" headerRowDxfId="526" headerRowBorderDxfId="525">
  <autoFilter ref="A1:Q81" xr:uid="{00000000-0009-0000-0100-000033000000}"/>
  <tableColumns count="17">
    <tableColumn id="1" xr3:uid="{00000000-0010-0000-1200-000001000000}" name="Name of Feeder" totalsRowLabel="Total" dataDxfId="524"/>
    <tableColumn id="2" xr3:uid="{00000000-0010-0000-1200-000002000000}" name="Fault Type" dataDxfId="523" totalsRowDxfId="522"/>
    <tableColumn id="3" xr3:uid="{00000000-0010-0000-1200-000003000000}" name="Approved Outage Time" dataDxfId="521" totalsRowDxfId="520"/>
    <tableColumn id="4" xr3:uid="{00000000-0010-0000-1200-000004000000}" name="Approved Restoration Time" dataDxfId="519" totalsRowDxfId="518"/>
    <tableColumn id="5" xr3:uid="{00000000-0010-0000-1200-000005000000}" name="Tripping Date &amp; Time_x000a_(MM/DD/YY)" dataDxfId="517" totalsRowDxfId="516"/>
    <tableColumn id="6" xr3:uid="{00000000-0010-0000-1200-000006000000}" name="Load Interrupted (MW)"/>
    <tableColumn id="7" xr3:uid="{00000000-0010-0000-1200-000007000000}" name="Relay Indication" dataDxfId="515" totalsRowDxfId="514"/>
    <tableColumn id="8" xr3:uid="{00000000-0010-0000-1200-000008000000}" name="Brief Description" dataDxfId="513" totalsRowDxfId="512"/>
    <tableColumn id="15" xr3:uid="{00000000-0010-0000-1200-00000F000000}" name="Any Discovery On Patrols?" dataDxfId="511" totalsRowDxfId="510"/>
    <tableColumn id="9" xr3:uid="{00000000-0010-0000-1200-000009000000}" name="Restoration Date &amp; Time_x000a_(MM/DD/YY)" dataDxfId="509" totalsRowDxfId="508"/>
    <tableColumn id="16" xr3:uid="{00000000-0010-0000-1200-000010000000}" name="Load at the time of  Restoration (MW)" dataDxfId="507" totalsRowDxfId="506"/>
    <tableColumn id="10" xr3:uid="{00000000-0010-0000-1200-00000A000000}" name="Outage Duration" dataDxfId="505" totalsRowDxfId="504">
      <calculatedColumnFormula>J2-E2</calculatedColumnFormula>
    </tableColumn>
    <tableColumn id="11" xr3:uid="{00000000-0010-0000-1200-00000B000000}" name="Total Energy Loss (MWH)" dataDxfId="503" totalsRowDxfId="502" dataCellStyle="Comma">
      <calculatedColumnFormula>L2*F2</calculatedColumnFormula>
    </tableColumn>
    <tableColumn id="12" xr3:uid="{00000000-0010-0000-1200-00000C000000}" name="Outage Surrender within duration " dataDxfId="501" totalsRowDxfId="500">
      <calculatedColumnFormula>IF(Table2683252[[#This Row],[Fault Type]]="PM",IF(L2&lt;=(D2-C2),"Yes","No"),"")</calculatedColumnFormula>
    </tableColumn>
    <tableColumn id="13" xr3:uid="{00000000-0010-0000-1200-00000D000000}" name="Extended Time" dataDxfId="499" totalsRowDxfId="498">
      <calculatedColumnFormula>IF(N2="No",(L2-(D2-C2)),"")</calculatedColumnFormula>
    </tableColumn>
    <tableColumn id="17" xr3:uid="{00000000-0010-0000-1200-000011000000}" name="Fault Cleared in Specified Time" dataDxfId="497" totalsRowDxfId="496">
      <calculatedColumnFormula>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calculatedColumnFormula>
    </tableColumn>
    <tableColumn id="14" xr3:uid="{00000000-0010-0000-1200-00000E000000}" name="Name &amp; Designation of Permit Holder" totalsRowFunction="count"/>
  </tableColumns>
  <tableStyleInfo name="TableStyleLight13"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AA29" headerRowDxfId="1177" dataDxfId="1175" headerRowBorderDxfId="1176">
  <tableColumns count="27">
    <tableColumn id="1" xr3:uid="{00000000-0010-0000-0100-000001000000}" name="Sr. No." dataDxfId="1174" totalsRowDxfId="1173"/>
    <tableColumn id="2" xr3:uid="{00000000-0010-0000-0100-000002000000}" name="Region" totalsRowLabel="KEDCO OVERALL" dataDxfId="1172" totalsRowDxfId="1171"/>
    <tableColumn id="12" xr3:uid="{00000000-0010-0000-0100-00000C000000}" name="TSP" dataDxfId="1170" totalsRowDxfId="1169"/>
    <tableColumn id="3" xr3:uid="{00000000-0010-0000-0100-000003000000}" name="Total Interruptions" totalsRowFunction="sum" dataDxfId="1168" totalsRowDxfId="1167">
      <calculatedColumnFormula>SUMIF(Main!C:C,'Ranking TSP'!C2,Main!F:F)</calculatedColumnFormula>
    </tableColumn>
    <tableColumn id="25" xr3:uid="{00000000-0010-0000-0100-000019000000}" name="Total Faults" dataDxfId="1166">
      <calculatedColumnFormula>SUMIF(Main!C:C,'Ranking TSP'!C2,Main!V:V)</calculatedColumnFormula>
    </tableColumn>
    <tableColumn id="27" xr3:uid="{00000000-0010-0000-0100-00001B000000}" name="TOTAL NUMBERS OF FEEDERS/TSP" dataDxfId="1165"/>
    <tableColumn id="10" xr3:uid="{00000000-0010-0000-0100-00000A000000}" name="Tripping Due to Fault" totalsRowFunction="sum" dataDxfId="1164" totalsRowDxfId="1163">
      <calculatedColumnFormula>SUMIF(Main!C:C,'Ranking TSP'!C2,Main!U:U)</calculatedColumnFormula>
    </tableColumn>
    <tableColumn id="8" xr3:uid="{00000000-0010-0000-0100-000008000000}" name="Planned Shutdown" totalsRowFunction="sum" dataDxfId="1162" totalsRowDxfId="1161">
      <calculatedColumnFormula>SUMIF(Main!C:C,'Ranking TSP'!C2,Main!Y:Y)</calculatedColumnFormula>
    </tableColumn>
    <tableColumn id="11" xr3:uid="{00000000-0010-0000-0100-00000B000000}" name="Substation Fault" totalsRowFunction="sum" dataDxfId="1160" totalsRowDxfId="1159">
      <calculatedColumnFormula>SUMIF(Main!C:C,'Ranking TSP'!C2,Main!W:W)</calculatedColumnFormula>
    </tableColumn>
    <tableColumn id="7" xr3:uid="{00000000-0010-0000-0100-000007000000}" name="Outage Surrender within Approved Duration" totalsRowFunction="sum" dataDxfId="1158" totalsRowDxfId="1157">
      <calculatedColumnFormula>SUMIF(Main!C:C,'Ranking TSP'!C2,Main!AD:AD)</calculatedColumnFormula>
    </tableColumn>
    <tableColumn id="4" xr3:uid="{00000000-0010-0000-0100-000004000000}" name="Total Outage Duration" totalsRowFunction="sum" dataDxfId="1156" totalsRowDxfId="1155">
      <calculatedColumnFormula>SUMIF(Main!C:C,'Ranking TSP'!C2,Main!R:R)</calculatedColumnFormula>
    </tableColumn>
    <tableColumn id="20" xr3:uid="{00000000-0010-0000-0100-000014000000}" name="Total Hours Available for Service" dataDxfId="1154" totalsRowDxfId="1153">
      <calculatedColumnFormula>SUMIF(Main!C:C,Table1[[#This Row],[TSP]],Main!S:S)</calculatedColumnFormula>
    </tableColumn>
    <tableColumn id="21" xr3:uid="{00000000-0010-0000-0100-000015000000}" name="Days in the Month" dataDxfId="1152" totalsRowDxfId="1151" dataCellStyle="Comma"/>
    <tableColumn id="22" xr3:uid="{00000000-0010-0000-0100-000016000000}" name="Total Faults Cleared within Specified Time" dataDxfId="1150" totalsRowDxfId="1149">
      <calculatedColumnFormula>SUMIF(Main!C:C,Table1[[#This Row],[TSP]],Main!AC:AC)</calculatedColumnFormula>
    </tableColumn>
    <tableColumn id="26" xr3:uid="{00000000-0010-0000-0100-00001A000000}" name="Total PM Cleared within Specified Time" dataDxfId="1148" totalsRowDxfId="1147" dataCellStyle="Comma">
      <calculatedColumnFormula>SUMIF(Main!C:C,Table1[[#This Row],[TSP]],Main!AD:AD)</calculatedColumnFormula>
    </tableColumn>
    <tableColumn id="24" xr3:uid="{00000000-0010-0000-0100-000018000000}" name="Average Interupption " dataDxfId="1146" totalsRowDxfId="1145" dataCellStyle="Comma">
      <calculatedColumnFormula>AVERAGEIF(Main!C:C,Table1[[#This Row],[TSP]],Table4[[#All],[Total Interrruption]])</calculatedColumnFormula>
    </tableColumn>
    <tableColumn id="5" xr3:uid="{00000000-0010-0000-0100-000005000000}" name="Avg. Duration Per Tripping" totalsRowFunction="custom" dataDxfId="1144" totalsRowDxfId="1143">
      <calculatedColumnFormula>K2/D2</calculatedColumnFormula>
      <totalsRowFormula>Table1[[#Totals],[Total Outage Duration]]/Table1[[#Totals],[Total Interruptions]]</totalsRowFormula>
    </tableColumn>
    <tableColumn id="17" xr3:uid="{00000000-0010-0000-0100-000011000000}" name="SAIDI" dataDxfId="1142" totalsRowDxfId="1141" dataCellStyle="Comma">
      <calculatedColumnFormula>SUMIF(Main!C:C,Table1[[#This Row],[TSP]],Main!AH:AH)/SUMIF('Supply Hours'!C:C,Table1[[#This Row],[TSP]],'Supply Hours'!I:I)</calculatedColumnFormula>
    </tableColumn>
    <tableColumn id="16" xr3:uid="{00000000-0010-0000-0100-000010000000}" name="ASIFI" dataDxfId="1140" dataCellStyle="Comma">
      <calculatedColumnFormula>SUMIFS(Main!AI:AI,Main!C:C,Table1[[#This Row],[TSP]])/SUMIFS('Supply Hours'!J:J,'Supply Hours'!C:C,Table1[[#This Row],[TSP]])</calculatedColumnFormula>
    </tableColumn>
    <tableColumn id="15" xr3:uid="{00000000-0010-0000-0100-00000F000000}" name="ASAI" dataDxfId="1139" totalsRowDxfId="1138" dataCellStyle="Comma">
      <calculatedColumnFormula>Table1[[#This Row],[Total Hours Available for Service]]/(COUNTIF(Main!C:C,Table1[[#This Row],[TSP]])*Main!Q$199)</calculatedColumnFormula>
    </tableColumn>
    <tableColumn id="14" xr3:uid="{00000000-0010-0000-0100-00000E000000}" name="FCI" dataDxfId="1137" totalsRowDxfId="1136" dataCellStyle="Comma">
      <calculatedColumnFormula>IF((SUMIF(Main!C:C,Table1[[#This Row],[TSP]],Main!V:V))&gt;0,SUMIF(Main!C:C,Table1[[#This Row],[TSP]],Main!AC:AC)/(SUMIF(Main!C:C,Table1[[#This Row],[TSP]],Main!V:V)),1)</calculatedColumnFormula>
    </tableColumn>
    <tableColumn id="18" xr3:uid="{00000000-0010-0000-0100-000012000000}" name="Ranking SAIDI" dataDxfId="1135" totalsRowDxfId="1134" dataCellStyle="Comma">
      <calculatedColumnFormula>RANK(Table1[[#This Row],[SAIDI]],R:R,1)</calculatedColumnFormula>
    </tableColumn>
    <tableColumn id="19" xr3:uid="{00000000-0010-0000-0100-000013000000}" name="Ranking ASIFI" dataDxfId="1133" totalsRowDxfId="1132">
      <calculatedColumnFormula>RANK(Table1[[#This Row],[ASIFI]],S:S,1)</calculatedColumnFormula>
    </tableColumn>
    <tableColumn id="23" xr3:uid="{00000000-0010-0000-0100-000017000000}" name="Ranking ASAI" dataDxfId="1131" totalsRowDxfId="1130">
      <calculatedColumnFormula>RANK(Table1[[#This Row],[ASAI]],T:T,0)</calculatedColumnFormula>
    </tableColumn>
    <tableColumn id="6" xr3:uid="{00000000-0010-0000-0100-000006000000}" name="Ranking FCI" dataDxfId="1129" totalsRowDxfId="1128">
      <calculatedColumnFormula>RANK(Table1[[#This Row],[FCI]],U:U,0)</calculatedColumnFormula>
    </tableColumn>
    <tableColumn id="13" xr3:uid="{00000000-0010-0000-0100-00000D000000}" name="Total Points" dataDxfId="1127" totalsRowDxfId="1126">
      <calculatedColumnFormula>SUM(Table1[[#This Row],[Ranking SAIDI]:[Ranking FCI]])</calculatedColumnFormula>
    </tableColumn>
    <tableColumn id="9" xr3:uid="{00000000-0010-0000-0100-000009000000}" name="Overal Ranking" totalsRowFunction="custom" dataDxfId="1125" dataCellStyle="Percent">
      <calculatedColumnFormula>RANK(Table1[[#This Row],[Total Points]],Z:Z,1)</calculatedColumnFormula>
      <totalsRowFormula>Table1[[#Totals],[Outage Surrender within Approved Duration]]/Table1[[#Totals],[Planned Shutdown]]</totalsRow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13000000}" name="Table2683251" displayName="Table2683251" ref="A1:Q80" headerRowDxfId="495" headerRowBorderDxfId="494">
  <autoFilter ref="A1:Q80" xr:uid="{00000000-0009-0000-0100-000032000000}"/>
  <tableColumns count="17">
    <tableColumn id="1" xr3:uid="{00000000-0010-0000-1300-000001000000}" name="Name of Feeder" totalsRowLabel="Total" dataDxfId="493"/>
    <tableColumn id="2" xr3:uid="{00000000-0010-0000-1300-000002000000}" name="Fault Type" dataDxfId="492" totalsRowDxfId="491"/>
    <tableColumn id="3" xr3:uid="{00000000-0010-0000-1300-000003000000}" name="Approved Outage Time" dataDxfId="490" totalsRowDxfId="489"/>
    <tableColumn id="4" xr3:uid="{00000000-0010-0000-1300-000004000000}" name="Approved Restoration Time" dataDxfId="488" totalsRowDxfId="487"/>
    <tableColumn id="5" xr3:uid="{00000000-0010-0000-1300-000005000000}" name="Tripping Date &amp; Time_x000a_(MM/DD/YY)" dataDxfId="486" totalsRowDxfId="485"/>
    <tableColumn id="6" xr3:uid="{00000000-0010-0000-1300-000006000000}" name="Load Interrupted (MW)"/>
    <tableColumn id="7" xr3:uid="{00000000-0010-0000-1300-000007000000}" name="Relay Indication" dataDxfId="484" totalsRowDxfId="483"/>
    <tableColumn id="8" xr3:uid="{00000000-0010-0000-1300-000008000000}" name="Brief Description" dataDxfId="482" totalsRowDxfId="481"/>
    <tableColumn id="15" xr3:uid="{00000000-0010-0000-1300-00000F000000}" name="Any Discovery On Patrols?" dataDxfId="480" totalsRowDxfId="479"/>
    <tableColumn id="9" xr3:uid="{00000000-0010-0000-1300-000009000000}" name="Restoration Date &amp; Time_x000a_(MM/DD/YY)" dataDxfId="478" totalsRowDxfId="477"/>
    <tableColumn id="16" xr3:uid="{00000000-0010-0000-1300-000010000000}" name="Load at the time of  Restoration (MW)" dataDxfId="476" totalsRowDxfId="475"/>
    <tableColumn id="10" xr3:uid="{00000000-0010-0000-1300-00000A000000}" name="Outage Duration" dataDxfId="474" totalsRowDxfId="473">
      <calculatedColumnFormula>J2-E2</calculatedColumnFormula>
    </tableColumn>
    <tableColumn id="11" xr3:uid="{00000000-0010-0000-1300-00000B000000}" name="Total Energy Loss (MWH)" dataDxfId="472" totalsRowDxfId="471" dataCellStyle="Comma">
      <calculatedColumnFormula>L2*F2</calculatedColumnFormula>
    </tableColumn>
    <tableColumn id="12" xr3:uid="{00000000-0010-0000-1300-00000C000000}" name="Outage Surrender within duration " dataDxfId="470" totalsRowDxfId="469">
      <calculatedColumnFormula>IF(Table2683251[[#This Row],[Fault Type]]="PM",IF(L2&lt;=(D2-C2),"Yes","No"),"")</calculatedColumnFormula>
    </tableColumn>
    <tableColumn id="13" xr3:uid="{00000000-0010-0000-1300-00000D000000}" name="Extended Time" dataDxfId="468" totalsRowDxfId="467">
      <calculatedColumnFormula>IF(N2="No",(L2-(D2-C2)),"")</calculatedColumnFormula>
    </tableColumn>
    <tableColumn id="17" xr3:uid="{00000000-0010-0000-1300-000011000000}" name="Fault Cleared in Specified Time" dataDxfId="466" totalsRowDxfId="465">
      <calculatedColumnFormula>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calculatedColumnFormula>
    </tableColumn>
    <tableColumn id="14" xr3:uid="{00000000-0010-0000-1300-00000E000000}" name="Name &amp; Designation of Permit Holder" totalsRowFunction="count"/>
  </tableColumns>
  <tableStyleInfo name="TableStyleLight13" showFirstColumn="0" showLastColumn="0" showRowStripes="1"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14000000}" name="Table2683250" displayName="Table2683250" ref="A1:Q78" headerRowDxfId="464" headerRowBorderDxfId="463">
  <autoFilter ref="A1:Q78" xr:uid="{00000000-0009-0000-0100-000031000000}"/>
  <tableColumns count="17">
    <tableColumn id="1" xr3:uid="{00000000-0010-0000-1400-000001000000}" name="Name of Feeder" totalsRowLabel="Total" dataDxfId="462"/>
    <tableColumn id="2" xr3:uid="{00000000-0010-0000-1400-000002000000}" name="Fault Type" dataDxfId="461" totalsRowDxfId="460"/>
    <tableColumn id="3" xr3:uid="{00000000-0010-0000-1400-000003000000}" name="Approved Outage Time" dataDxfId="459" totalsRowDxfId="458"/>
    <tableColumn id="4" xr3:uid="{00000000-0010-0000-1400-000004000000}" name="Approved Restoration Time" dataDxfId="457" totalsRowDxfId="456"/>
    <tableColumn id="5" xr3:uid="{00000000-0010-0000-1400-000005000000}" name="Tripping Date &amp; Time_x000a_(MM/DD/YY)" dataDxfId="455" totalsRowDxfId="454"/>
    <tableColumn id="6" xr3:uid="{00000000-0010-0000-1400-000006000000}" name="Load Interrupted (MW)"/>
    <tableColumn id="7" xr3:uid="{00000000-0010-0000-1400-000007000000}" name="Relay Indication" dataDxfId="453" totalsRowDxfId="452"/>
    <tableColumn id="8" xr3:uid="{00000000-0010-0000-1400-000008000000}" name="Brief Description" dataDxfId="451" totalsRowDxfId="450"/>
    <tableColumn id="15" xr3:uid="{00000000-0010-0000-1400-00000F000000}" name="Any Discovery On Patrols?" dataDxfId="449" totalsRowDxfId="448"/>
    <tableColumn id="9" xr3:uid="{00000000-0010-0000-1400-000009000000}" name="Restoration Date &amp; Time_x000a_(MM/DD/YY)" dataDxfId="447" totalsRowDxfId="446"/>
    <tableColumn id="16" xr3:uid="{00000000-0010-0000-1400-000010000000}" name="Load at the time of  Restoration (MW)" dataDxfId="445" totalsRowDxfId="444"/>
    <tableColumn id="10" xr3:uid="{00000000-0010-0000-1400-00000A000000}" name="Outage Duration" dataDxfId="443" totalsRowDxfId="442">
      <calculatedColumnFormula>J2-E2</calculatedColumnFormula>
    </tableColumn>
    <tableColumn id="11" xr3:uid="{00000000-0010-0000-1400-00000B000000}" name="Total Energy Loss (MWH)" dataDxfId="441" totalsRowDxfId="440" dataCellStyle="Comma">
      <calculatedColumnFormula>L2*F2</calculatedColumnFormula>
    </tableColumn>
    <tableColumn id="12" xr3:uid="{00000000-0010-0000-1400-00000C000000}" name="Outage Surrender within duration " dataDxfId="439" totalsRowDxfId="438">
      <calculatedColumnFormula>IF(Table2683250[[#This Row],[Fault Type]]="PM",IF(L2&lt;=(D2-C2),"Yes","No"),"")</calculatedColumnFormula>
    </tableColumn>
    <tableColumn id="13" xr3:uid="{00000000-0010-0000-1400-00000D000000}" name="Extended Time" dataDxfId="437" totalsRowDxfId="436">
      <calculatedColumnFormula>IF(N2="No",(L2-(D2-C2)),"")</calculatedColumnFormula>
    </tableColumn>
    <tableColumn id="17" xr3:uid="{00000000-0010-0000-1400-000011000000}" name="Fault Cleared in Specified Time" dataDxfId="435" totalsRowDxfId="434">
      <calculatedColumnFormula>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calculatedColumnFormula>
    </tableColumn>
    <tableColumn id="14" xr3:uid="{00000000-0010-0000-1400-00000E000000}" name="Name &amp; Designation of Permit Holder" totalsRowFunction="count"/>
  </tableColumns>
  <tableStyleInfo name="TableStyleLight13" showFirstColumn="0" showLastColumn="0" showRowStripes="1"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15000000}" name="Table2683249" displayName="Table2683249" ref="A1:Q80" headerRowDxfId="433" headerRowBorderDxfId="432">
  <autoFilter ref="A1:Q80" xr:uid="{00000000-0009-0000-0100-000030000000}"/>
  <tableColumns count="17">
    <tableColumn id="1" xr3:uid="{00000000-0010-0000-1500-000001000000}" name="Name of Feeder" totalsRowLabel="Total" dataDxfId="431"/>
    <tableColumn id="2" xr3:uid="{00000000-0010-0000-1500-000002000000}" name="Fault Type" dataDxfId="430" totalsRowDxfId="429"/>
    <tableColumn id="3" xr3:uid="{00000000-0010-0000-1500-000003000000}" name="Approved Outage Time" dataDxfId="428" totalsRowDxfId="427"/>
    <tableColumn id="4" xr3:uid="{00000000-0010-0000-1500-000004000000}" name="Approved Restoration Time" dataDxfId="426" totalsRowDxfId="425"/>
    <tableColumn id="5" xr3:uid="{00000000-0010-0000-1500-000005000000}" name="Tripping Date &amp; Time_x000a_(MM/DD/YY)" dataDxfId="424" totalsRowDxfId="423"/>
    <tableColumn id="6" xr3:uid="{00000000-0010-0000-1500-000006000000}" name="Load Interrupted (MW)"/>
    <tableColumn id="7" xr3:uid="{00000000-0010-0000-1500-000007000000}" name="Relay Indication" dataDxfId="422" totalsRowDxfId="421"/>
    <tableColumn id="8" xr3:uid="{00000000-0010-0000-1500-000008000000}" name="Brief Description" dataDxfId="420" totalsRowDxfId="419"/>
    <tableColumn id="15" xr3:uid="{00000000-0010-0000-1500-00000F000000}" name="Any Discovery On Patrols?" dataDxfId="418" totalsRowDxfId="417"/>
    <tableColumn id="9" xr3:uid="{00000000-0010-0000-1500-000009000000}" name="Restoration Date &amp; Time_x000a_(MM/DD/YY)" dataDxfId="416" totalsRowDxfId="415"/>
    <tableColumn id="16" xr3:uid="{00000000-0010-0000-1500-000010000000}" name="Load at the time of  Restoration (MW)" dataDxfId="414" totalsRowDxfId="413"/>
    <tableColumn id="10" xr3:uid="{00000000-0010-0000-1500-00000A000000}" name="Outage Duration" dataDxfId="412" totalsRowDxfId="411">
      <calculatedColumnFormula>J2-E2</calculatedColumnFormula>
    </tableColumn>
    <tableColumn id="11" xr3:uid="{00000000-0010-0000-1500-00000B000000}" name="Total Energy Loss (MWH)" dataDxfId="410" totalsRowDxfId="409" dataCellStyle="Comma">
      <calculatedColumnFormula>L2*F2</calculatedColumnFormula>
    </tableColumn>
    <tableColumn id="12" xr3:uid="{00000000-0010-0000-1500-00000C000000}" name="Outage Surrender within duration " dataDxfId="408" totalsRowDxfId="407">
      <calculatedColumnFormula>IF(Table2683249[[#This Row],[Fault Type]]="PM",IF(L2&lt;=(D2-C2),"Yes","No"),"")</calculatedColumnFormula>
    </tableColumn>
    <tableColumn id="13" xr3:uid="{00000000-0010-0000-1500-00000D000000}" name="Extended Time" dataDxfId="406" totalsRowDxfId="405">
      <calculatedColumnFormula>IF(N2="No",(L2-(D2-C2)),"")</calculatedColumnFormula>
    </tableColumn>
    <tableColumn id="17" xr3:uid="{00000000-0010-0000-1500-000011000000}" name="Fault Cleared in Specified Time" dataDxfId="404" totalsRowDxfId="403">
      <calculatedColumnFormula>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calculatedColumnFormula>
    </tableColumn>
    <tableColumn id="14" xr3:uid="{00000000-0010-0000-1500-00000E000000}" name="Name &amp; Designation of Permit Holder" totalsRowFunction="count"/>
  </tableColumns>
  <tableStyleInfo name="TableStyleLight13" showFirstColumn="0" showLastColumn="0" showRowStripes="1"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6000000}" name="Table2683248" displayName="Table2683248" ref="A1:Q79" headerRowDxfId="402" headerRowBorderDxfId="401">
  <autoFilter ref="A1:Q79" xr:uid="{00000000-0009-0000-0100-00002F000000}"/>
  <tableColumns count="17">
    <tableColumn id="1" xr3:uid="{00000000-0010-0000-1600-000001000000}" name="Name of Feeder" totalsRowLabel="Total" dataDxfId="400"/>
    <tableColumn id="2" xr3:uid="{00000000-0010-0000-1600-000002000000}" name="Fault Type" dataDxfId="399" totalsRowDxfId="398"/>
    <tableColumn id="3" xr3:uid="{00000000-0010-0000-1600-000003000000}" name="Approved Outage Time" dataDxfId="397" totalsRowDxfId="396"/>
    <tableColumn id="4" xr3:uid="{00000000-0010-0000-1600-000004000000}" name="Approved Restoration Time" dataDxfId="395" totalsRowDxfId="394"/>
    <tableColumn id="5" xr3:uid="{00000000-0010-0000-1600-000005000000}" name="Tripping Date &amp; Time_x000a_(MM/DD/YY)" dataDxfId="393" totalsRowDxfId="392"/>
    <tableColumn id="6" xr3:uid="{00000000-0010-0000-1600-000006000000}" name="Load Interrupted (MW)"/>
    <tableColumn id="7" xr3:uid="{00000000-0010-0000-1600-000007000000}" name="Relay Indication" dataDxfId="391" totalsRowDxfId="390"/>
    <tableColumn id="8" xr3:uid="{00000000-0010-0000-1600-000008000000}" name="Brief Description" dataDxfId="389" totalsRowDxfId="388"/>
    <tableColumn id="15" xr3:uid="{00000000-0010-0000-1600-00000F000000}" name="Any Discovery On Patrols?" dataDxfId="387" totalsRowDxfId="386"/>
    <tableColumn id="9" xr3:uid="{00000000-0010-0000-1600-000009000000}" name="Restoration Date &amp; Time_x000a_(MM/DD/YY)" dataDxfId="385" totalsRowDxfId="384"/>
    <tableColumn id="16" xr3:uid="{00000000-0010-0000-1600-000010000000}" name="Load at the time of  Restoration (MW)" dataDxfId="383" totalsRowDxfId="382"/>
    <tableColumn id="10" xr3:uid="{00000000-0010-0000-1600-00000A000000}" name="Outage Duration" dataDxfId="381" totalsRowDxfId="380">
      <calculatedColumnFormula>J2-E2</calculatedColumnFormula>
    </tableColumn>
    <tableColumn id="11" xr3:uid="{00000000-0010-0000-1600-00000B000000}" name="Total Energy Loss (MWH)" dataDxfId="379" totalsRowDxfId="378" dataCellStyle="Comma">
      <calculatedColumnFormula>L2*F2</calculatedColumnFormula>
    </tableColumn>
    <tableColumn id="12" xr3:uid="{00000000-0010-0000-1600-00000C000000}" name="Outage Surrender within duration " dataDxfId="377" totalsRowDxfId="376">
      <calculatedColumnFormula>IF(Table2683248[[#This Row],[Fault Type]]="PM",IF(L2&lt;=(D2-C2),"Yes","No"),"")</calculatedColumnFormula>
    </tableColumn>
    <tableColumn id="13" xr3:uid="{00000000-0010-0000-1600-00000D000000}" name="Extended Time" dataDxfId="375" totalsRowDxfId="374">
      <calculatedColumnFormula>IF(N2="No",(L2-(D2-C2)),"")</calculatedColumnFormula>
    </tableColumn>
    <tableColumn id="17" xr3:uid="{00000000-0010-0000-1600-000011000000}" name="Fault Cleared in Specified Time" dataDxfId="373" totalsRowDxfId="372">
      <calculatedColumnFormula>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calculatedColumnFormula>
    </tableColumn>
    <tableColumn id="14" xr3:uid="{00000000-0010-0000-1600-00000E000000}" name="Name &amp; Designation of Permit Holder" totalsRowFunction="count"/>
  </tableColumns>
  <tableStyleInfo name="TableStyleLight13" showFirstColumn="0" showLastColumn="0" showRowStripes="1"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7000000}" name="Table2683247" displayName="Table2683247" ref="A1:Q79" headerRowDxfId="371" headerRowBorderDxfId="370">
  <autoFilter ref="A1:Q79" xr:uid="{00000000-0009-0000-0100-00002E000000}"/>
  <tableColumns count="17">
    <tableColumn id="1" xr3:uid="{00000000-0010-0000-1700-000001000000}" name="Name of Feeder" totalsRowLabel="Total" dataDxfId="369"/>
    <tableColumn id="2" xr3:uid="{00000000-0010-0000-1700-000002000000}" name="Fault Type" dataDxfId="368" totalsRowDxfId="367"/>
    <tableColumn id="3" xr3:uid="{00000000-0010-0000-1700-000003000000}" name="Approved Outage Time" dataDxfId="366" totalsRowDxfId="365"/>
    <tableColumn id="4" xr3:uid="{00000000-0010-0000-1700-000004000000}" name="Approved Restoration Time" dataDxfId="364" totalsRowDxfId="363"/>
    <tableColumn id="5" xr3:uid="{00000000-0010-0000-1700-000005000000}" name="Tripping Date &amp; Time_x000a_(MM/DD/YY)" dataDxfId="362" totalsRowDxfId="361"/>
    <tableColumn id="6" xr3:uid="{00000000-0010-0000-1700-000006000000}" name="Load Interrupted (MW)"/>
    <tableColumn id="7" xr3:uid="{00000000-0010-0000-1700-000007000000}" name="Relay Indication" dataDxfId="360" totalsRowDxfId="359"/>
    <tableColumn id="8" xr3:uid="{00000000-0010-0000-1700-000008000000}" name="Brief Description" dataDxfId="358" totalsRowDxfId="357"/>
    <tableColumn id="15" xr3:uid="{00000000-0010-0000-1700-00000F000000}" name="Any Discovery On Patrols?" dataDxfId="356" totalsRowDxfId="355"/>
    <tableColumn id="9" xr3:uid="{00000000-0010-0000-1700-000009000000}" name="Restoration Date &amp; Time_x000a_(MM/DD/YY)" dataDxfId="354" totalsRowDxfId="353"/>
    <tableColumn id="16" xr3:uid="{00000000-0010-0000-1700-000010000000}" name="Load at the time of  Restoration (MW)" dataDxfId="352" totalsRowDxfId="351"/>
    <tableColumn id="10" xr3:uid="{00000000-0010-0000-1700-00000A000000}" name="Outage Duration" dataDxfId="350" totalsRowDxfId="349">
      <calculatedColumnFormula>J2-E2</calculatedColumnFormula>
    </tableColumn>
    <tableColumn id="11" xr3:uid="{00000000-0010-0000-1700-00000B000000}" name="Total Energy Loss (MWH)" dataDxfId="348" totalsRowDxfId="347" dataCellStyle="Comma">
      <calculatedColumnFormula>L2*F2</calculatedColumnFormula>
    </tableColumn>
    <tableColumn id="12" xr3:uid="{00000000-0010-0000-1700-00000C000000}" name="Outage Surrender within duration " dataDxfId="346" totalsRowDxfId="345">
      <calculatedColumnFormula>IF(Table2683247[[#This Row],[Fault Type]]="PM",IF(L2&lt;=(D2-C2),"Yes","No"),"")</calculatedColumnFormula>
    </tableColumn>
    <tableColumn id="13" xr3:uid="{00000000-0010-0000-1700-00000D000000}" name="Extended Time" dataDxfId="344" totalsRowDxfId="343">
      <calculatedColumnFormula>IF(N2="No",(L2-(D2-C2)),"")</calculatedColumnFormula>
    </tableColumn>
    <tableColumn id="17" xr3:uid="{00000000-0010-0000-1700-000011000000}" name="Fault Cleared in Specified Time" dataDxfId="342" totalsRowDxfId="341">
      <calculatedColumnFormula>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calculatedColumnFormula>
    </tableColumn>
    <tableColumn id="14" xr3:uid="{00000000-0010-0000-1700-00000E000000}" name="Name &amp; Designation of Permit Holder" totalsRowFunction="count"/>
  </tableColumns>
  <tableStyleInfo name="TableStyleLight13" showFirstColumn="0" showLastColumn="0" showRowStripes="1"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18000000}" name="Table2683246" displayName="Table2683246" ref="A1:Q76" headerRowDxfId="340" headerRowBorderDxfId="339">
  <autoFilter ref="A1:Q76" xr:uid="{00000000-0009-0000-0100-00002D000000}"/>
  <tableColumns count="17">
    <tableColumn id="1" xr3:uid="{00000000-0010-0000-1800-000001000000}" name="Name of Feeder" totalsRowLabel="Total" dataDxfId="338"/>
    <tableColumn id="2" xr3:uid="{00000000-0010-0000-1800-000002000000}" name="Fault Type" dataDxfId="337" totalsRowDxfId="336"/>
    <tableColumn id="3" xr3:uid="{00000000-0010-0000-1800-000003000000}" name="Approved Outage Time" dataDxfId="335" totalsRowDxfId="334"/>
    <tableColumn id="4" xr3:uid="{00000000-0010-0000-1800-000004000000}" name="Approved Restoration Time" dataDxfId="333" totalsRowDxfId="332"/>
    <tableColumn id="5" xr3:uid="{00000000-0010-0000-1800-000005000000}" name="Tripping Date &amp; Time_x000a_(MM/DD/YY)" dataDxfId="331" totalsRowDxfId="330"/>
    <tableColumn id="6" xr3:uid="{00000000-0010-0000-1800-000006000000}" name="Load Interrupted (MW)"/>
    <tableColumn id="7" xr3:uid="{00000000-0010-0000-1800-000007000000}" name="Relay Indication" dataDxfId="329" totalsRowDxfId="328"/>
    <tableColumn id="8" xr3:uid="{00000000-0010-0000-1800-000008000000}" name="Brief Description" dataDxfId="327" totalsRowDxfId="326"/>
    <tableColumn id="15" xr3:uid="{00000000-0010-0000-1800-00000F000000}" name="Any Discovery On Patrols?" dataDxfId="325" totalsRowDxfId="324"/>
    <tableColumn id="9" xr3:uid="{00000000-0010-0000-1800-000009000000}" name="Restoration Date &amp; Time_x000a_(MM/DD/YY)" dataDxfId="323" totalsRowDxfId="322"/>
    <tableColumn id="16" xr3:uid="{00000000-0010-0000-1800-000010000000}" name="Load at the time of  Restoration (MW)" dataDxfId="321" totalsRowDxfId="320"/>
    <tableColumn id="10" xr3:uid="{00000000-0010-0000-1800-00000A000000}" name="Outage Duration" dataDxfId="319" totalsRowDxfId="318">
      <calculatedColumnFormula>J2-E2</calculatedColumnFormula>
    </tableColumn>
    <tableColumn id="11" xr3:uid="{00000000-0010-0000-1800-00000B000000}" name="Total Energy Loss (MWH)" dataDxfId="317" totalsRowDxfId="316" dataCellStyle="Comma">
      <calculatedColumnFormula>L2*F2</calculatedColumnFormula>
    </tableColumn>
    <tableColumn id="12" xr3:uid="{00000000-0010-0000-1800-00000C000000}" name="Outage Surrender within duration " dataDxfId="315" totalsRowDxfId="314">
      <calculatedColumnFormula>IF(Table2683246[[#This Row],[Fault Type]]="PM",IF(L2&lt;=(D2-C2),"Yes","No"),"")</calculatedColumnFormula>
    </tableColumn>
    <tableColumn id="13" xr3:uid="{00000000-0010-0000-1800-00000D000000}" name="Extended Time" dataDxfId="313" totalsRowDxfId="312">
      <calculatedColumnFormula>IF(N2="No",(L2-(D2-C2)),"")</calculatedColumnFormula>
    </tableColumn>
    <tableColumn id="17" xr3:uid="{00000000-0010-0000-1800-000011000000}" name="Fault Cleared in Specified Time" dataDxfId="311" totalsRowDxfId="310">
      <calculatedColumnFormula>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calculatedColumnFormula>
    </tableColumn>
    <tableColumn id="14" xr3:uid="{00000000-0010-0000-1800-00000E000000}" name="Name &amp; Designation of Permit Holder" totalsRowFunction="count"/>
  </tableColumns>
  <tableStyleInfo name="TableStyleLight13" showFirstColumn="0" showLastColumn="0" showRowStripes="1"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19000000}" name="Table2683245" displayName="Table2683245" ref="A1:Q79" headerRowDxfId="309" headerRowBorderDxfId="308">
  <autoFilter ref="A1:Q79" xr:uid="{00000000-0009-0000-0100-00002C000000}"/>
  <tableColumns count="17">
    <tableColumn id="1" xr3:uid="{00000000-0010-0000-1900-000001000000}" name="Name of Feeder" totalsRowLabel="Total" dataDxfId="307"/>
    <tableColumn id="2" xr3:uid="{00000000-0010-0000-1900-000002000000}" name="Fault Type" dataDxfId="306" totalsRowDxfId="305"/>
    <tableColumn id="3" xr3:uid="{00000000-0010-0000-1900-000003000000}" name="Approved Outage Time" dataDxfId="304" totalsRowDxfId="303"/>
    <tableColumn id="4" xr3:uid="{00000000-0010-0000-1900-000004000000}" name="Approved Restoration Time" dataDxfId="302" totalsRowDxfId="301"/>
    <tableColumn id="5" xr3:uid="{00000000-0010-0000-1900-000005000000}" name="Tripping Date &amp; Time_x000a_(MM/DD/YY)" dataDxfId="300" totalsRowDxfId="299"/>
    <tableColumn id="6" xr3:uid="{00000000-0010-0000-1900-000006000000}" name="Load Interrupted (MW)"/>
    <tableColumn id="7" xr3:uid="{00000000-0010-0000-1900-000007000000}" name="Relay Indication" dataDxfId="298" totalsRowDxfId="297"/>
    <tableColumn id="8" xr3:uid="{00000000-0010-0000-1900-000008000000}" name="Brief Description" dataDxfId="296" totalsRowDxfId="295"/>
    <tableColumn id="15" xr3:uid="{00000000-0010-0000-1900-00000F000000}" name="Any Discovery On Patrols?" dataDxfId="294" totalsRowDxfId="293"/>
    <tableColumn id="9" xr3:uid="{00000000-0010-0000-1900-000009000000}" name="Restoration Date &amp; Time_x000a_(MM/DD/YY)" dataDxfId="292" totalsRowDxfId="291"/>
    <tableColumn id="16" xr3:uid="{00000000-0010-0000-1900-000010000000}" name="Load at the time of  Restoration (MW)" dataDxfId="290" totalsRowDxfId="289"/>
    <tableColumn id="10" xr3:uid="{00000000-0010-0000-1900-00000A000000}" name="Outage Duration" dataDxfId="288" totalsRowDxfId="287">
      <calculatedColumnFormula>J2-E2</calculatedColumnFormula>
    </tableColumn>
    <tableColumn id="11" xr3:uid="{00000000-0010-0000-1900-00000B000000}" name="Total Energy Loss (MWH)" dataDxfId="286" totalsRowDxfId="285" dataCellStyle="Comma">
      <calculatedColumnFormula>L2*F2</calculatedColumnFormula>
    </tableColumn>
    <tableColumn id="12" xr3:uid="{00000000-0010-0000-1900-00000C000000}" name="Outage Surrender within duration " dataDxfId="284" totalsRowDxfId="283">
      <calculatedColumnFormula>IF(Table2683245[[#This Row],[Fault Type]]="PM",IF(L2&lt;=(D2-C2),"Yes","No"),"")</calculatedColumnFormula>
    </tableColumn>
    <tableColumn id="13" xr3:uid="{00000000-0010-0000-1900-00000D000000}" name="Extended Time" dataDxfId="282" totalsRowDxfId="281">
      <calculatedColumnFormula>IF(N2="No",(L2-(D2-C2)),"")</calculatedColumnFormula>
    </tableColumn>
    <tableColumn id="17" xr3:uid="{00000000-0010-0000-1900-000011000000}" name="Fault Cleared in Specified Time" dataDxfId="280" totalsRowDxfId="279">
      <calculatedColumnFormula>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calculatedColumnFormula>
    </tableColumn>
    <tableColumn id="14" xr3:uid="{00000000-0010-0000-1900-00000E000000}" name="Name &amp; Designation of Permit Holder" totalsRowFunction="count"/>
  </tableColumns>
  <tableStyleInfo name="TableStyleLight13" showFirstColumn="0" showLastColumn="0" showRowStripes="1"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A000000}" name="Table2683244" displayName="Table2683244" ref="A1:Q80" headerRowDxfId="278" headerRowBorderDxfId="277">
  <autoFilter ref="A1:Q80" xr:uid="{00000000-0009-0000-0100-00002B000000}"/>
  <tableColumns count="17">
    <tableColumn id="1" xr3:uid="{00000000-0010-0000-1A00-000001000000}" name="Name of Feeder" totalsRowLabel="Total" dataDxfId="276"/>
    <tableColumn id="2" xr3:uid="{00000000-0010-0000-1A00-000002000000}" name="Fault Type" dataDxfId="275" totalsRowDxfId="274"/>
    <tableColumn id="3" xr3:uid="{00000000-0010-0000-1A00-000003000000}" name="Approved Outage Time" dataDxfId="273" totalsRowDxfId="272"/>
    <tableColumn id="4" xr3:uid="{00000000-0010-0000-1A00-000004000000}" name="Approved Restoration Time" dataDxfId="271" totalsRowDxfId="270"/>
    <tableColumn id="5" xr3:uid="{00000000-0010-0000-1A00-000005000000}" name="Tripping Date &amp; Time_x000a_(MM/DD/YY)" dataDxfId="269" totalsRowDxfId="268"/>
    <tableColumn id="6" xr3:uid="{00000000-0010-0000-1A00-000006000000}" name="Load Interrupted (MW)"/>
    <tableColumn id="7" xr3:uid="{00000000-0010-0000-1A00-000007000000}" name="Relay Indication" dataDxfId="267" totalsRowDxfId="266"/>
    <tableColumn id="8" xr3:uid="{00000000-0010-0000-1A00-000008000000}" name="Brief Description" dataDxfId="265" totalsRowDxfId="264"/>
    <tableColumn id="15" xr3:uid="{00000000-0010-0000-1A00-00000F000000}" name="Any Discovery On Patrols?" dataDxfId="263" totalsRowDxfId="262"/>
    <tableColumn id="9" xr3:uid="{00000000-0010-0000-1A00-000009000000}" name="Restoration Date &amp; Time_x000a_(MM/DD/YY)" dataDxfId="261" totalsRowDxfId="260"/>
    <tableColumn id="16" xr3:uid="{00000000-0010-0000-1A00-000010000000}" name="Load at the time of  Restoration (MW)" dataDxfId="259" totalsRowDxfId="258"/>
    <tableColumn id="10" xr3:uid="{00000000-0010-0000-1A00-00000A000000}" name="Outage Duration" dataDxfId="257" totalsRowDxfId="256">
      <calculatedColumnFormula>J2-E2</calculatedColumnFormula>
    </tableColumn>
    <tableColumn id="11" xr3:uid="{00000000-0010-0000-1A00-00000B000000}" name="Total Energy Loss (MWH)" dataDxfId="255" totalsRowDxfId="254" dataCellStyle="Comma">
      <calculatedColumnFormula>L2*F2</calculatedColumnFormula>
    </tableColumn>
    <tableColumn id="12" xr3:uid="{00000000-0010-0000-1A00-00000C000000}" name="Outage Surrender within duration " dataDxfId="253" totalsRowDxfId="252">
      <calculatedColumnFormula>IF(Table2683244[[#This Row],[Fault Type]]="PM",IF(L2&lt;=(D2-C2),"Yes","No"),"")</calculatedColumnFormula>
    </tableColumn>
    <tableColumn id="13" xr3:uid="{00000000-0010-0000-1A00-00000D000000}" name="Extended Time" dataDxfId="251" totalsRowDxfId="250">
      <calculatedColumnFormula>IF(N2="No",(L2-(D2-C2)),"")</calculatedColumnFormula>
    </tableColumn>
    <tableColumn id="17" xr3:uid="{00000000-0010-0000-1A00-000011000000}" name="Fault Cleared in Specified Time" dataDxfId="249" totalsRowDxfId="248">
      <calculatedColumnFormula>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calculatedColumnFormula>
    </tableColumn>
    <tableColumn id="14" xr3:uid="{00000000-0010-0000-1A00-00000E000000}" name="Name &amp; Designation of Permit Holder" totalsRowFunction="count"/>
  </tableColumns>
  <tableStyleInfo name="TableStyleLight13" showFirstColumn="0" showLastColumn="0" showRowStripes="1"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B000000}" name="Table2683243" displayName="Table2683243" ref="A1:Q84" headerRowDxfId="247" headerRowBorderDxfId="246">
  <autoFilter ref="A1:Q84" xr:uid="{00000000-0009-0000-0100-00002A000000}"/>
  <tableColumns count="17">
    <tableColumn id="1" xr3:uid="{00000000-0010-0000-1B00-000001000000}" name="Name of Feeder" totalsRowLabel="Total" dataDxfId="245"/>
    <tableColumn id="2" xr3:uid="{00000000-0010-0000-1B00-000002000000}" name="Fault Type" dataDxfId="244" totalsRowDxfId="243"/>
    <tableColumn id="3" xr3:uid="{00000000-0010-0000-1B00-000003000000}" name="Approved Outage Time" dataDxfId="242" totalsRowDxfId="241"/>
    <tableColumn id="4" xr3:uid="{00000000-0010-0000-1B00-000004000000}" name="Approved Restoration Time" dataDxfId="240" totalsRowDxfId="239"/>
    <tableColumn id="5" xr3:uid="{00000000-0010-0000-1B00-000005000000}" name="Tripping Date &amp; Time_x000a_(MM/DD/YY)" dataDxfId="238" totalsRowDxfId="237"/>
    <tableColumn id="6" xr3:uid="{00000000-0010-0000-1B00-000006000000}" name="Load Interrupted (MW)"/>
    <tableColumn id="7" xr3:uid="{00000000-0010-0000-1B00-000007000000}" name="Relay Indication" dataDxfId="236" totalsRowDxfId="235"/>
    <tableColumn id="8" xr3:uid="{00000000-0010-0000-1B00-000008000000}" name="Brief Description" dataDxfId="234" totalsRowDxfId="233"/>
    <tableColumn id="15" xr3:uid="{00000000-0010-0000-1B00-00000F000000}" name="Any Discovery On Patrols?" dataDxfId="232" totalsRowDxfId="231"/>
    <tableColumn id="9" xr3:uid="{00000000-0010-0000-1B00-000009000000}" name="Restoration Date &amp; Time_x000a_(MM/DD/YY)" dataDxfId="230" totalsRowDxfId="229"/>
    <tableColumn id="16" xr3:uid="{00000000-0010-0000-1B00-000010000000}" name="Load at the time of  Restoration (MW)" dataDxfId="228" totalsRowDxfId="227"/>
    <tableColumn id="10" xr3:uid="{00000000-0010-0000-1B00-00000A000000}" name="Outage Duration" dataDxfId="226" totalsRowDxfId="225">
      <calculatedColumnFormula>J2-E2</calculatedColumnFormula>
    </tableColumn>
    <tableColumn id="11" xr3:uid="{00000000-0010-0000-1B00-00000B000000}" name="Total Energy Loss (MWH)" dataDxfId="224" totalsRowDxfId="223" dataCellStyle="Comma">
      <calculatedColumnFormula>L2*F2</calculatedColumnFormula>
    </tableColumn>
    <tableColumn id="12" xr3:uid="{00000000-0010-0000-1B00-00000C000000}" name="Outage Surrender within duration " dataDxfId="222" totalsRowDxfId="221">
      <calculatedColumnFormula>IF(Table2683243[[#This Row],[Fault Type]]="PM",IF(L2&lt;=(D2-C2),"Yes","No"),"")</calculatedColumnFormula>
    </tableColumn>
    <tableColumn id="13" xr3:uid="{00000000-0010-0000-1B00-00000D000000}" name="Extended Time" dataDxfId="220" totalsRowDxfId="219">
      <calculatedColumnFormula>IF(N2="No",(L2-(D2-C2)),"")</calculatedColumnFormula>
    </tableColumn>
    <tableColumn id="17" xr3:uid="{00000000-0010-0000-1B00-000011000000}" name="Fault Cleared in Specified Time" dataDxfId="218" totalsRowDxfId="217">
      <calculatedColumnFormula>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calculatedColumnFormula>
    </tableColumn>
    <tableColumn id="14" xr3:uid="{00000000-0010-0000-1B00-00000E000000}" name="Name &amp; Designation of Permit Holder" totalsRowFunction="count"/>
  </tableColumns>
  <tableStyleInfo name="TableStyleLight13" showFirstColumn="0" showLastColumn="0" showRowStripes="1"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C000000}" name="Table2683242" displayName="Table2683242" ref="A1:Q103" headerRowDxfId="216" headerRowBorderDxfId="215">
  <autoFilter ref="A1:Q103" xr:uid="{00000000-0009-0000-0100-000029000000}"/>
  <tableColumns count="17">
    <tableColumn id="1" xr3:uid="{00000000-0010-0000-1C00-000001000000}" name="Name of Feeder" totalsRowLabel="Total" dataDxfId="214"/>
    <tableColumn id="2" xr3:uid="{00000000-0010-0000-1C00-000002000000}" name="Fault Type" dataDxfId="213" totalsRowDxfId="212"/>
    <tableColumn id="3" xr3:uid="{00000000-0010-0000-1C00-000003000000}" name="Approved Outage Time" dataDxfId="211" totalsRowDxfId="210"/>
    <tableColumn id="4" xr3:uid="{00000000-0010-0000-1C00-000004000000}" name="Approved Restoration Time" dataDxfId="209" totalsRowDxfId="208"/>
    <tableColumn id="5" xr3:uid="{00000000-0010-0000-1C00-000005000000}" name="Tripping Date &amp; Time_x000a_(MM/DD/YY)" dataDxfId="207" totalsRowDxfId="206"/>
    <tableColumn id="6" xr3:uid="{00000000-0010-0000-1C00-000006000000}" name="Load Interrupted (MW)"/>
    <tableColumn id="7" xr3:uid="{00000000-0010-0000-1C00-000007000000}" name="Relay Indication" dataDxfId="205" totalsRowDxfId="204"/>
    <tableColumn id="8" xr3:uid="{00000000-0010-0000-1C00-000008000000}" name="Brief Description" dataDxfId="203" totalsRowDxfId="202"/>
    <tableColumn id="15" xr3:uid="{00000000-0010-0000-1C00-00000F000000}" name="Any Discovery On Patrols?" dataDxfId="201" totalsRowDxfId="200"/>
    <tableColumn id="9" xr3:uid="{00000000-0010-0000-1C00-000009000000}" name="Restoration Date &amp; Time_x000a_(MM/DD/YY)" dataDxfId="199" totalsRowDxfId="198"/>
    <tableColumn id="16" xr3:uid="{00000000-0010-0000-1C00-000010000000}" name="Load at the time of  Restoration (MW)" dataDxfId="197" totalsRowDxfId="196"/>
    <tableColumn id="10" xr3:uid="{00000000-0010-0000-1C00-00000A000000}" name="Outage Duration" dataDxfId="195" totalsRowDxfId="194">
      <calculatedColumnFormula>J2-E2</calculatedColumnFormula>
    </tableColumn>
    <tableColumn id="11" xr3:uid="{00000000-0010-0000-1C00-00000B000000}" name="Total Energy Loss (MWH)" dataDxfId="193" totalsRowDxfId="192" dataCellStyle="Comma">
      <calculatedColumnFormula>L2*F2</calculatedColumnFormula>
    </tableColumn>
    <tableColumn id="12" xr3:uid="{00000000-0010-0000-1C00-00000C000000}" name="Outage Surrender within duration " dataDxfId="191" totalsRowDxfId="190">
      <calculatedColumnFormula>IF(Table2683242[[#This Row],[Fault Type]]="PM",IF(L2&lt;=(D2-C2),"Yes","No"),"")</calculatedColumnFormula>
    </tableColumn>
    <tableColumn id="13" xr3:uid="{00000000-0010-0000-1C00-00000D000000}" name="Extended Time" dataDxfId="189" totalsRowDxfId="188">
      <calculatedColumnFormula>IF(N2="No",(L2-(D2-C2)),"")</calculatedColumnFormula>
    </tableColumn>
    <tableColumn id="17" xr3:uid="{00000000-0010-0000-1C00-000011000000}" name="Fault Cleared in Specified Time" dataDxfId="187" totalsRowDxfId="186">
      <calculatedColumnFormula>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calculatedColumnFormula>
    </tableColumn>
    <tableColumn id="14" xr3:uid="{00000000-0010-0000-1C00-00000E000000}" name="Name &amp; Designation of Permit Holder" totalsRowFunction="count"/>
  </tableColumns>
  <tableStyleInfo name="TableStyleLight13"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J197" totalsRowCount="1" headerRowDxfId="1124" dataDxfId="1123" totalsRowDxfId="1122">
  <autoFilter ref="A1:AJ196" xr:uid="{00000000-000C-0000-FFFF-FFFF02000000}">
    <filterColumn colId="3">
      <filters>
        <filter val="33KV GASKIYA"/>
        <filter val="33KV JODA"/>
        <filter val="33KV KURNA"/>
      </filters>
    </filterColumn>
  </autoFilter>
  <tableColumns count="36">
    <tableColumn id="1" xr3:uid="{00000000-0010-0000-0200-000001000000}" name="Region" totalsRowLabel="Total" dataDxfId="1121" totalsRowDxfId="1120"/>
    <tableColumn id="2" xr3:uid="{00000000-0010-0000-0200-000002000000}" name="Transmission/ Injection Station" dataDxfId="1119" totalsRowDxfId="1118"/>
    <tableColumn id="22" xr3:uid="{00000000-0010-0000-0200-000016000000}" name="TSP" dataDxfId="1117" totalsRowDxfId="1116"/>
    <tableColumn id="3" xr3:uid="{00000000-0010-0000-0200-000003000000}" name="Feeder" dataDxfId="1115" totalsRowDxfId="1114"/>
    <tableColumn id="24" xr3:uid="{00000000-0010-0000-0200-000018000000}" name="Type of Feeder" dataDxfId="1113" totalsRowDxfId="1112"/>
    <tableColumn id="4" xr3:uid="{00000000-0010-0000-0200-000004000000}" name="Total Interrruption" totalsRowFunction="sum" dataDxfId="1111" totalsRowDxfId="1110" dataCellStyle="Comma">
      <calculatedColumnFormula>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calculatedColumnFormula>
    </tableColumn>
    <tableColumn id="5" xr3:uid="{00000000-0010-0000-0200-000005000000}" name="O/C Fault" totalsRowFunction="sum" dataDxfId="1109" totalsRowDxfId="1108" dataCellStyle="Comma">
      <calculatedColumnFormula>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calculatedColumnFormula>
    </tableColumn>
    <tableColumn id="6" xr3:uid="{00000000-0010-0000-0200-000006000000}" name="E/F Fault" totalsRowFunction="sum" dataDxfId="1107" totalsRowDxfId="1106" dataCellStyle="Comma">
      <calculatedColumnFormula>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calculatedColumnFormula>
    </tableColumn>
    <tableColumn id="7" xr3:uid="{00000000-0010-0000-0200-000007000000}" name="O/C &amp; E/F Fault" totalsRowFunction="sum" dataDxfId="1105" totalsRowDxfId="1104" dataCellStyle="Comma">
      <calculatedColumnFormula>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calculatedColumnFormula>
    </tableColumn>
    <tableColumn id="33" xr3:uid="{00000000-0010-0000-0200-000021000000}" name="NO RI" dataDxfId="1103" totalsRowDxfId="1102" dataCellStyle="Comma">
      <calculatedColumnFormula>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calculatedColumnFormula>
    </tableColumn>
    <tableColumn id="31" xr3:uid="{00000000-0010-0000-0200-00001F000000}" name="Transients" dataDxfId="1101" totalsRowDxfId="1100" dataCellStyle="Comma">
      <calculatedColumnFormula>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calculatedColumnFormula>
    </tableColumn>
    <tableColumn id="30" xr3:uid="{00000000-0010-0000-0200-00001E000000}" name="No Discovery on Patrols" dataDxfId="1099" totalsRowDxfId="1098" dataCellStyle="Comma">
      <calculatedColumnFormula>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calculatedColumnFormula>
    </tableColumn>
    <tableColumn id="29" xr3:uid="{00000000-0010-0000-0200-00001D000000}" name="Patrols with Discoveries" dataDxfId="1097" totalsRowDxfId="1096" dataCellStyle="Comma">
      <calculatedColumnFormula>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calculatedColumnFormula>
    </tableColumn>
    <tableColumn id="19" xr3:uid="{00000000-0010-0000-0200-000013000000}" name="Outage Duration of Fault" totalsRowFunction="sum" dataDxfId="1095" totalsRowDxfId="1094" dataCellStyle="Comma">
      <calculatedColumnFormula>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calculatedColumnFormula>
    </tableColumn>
    <tableColumn id="18" xr3:uid="{00000000-0010-0000-0200-000012000000}" name="Duration of Planned Outage" totalsRowFunction="sum" dataDxfId="1093" totalsRowDxfId="1092" dataCellStyle="Comma">
      <calculatedColumnFormula>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calculatedColumnFormula>
    </tableColumn>
    <tableColumn id="20" xr3:uid="{00000000-0010-0000-0200-000014000000}" name="Duration of Planned Construction Activity" totalsRowFunction="sum" dataDxfId="1091" totalsRowDxfId="1090">
      <calculatedColumnFormula>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calculatedColumnFormula>
    </tableColumn>
    <tableColumn id="15" xr3:uid="{00000000-0010-0000-0200-00000F000000}" name="Duration of S/S Fault" totalsRowFunction="sum" dataDxfId="1089" totalsRowDxfId="1088">
      <calculatedColumnFormula>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calculatedColumnFormula>
    </tableColumn>
    <tableColumn id="8" xr3:uid="{00000000-0010-0000-0200-000008000000}" name="Total Outage Duration" totalsRowFunction="sum" dataDxfId="1087" totalsRowDxfId="1086">
      <calculatedColumnFormula>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calculatedColumnFormula>
    </tableColumn>
    <tableColumn id="21" xr3:uid="{00000000-0010-0000-0200-000015000000}" name="Available Hours for Service" dataDxfId="1085" totalsRowDxfId="1084">
      <calculatedColumnFormula>Q$199-R2</calculatedColumnFormula>
    </tableColumn>
    <tableColumn id="35" xr3:uid="{00000000-0010-0000-0200-000023000000}" name="Total Hours in Service" dataDxfId="1083" totalsRowDxfId="1082">
      <calculatedColumnFormula>Table436[[#This Row],[Total Hours in Service]]</calculatedColumnFormula>
    </tableColumn>
    <tableColumn id="9" xr3:uid="{00000000-0010-0000-0200-000009000000}" name="Tripping due to Line fault" totalsRowFunction="sum" dataDxfId="1081" totalsRowDxfId="1080" dataCellStyle="Comma">
      <calculatedColumnFormula>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calculatedColumnFormula>
    </tableColumn>
    <tableColumn id="34" xr3:uid="{00000000-0010-0000-0200-000022000000}" name="Total Faults" totalsRowFunction="sum" dataDxfId="1079" totalsRowDxfId="1078" dataCellStyle="Comma">
      <calculatedColumnFormula>Table4[[#This Row],[Total Interrruption]]-Table4[[#This Row],[Planned shutdown for construction activity ]]-Table4[[#This Row],[Planned shutdown for O&amp;M activity ]]</calculatedColumnFormula>
    </tableColumn>
    <tableColumn id="10" xr3:uid="{00000000-0010-0000-0200-00000A000000}" name="Tripping due to S/S fault" totalsRowFunction="sum" dataDxfId="1077" totalsRowDxfId="1076" dataCellStyle="Comma">
      <calculatedColumnFormula>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calculatedColumnFormula>
    </tableColumn>
    <tableColumn id="11" xr3:uid="{00000000-0010-0000-0200-00000B000000}" name="Planned shutdown for construction activity " totalsRowFunction="sum" dataDxfId="1075" totalsRowDxfId="1074" dataCellStyle="Comma">
      <calculatedColumnFormula>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calculatedColumnFormula>
    </tableColumn>
    <tableColumn id="12" xr3:uid="{00000000-0010-0000-0200-00000C000000}" name="Planned shutdown for O&amp;M activity " totalsRowFunction="sum" dataDxfId="1073" totalsRowDxfId="1072" dataCellStyle="Comma">
      <calculatedColumnFormula>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calculatedColumnFormula>
    </tableColumn>
    <tableColumn id="13" xr3:uid="{00000000-0010-0000-0200-00000D000000}" name="Shutdown on Emergency" totalsRowFunction="sum" dataDxfId="1071" totalsRowDxfId="1070" dataCellStyle="Comma">
      <calculatedColumnFormula>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calculatedColumnFormula>
    </tableColumn>
    <tableColumn id="16" xr3:uid="{00000000-0010-0000-0200-000010000000}" name="Tripped due to under-frequency" totalsRowFunction="sum" dataDxfId="1069" totalsRowDxfId="1068" dataCellStyle="Comma">
      <calculatedColumnFormula>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calculatedColumnFormula>
    </tableColumn>
    <tableColumn id="17" xr3:uid="{00000000-0010-0000-0200-000011000000}" name="No. of Outage Surrender within Duration" totalsRowFunction="sum" dataDxfId="1067" totalsRowDxfId="1066" dataCellStyle="Comma">
      <calculatedColumnFormula>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calculatedColumnFormula>
    </tableColumn>
    <tableColumn id="23" xr3:uid="{00000000-0010-0000-0200-000017000000}" name="No. of Fault Cleared in Specified Time" totalsRowFunction="sum" dataDxfId="1065" totalsRowDxfId="1064" dataCellStyle="Comma">
      <calculatedColumnFormula>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calculatedColumnFormula>
    </tableColumn>
    <tableColumn id="32" xr3:uid="{00000000-0010-0000-0200-000020000000}" name="No. of PM Done within Approved Time" totalsRowFunction="sum" dataDxfId="1063" totalsRowDxfId="1062" dataCellStyle="Comma">
      <calculatedColumnFormula>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calculatedColumnFormula>
    </tableColumn>
    <tableColumn id="25" xr3:uid="{00000000-0010-0000-0200-000019000000}" name="Load Interrupted (MW)" dataDxfId="1061" totalsRowDxfId="1060" dataCellStyle="Comma">
      <calculatedColumnFormula>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calculatedColumnFormula>
    </tableColumn>
    <tableColumn id="26" xr3:uid="{00000000-0010-0000-0200-00001A000000}" name="Load at Restoration" dataDxfId="1059" totalsRowDxfId="1058" dataCellStyle="Comma">
      <calculatedColumnFormula>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calculatedColumnFormula>
    </tableColumn>
    <tableColumn id="27" xr3:uid="{00000000-0010-0000-0200-00001B000000}" name="Unrestored Load" dataDxfId="1057" totalsRowDxfId="1056" dataCellStyle="Comma">
      <calculatedColumnFormula>Table4[[#This Row],[Load Interrupted (MW)]]-Table4[[#This Row],[Load at Restoration]]</calculatedColumnFormula>
    </tableColumn>
    <tableColumn id="28" xr3:uid="{00000000-0010-0000-0200-00001C000000}" name="Sum of Outage Duration &amp; Load Interupption" dataDxfId="1055" totalsRowDxfId="1054" dataCellStyle="Comma">
      <calculatedColumnFormula>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calculatedColumnFormula>
    </tableColumn>
    <tableColumn id="14" xr3:uid="{00000000-0010-0000-0200-00000E000000}" name="Load Interrupted (KVA)" totalsRowFunction="sum" dataDxfId="1053" totalsRowDxfId="1052" dataCellStyle="Comma">
      <calculatedColumnFormula>(Table4[[#This Row],[Load Interrupted (MW)]]/0.85*1000)</calculatedColumnFormula>
    </tableColumn>
    <tableColumn id="37" xr3:uid="{00000000-0010-0000-0200-000025000000}" name="FEEDER BAND" dataDxfId="1051" totalsRowDxfId="1050" dataCellStyle="Comma"/>
  </tableColumns>
  <tableStyleInfo name="TableStyleMedium1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D000000}" name="Table2683241" displayName="Table2683241" ref="A1:Q79" headerRowDxfId="185" headerRowBorderDxfId="184">
  <autoFilter ref="A1:Q79" xr:uid="{00000000-0009-0000-0100-000028000000}"/>
  <tableColumns count="17">
    <tableColumn id="1" xr3:uid="{00000000-0010-0000-1D00-000001000000}" name="Name of Feeder" totalsRowLabel="Total" dataDxfId="183"/>
    <tableColumn id="2" xr3:uid="{00000000-0010-0000-1D00-000002000000}" name="Fault Type" dataDxfId="182" totalsRowDxfId="181"/>
    <tableColumn id="3" xr3:uid="{00000000-0010-0000-1D00-000003000000}" name="Approved Outage Time" dataDxfId="180" totalsRowDxfId="179"/>
    <tableColumn id="4" xr3:uid="{00000000-0010-0000-1D00-000004000000}" name="Approved Restoration Time" dataDxfId="178" totalsRowDxfId="177"/>
    <tableColumn id="5" xr3:uid="{00000000-0010-0000-1D00-000005000000}" name="Tripping Date &amp; Time_x000a_(MM/DD/YY)" dataDxfId="176" totalsRowDxfId="175"/>
    <tableColumn id="6" xr3:uid="{00000000-0010-0000-1D00-000006000000}" name="Load Interrupted (MW)"/>
    <tableColumn id="7" xr3:uid="{00000000-0010-0000-1D00-000007000000}" name="Relay Indication" dataDxfId="174" totalsRowDxfId="173"/>
    <tableColumn id="8" xr3:uid="{00000000-0010-0000-1D00-000008000000}" name="Brief Description" dataDxfId="172" totalsRowDxfId="171"/>
    <tableColumn id="15" xr3:uid="{00000000-0010-0000-1D00-00000F000000}" name="Any Discovery On Patrols?" dataDxfId="170" totalsRowDxfId="169"/>
    <tableColumn id="9" xr3:uid="{00000000-0010-0000-1D00-000009000000}" name="Restoration Date &amp; Time_x000a_(MM/DD/YY)" dataDxfId="168" totalsRowDxfId="167"/>
    <tableColumn id="16" xr3:uid="{00000000-0010-0000-1D00-000010000000}" name="Load at the time of  Restoration (MW)" dataDxfId="166" totalsRowDxfId="165"/>
    <tableColumn id="10" xr3:uid="{00000000-0010-0000-1D00-00000A000000}" name="Outage Duration" dataDxfId="164" totalsRowDxfId="163">
      <calculatedColumnFormula>J2-E2</calculatedColumnFormula>
    </tableColumn>
    <tableColumn id="11" xr3:uid="{00000000-0010-0000-1D00-00000B000000}" name="Total Energy Loss (MWH)" dataDxfId="162" totalsRowDxfId="161" dataCellStyle="Comma">
      <calculatedColumnFormula>L2*F2</calculatedColumnFormula>
    </tableColumn>
    <tableColumn id="12" xr3:uid="{00000000-0010-0000-1D00-00000C000000}" name="Outage Surrender within duration " dataDxfId="160" totalsRowDxfId="159">
      <calculatedColumnFormula>IF(Table2683241[[#This Row],[Fault Type]]="PM",IF(L2&lt;=(D2-C2),"Yes","No"),"")</calculatedColumnFormula>
    </tableColumn>
    <tableColumn id="13" xr3:uid="{00000000-0010-0000-1D00-00000D000000}" name="Extended Time" dataDxfId="158" totalsRowDxfId="157">
      <calculatedColumnFormula>IF(N2="No",(L2-(D2-C2)),"")</calculatedColumnFormula>
    </tableColumn>
    <tableColumn id="17" xr3:uid="{00000000-0010-0000-1D00-000011000000}" name="Fault Cleared in Specified Time" dataDxfId="156" totalsRowDxfId="155">
      <calculatedColumnFormula>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calculatedColumnFormula>
    </tableColumn>
    <tableColumn id="14" xr3:uid="{00000000-0010-0000-1D00-00000E000000}" name="Name &amp; Designation of Permit Holder" totalsRowFunction="count"/>
  </tableColumns>
  <tableStyleInfo name="TableStyleLight13" showFirstColumn="0" showLastColumn="0" showRowStripes="1"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E000000}" name="Table2683240" displayName="Table2683240" ref="A1:Q79" headerRowDxfId="154" headerRowBorderDxfId="153">
  <autoFilter ref="A1:Q79" xr:uid="{00000000-0009-0000-0100-000027000000}"/>
  <tableColumns count="17">
    <tableColumn id="1" xr3:uid="{00000000-0010-0000-1E00-000001000000}" name="Name of Feeder" totalsRowLabel="Total" dataDxfId="152"/>
    <tableColumn id="2" xr3:uid="{00000000-0010-0000-1E00-000002000000}" name="Fault Type" dataDxfId="151" totalsRowDxfId="150"/>
    <tableColumn id="3" xr3:uid="{00000000-0010-0000-1E00-000003000000}" name="Approved Outage Time" dataDxfId="149" totalsRowDxfId="148"/>
    <tableColumn id="4" xr3:uid="{00000000-0010-0000-1E00-000004000000}" name="Approved Restoration Time" dataDxfId="147" totalsRowDxfId="146"/>
    <tableColumn id="5" xr3:uid="{00000000-0010-0000-1E00-000005000000}" name="Tripping Date &amp; Time_x000a_(MM/DD/YY)" dataDxfId="145" totalsRowDxfId="144"/>
    <tableColumn id="6" xr3:uid="{00000000-0010-0000-1E00-000006000000}" name="Load Interrupted (MW)"/>
    <tableColumn id="7" xr3:uid="{00000000-0010-0000-1E00-000007000000}" name="Relay Indication" dataDxfId="143" totalsRowDxfId="142"/>
    <tableColumn id="8" xr3:uid="{00000000-0010-0000-1E00-000008000000}" name="Brief Description" dataDxfId="141" totalsRowDxfId="140"/>
    <tableColumn id="15" xr3:uid="{00000000-0010-0000-1E00-00000F000000}" name="Any Discovery On Patrols?" dataDxfId="139" totalsRowDxfId="138"/>
    <tableColumn id="9" xr3:uid="{00000000-0010-0000-1E00-000009000000}" name="Restoration Date &amp; Time_x000a_(MM/DD/YY)" dataDxfId="137" totalsRowDxfId="136"/>
    <tableColumn id="16" xr3:uid="{00000000-0010-0000-1E00-000010000000}" name="Load at the time of  Restoration (MW)" dataDxfId="135" totalsRowDxfId="134"/>
    <tableColumn id="10" xr3:uid="{00000000-0010-0000-1E00-00000A000000}" name="Outage Duration" dataDxfId="133" totalsRowDxfId="132">
      <calculatedColumnFormula>J2-E2</calculatedColumnFormula>
    </tableColumn>
    <tableColumn id="11" xr3:uid="{00000000-0010-0000-1E00-00000B000000}" name="Total Energy Loss (MWH)" dataDxfId="131" totalsRowDxfId="130" dataCellStyle="Comma">
      <calculatedColumnFormula>L2*F2</calculatedColumnFormula>
    </tableColumn>
    <tableColumn id="12" xr3:uid="{00000000-0010-0000-1E00-00000C000000}" name="Outage Surrender within duration " dataDxfId="129" totalsRowDxfId="128">
      <calculatedColumnFormula>IF(Table2683240[[#This Row],[Fault Type]]="PM",IF(L2&lt;=(D2-C2),"Yes","No"),"")</calculatedColumnFormula>
    </tableColumn>
    <tableColumn id="13" xr3:uid="{00000000-0010-0000-1E00-00000D000000}" name="Extended Time" dataDxfId="127" totalsRowDxfId="126">
      <calculatedColumnFormula>IF(N2="No",(L2-(D2-C2)),"")</calculatedColumnFormula>
    </tableColumn>
    <tableColumn id="17" xr3:uid="{00000000-0010-0000-1E00-000011000000}" name="Fault Cleared in Specified Time" dataDxfId="125" totalsRowDxfId="124">
      <calculatedColumnFormula>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calculatedColumnFormula>
    </tableColumn>
    <tableColumn id="14" xr3:uid="{00000000-0010-0000-1E00-00000E000000}" name="Name &amp; Designation of Permit Holder" totalsRowFunction="count"/>
  </tableColumns>
  <tableStyleInfo name="TableStyleLight13" showFirstColumn="0" showLastColumn="0" showRowStripes="1"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F000000}" name="Table2683239" displayName="Table2683239" ref="A1:Q80" headerRowDxfId="123" headerRowBorderDxfId="122">
  <autoFilter ref="A1:Q80" xr:uid="{00000000-0009-0000-0100-000026000000}"/>
  <tableColumns count="17">
    <tableColumn id="1" xr3:uid="{00000000-0010-0000-1F00-000001000000}" name="Name of Feeder" totalsRowLabel="Total" dataDxfId="121"/>
    <tableColumn id="2" xr3:uid="{00000000-0010-0000-1F00-000002000000}" name="Fault Type" dataDxfId="120" totalsRowDxfId="119"/>
    <tableColumn id="3" xr3:uid="{00000000-0010-0000-1F00-000003000000}" name="Approved Outage Time" dataDxfId="118" totalsRowDxfId="117"/>
    <tableColumn id="4" xr3:uid="{00000000-0010-0000-1F00-000004000000}" name="Approved Restoration Time" dataDxfId="116" totalsRowDxfId="115"/>
    <tableColumn id="5" xr3:uid="{00000000-0010-0000-1F00-000005000000}" name="Tripping Date &amp; Time_x000a_(MM/DD/YY)" dataDxfId="114" totalsRowDxfId="113"/>
    <tableColumn id="6" xr3:uid="{00000000-0010-0000-1F00-000006000000}" name="Load Interrupted (MW)"/>
    <tableColumn id="7" xr3:uid="{00000000-0010-0000-1F00-000007000000}" name="Relay Indication" dataDxfId="112" totalsRowDxfId="111"/>
    <tableColumn id="8" xr3:uid="{00000000-0010-0000-1F00-000008000000}" name="Brief Description" dataDxfId="110" totalsRowDxfId="109"/>
    <tableColumn id="15" xr3:uid="{00000000-0010-0000-1F00-00000F000000}" name="Any Discovery On Patrols?" dataDxfId="108" totalsRowDxfId="107"/>
    <tableColumn id="9" xr3:uid="{00000000-0010-0000-1F00-000009000000}" name="Restoration Date &amp; Time_x000a_(MM/DD/YY)" dataDxfId="106" totalsRowDxfId="105"/>
    <tableColumn id="16" xr3:uid="{00000000-0010-0000-1F00-000010000000}" name="Load at the time of  Restoration (MW)" dataDxfId="104" totalsRowDxfId="103"/>
    <tableColumn id="10" xr3:uid="{00000000-0010-0000-1F00-00000A000000}" name="Outage Duration" dataDxfId="102" totalsRowDxfId="101">
      <calculatedColumnFormula>J2-E2</calculatedColumnFormula>
    </tableColumn>
    <tableColumn id="11" xr3:uid="{00000000-0010-0000-1F00-00000B000000}" name="Total Energy Loss (MWH)" dataDxfId="100" totalsRowDxfId="99" dataCellStyle="Comma">
      <calculatedColumnFormula>L2*F2</calculatedColumnFormula>
    </tableColumn>
    <tableColumn id="12" xr3:uid="{00000000-0010-0000-1F00-00000C000000}" name="Outage Surrender within duration " dataDxfId="98" totalsRowDxfId="97">
      <calculatedColumnFormula>IF(Table2683239[[#This Row],[Fault Type]]="PM",IF(L2&lt;=(D2-C2),"Yes","No"),"")</calculatedColumnFormula>
    </tableColumn>
    <tableColumn id="13" xr3:uid="{00000000-0010-0000-1F00-00000D000000}" name="Extended Time" dataDxfId="96" totalsRowDxfId="95">
      <calculatedColumnFormula>IF(N2="No",(L2-(D2-C2)),"")</calculatedColumnFormula>
    </tableColumn>
    <tableColumn id="17" xr3:uid="{00000000-0010-0000-1F00-000011000000}" name="Fault Cleared in Specified Time" dataDxfId="94" totalsRowDxfId="93">
      <calculatedColumnFormula>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calculatedColumnFormula>
    </tableColumn>
    <tableColumn id="14" xr3:uid="{00000000-0010-0000-1F00-00000E000000}" name="Name &amp; Designation of Permit Holder" totalsRowFunction="count"/>
  </tableColumns>
  <tableStyleInfo name="TableStyleLight13" showFirstColumn="0" showLastColumn="0" showRowStripes="1"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0000000}" name="Table2683238" displayName="Table2683238" ref="A1:Q80" headerRowDxfId="92" headerRowBorderDxfId="91">
  <autoFilter ref="A1:Q80" xr:uid="{00000000-0009-0000-0100-000025000000}"/>
  <tableColumns count="17">
    <tableColumn id="1" xr3:uid="{00000000-0010-0000-2000-000001000000}" name="Name of Feeder" totalsRowLabel="Total" dataDxfId="90"/>
    <tableColumn id="2" xr3:uid="{00000000-0010-0000-2000-000002000000}" name="Fault Type" dataDxfId="89" totalsRowDxfId="88"/>
    <tableColumn id="3" xr3:uid="{00000000-0010-0000-2000-000003000000}" name="Approved Outage Time" dataDxfId="87" totalsRowDxfId="86"/>
    <tableColumn id="4" xr3:uid="{00000000-0010-0000-2000-000004000000}" name="Approved Restoration Time" dataDxfId="85" totalsRowDxfId="84"/>
    <tableColumn id="5" xr3:uid="{00000000-0010-0000-2000-000005000000}" name="Tripping Date &amp; Time_x000a_(MM/DD/YY)" dataDxfId="83" totalsRowDxfId="82"/>
    <tableColumn id="6" xr3:uid="{00000000-0010-0000-2000-000006000000}" name="Load Interrupted (MW)"/>
    <tableColumn id="7" xr3:uid="{00000000-0010-0000-2000-000007000000}" name="Relay Indication" dataDxfId="81" totalsRowDxfId="80"/>
    <tableColumn id="8" xr3:uid="{00000000-0010-0000-2000-000008000000}" name="Brief Description" dataDxfId="79" totalsRowDxfId="78"/>
    <tableColumn id="15" xr3:uid="{00000000-0010-0000-2000-00000F000000}" name="Any Discovery On Patrols?" dataDxfId="77" totalsRowDxfId="76"/>
    <tableColumn id="9" xr3:uid="{00000000-0010-0000-2000-000009000000}" name="Restoration Date &amp; Time_x000a_(MM/DD/YY)" dataDxfId="75" totalsRowDxfId="74"/>
    <tableColumn id="16" xr3:uid="{00000000-0010-0000-2000-000010000000}" name="Load at the time of  Restoration (MW)" dataDxfId="73" totalsRowDxfId="72"/>
    <tableColumn id="10" xr3:uid="{00000000-0010-0000-2000-00000A000000}" name="Outage Duration" dataDxfId="71" totalsRowDxfId="70">
      <calculatedColumnFormula>J2-E2</calculatedColumnFormula>
    </tableColumn>
    <tableColumn id="11" xr3:uid="{00000000-0010-0000-2000-00000B000000}" name="Total Energy Loss (MWH)" dataDxfId="69" totalsRowDxfId="68" dataCellStyle="Comma">
      <calculatedColumnFormula>L2*F2</calculatedColumnFormula>
    </tableColumn>
    <tableColumn id="12" xr3:uid="{00000000-0010-0000-2000-00000C000000}" name="Outage Surrender within duration " dataDxfId="67" totalsRowDxfId="66">
      <calculatedColumnFormula>IF(Table2683238[[#This Row],[Fault Type]]="PM",IF(L2&lt;=(D2-C2),"Yes","No"),"")</calculatedColumnFormula>
    </tableColumn>
    <tableColumn id="13" xr3:uid="{00000000-0010-0000-2000-00000D000000}" name="Extended Time" dataDxfId="65" totalsRowDxfId="64">
      <calculatedColumnFormula>IF(N2="No",(L2-(D2-C2)),"")</calculatedColumnFormula>
    </tableColumn>
    <tableColumn id="17" xr3:uid="{00000000-0010-0000-2000-000011000000}" name="Fault Cleared in Specified Time" dataDxfId="63" totalsRowDxfId="62">
      <calculatedColumnFormula>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calculatedColumnFormula>
    </tableColumn>
    <tableColumn id="14" xr3:uid="{00000000-0010-0000-2000-00000E000000}" name="Name &amp; Designation of Permit Holder" totalsRowFunction="count"/>
  </tableColumns>
  <tableStyleInfo name="TableStyleLight13" showFirstColumn="0" showLastColumn="0" showRowStripes="1"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21000000}" name="Table26832" displayName="Table26832" ref="A1:Q79" headerRowDxfId="61" headerRowBorderDxfId="60">
  <autoFilter ref="A1:Q79" xr:uid="{00000000-0009-0000-0100-00001F000000}"/>
  <tableColumns count="17">
    <tableColumn id="1" xr3:uid="{00000000-0010-0000-2100-000001000000}" name="Name of Feeder" totalsRowLabel="Total" dataDxfId="59"/>
    <tableColumn id="2" xr3:uid="{00000000-0010-0000-2100-000002000000}" name="Fault Type" dataDxfId="58" totalsRowDxfId="57"/>
    <tableColumn id="3" xr3:uid="{00000000-0010-0000-2100-000003000000}" name="Approved Outage Time" dataDxfId="56" totalsRowDxfId="55"/>
    <tableColumn id="4" xr3:uid="{00000000-0010-0000-2100-000004000000}" name="Approved Restoration Time" dataDxfId="54" totalsRowDxfId="53"/>
    <tableColumn id="5" xr3:uid="{00000000-0010-0000-2100-000005000000}" name="Tripping Date &amp; Time_x000a_(MM/DD/YY)" dataDxfId="52" totalsRowDxfId="51"/>
    <tableColumn id="6" xr3:uid="{00000000-0010-0000-2100-000006000000}" name="Load Interrupted (MW)"/>
    <tableColumn id="7" xr3:uid="{00000000-0010-0000-2100-000007000000}" name="Relay Indication" dataDxfId="50" totalsRowDxfId="49"/>
    <tableColumn id="8" xr3:uid="{00000000-0010-0000-2100-000008000000}" name="Brief Description" dataDxfId="48" totalsRowDxfId="47"/>
    <tableColumn id="15" xr3:uid="{00000000-0010-0000-2100-00000F000000}" name="Any Discovery On Patrols?" dataDxfId="46" totalsRowDxfId="45"/>
    <tableColumn id="9" xr3:uid="{00000000-0010-0000-2100-000009000000}" name="Restoration Date &amp; Time_x000a_(MM/DD/YY)" dataDxfId="44" totalsRowDxfId="43"/>
    <tableColumn id="16" xr3:uid="{00000000-0010-0000-2100-000010000000}" name="Load at the time of  Restoration (MW)" dataDxfId="42" totalsRowDxfId="41"/>
    <tableColumn id="10" xr3:uid="{00000000-0010-0000-2100-00000A000000}" name="Outage Duration" dataDxfId="40" totalsRowDxfId="39">
      <calculatedColumnFormula>J2-E2</calculatedColumnFormula>
    </tableColumn>
    <tableColumn id="11" xr3:uid="{00000000-0010-0000-2100-00000B000000}" name="Total Energy Loss (MWH)" dataDxfId="38" totalsRowDxfId="37" dataCellStyle="Comma">
      <calculatedColumnFormula>L2*F2</calculatedColumnFormula>
    </tableColumn>
    <tableColumn id="12" xr3:uid="{00000000-0010-0000-2100-00000C000000}" name="Outage Surrender within duration " dataDxfId="36" totalsRowDxfId="35">
      <calculatedColumnFormula>IF(Table26832[[#This Row],[Fault Type]]="PM",IF(L2&lt;=(D2-C2),"Yes","No"),"")</calculatedColumnFormula>
    </tableColumn>
    <tableColumn id="13" xr3:uid="{00000000-0010-0000-2100-00000D000000}" name="Extended Time" dataDxfId="34" totalsRowDxfId="33">
      <calculatedColumnFormula>IF(N2="No",(L2-(D2-C2)),"")</calculatedColumnFormula>
    </tableColumn>
    <tableColumn id="17" xr3:uid="{00000000-0010-0000-2100-000011000000}" name="Fault Cleared in Specified Time" dataDxfId="32" totalsRowDxfId="31">
      <calculatedColumnFormula>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calculatedColumnFormula>
    </tableColumn>
    <tableColumn id="14" xr3:uid="{00000000-0010-0000-2100-00000E000000}" name="Name &amp; Designation of Permit Holder" totalsRowFunction="count"/>
  </tableColumns>
  <tableStyleInfo name="TableStyleLight13" showFirstColumn="0" showLastColumn="0" showRowStripes="1"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2000000}" name="Table2683234" displayName="Table2683234" ref="A1:Q80" headerRowDxfId="30" headerRowBorderDxfId="29">
  <autoFilter ref="A1:Q80" xr:uid="{00000000-0009-0000-0100-000021000000}"/>
  <tableColumns count="17">
    <tableColumn id="1" xr3:uid="{00000000-0010-0000-2200-000001000000}" name="Name of Feeder" totalsRowLabel="Total" dataDxfId="28"/>
    <tableColumn id="2" xr3:uid="{00000000-0010-0000-2200-000002000000}" name="Fault Type" dataDxfId="27" totalsRowDxfId="26"/>
    <tableColumn id="3" xr3:uid="{00000000-0010-0000-2200-000003000000}" name="Approved Outage Time" dataDxfId="25" totalsRowDxfId="24"/>
    <tableColumn id="4" xr3:uid="{00000000-0010-0000-2200-000004000000}" name="Approved Restoration Time" dataDxfId="23" totalsRowDxfId="22"/>
    <tableColumn id="5" xr3:uid="{00000000-0010-0000-2200-000005000000}" name="Tripping Date &amp; Time_x000a_(MM/DD/YY)" dataDxfId="21" totalsRowDxfId="20"/>
    <tableColumn id="6" xr3:uid="{00000000-0010-0000-2200-000006000000}" name="Load Interrupted (MW)"/>
    <tableColumn id="7" xr3:uid="{00000000-0010-0000-2200-000007000000}" name="Relay Indication" dataDxfId="19" totalsRowDxfId="18"/>
    <tableColumn id="8" xr3:uid="{00000000-0010-0000-2200-000008000000}" name="Brief Description" dataDxfId="17" totalsRowDxfId="16"/>
    <tableColumn id="15" xr3:uid="{00000000-0010-0000-2200-00000F000000}" name="Any Discovery On Patrols?" dataDxfId="15" totalsRowDxfId="14"/>
    <tableColumn id="9" xr3:uid="{00000000-0010-0000-2200-000009000000}" name="Restoration Date &amp; Time_x000a_(MM/DD/YY)" dataDxfId="13" totalsRowDxfId="12"/>
    <tableColumn id="16" xr3:uid="{00000000-0010-0000-2200-000010000000}" name="Load at the time of  Restoration (MW)" dataDxfId="11" totalsRowDxfId="10"/>
    <tableColumn id="10" xr3:uid="{00000000-0010-0000-2200-00000A000000}" name="Outage Duration" dataDxfId="9" totalsRowDxfId="8">
      <calculatedColumnFormula>J2-E2</calculatedColumnFormula>
    </tableColumn>
    <tableColumn id="11" xr3:uid="{00000000-0010-0000-2200-00000B000000}" name="Total Energy Loss (MWH)" dataDxfId="7" totalsRowDxfId="6" dataCellStyle="Comma">
      <calculatedColumnFormula>L2*F2</calculatedColumnFormula>
    </tableColumn>
    <tableColumn id="12" xr3:uid="{00000000-0010-0000-2200-00000C000000}" name="Outage Surrender within duration " dataDxfId="5" totalsRowDxfId="4">
      <calculatedColumnFormula>IF(Table2683234[[#This Row],[Fault Type]]="PM",IF(L2&lt;=(D2-C2),"Yes","No"),"")</calculatedColumnFormula>
    </tableColumn>
    <tableColumn id="13" xr3:uid="{00000000-0010-0000-2200-00000D000000}" name="Extended Time" dataDxfId="3" totalsRowDxfId="2">
      <calculatedColumnFormula>IF(N2="No",(L2-(D2-C2)),"")</calculatedColumnFormula>
    </tableColumn>
    <tableColumn id="17" xr3:uid="{00000000-0010-0000-2200-000011000000}" name="Fault Cleared in Specified Time" dataDxfId="1" totalsRowDxfId="0">
      <calculatedColumnFormula>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calculatedColumnFormula>
    </tableColumn>
    <tableColumn id="14" xr3:uid="{00000000-0010-0000-2200-00000E000000}" name="Name &amp; Designation of Permit Holder" totalsRowFunction="count"/>
  </tableColumns>
  <tableStyleInfo name="TableStyleLight13"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3000000}" name="Table436" displayName="Table436" ref="A1:AQ197" totalsRowCount="1" headerRowDxfId="1049" dataDxfId="1048" totalsRowDxfId="1047">
  <autoFilter ref="A1:AQ196" xr:uid="{00000000-0009-0000-0100-000023000000}"/>
  <tableColumns count="43">
    <tableColumn id="1" xr3:uid="{00000000-0010-0000-0300-000001000000}" name="Region" totalsRowLabel="Total" dataDxfId="1046" totalsRowDxfId="1045"/>
    <tableColumn id="2" xr3:uid="{00000000-0010-0000-0300-000002000000}" name="Transmission/ Injection Station" dataDxfId="1044" totalsRowDxfId="1043"/>
    <tableColumn id="22" xr3:uid="{00000000-0010-0000-0300-000016000000}" name="TSP" dataDxfId="1042" totalsRowDxfId="1041"/>
    <tableColumn id="3" xr3:uid="{00000000-0010-0000-0300-000003000000}" name="Feeder" dataDxfId="1040" totalsRowDxfId="1039"/>
    <tableColumn id="40" xr3:uid="{00000000-0010-0000-0300-000028000000}" name="Band" dataDxfId="1038" totalsRowDxfId="1037"/>
    <tableColumn id="41" xr3:uid="{00000000-0010-0000-0300-000029000000}" name="Min Daily Hours" dataDxfId="1036" totalsRowDxfId="1035"/>
    <tableColumn id="43" xr3:uid="{00000000-0010-0000-0300-00002B000000}" name="Min Hrs" dataDxfId="1034" totalsRowDxfId="1033" dataCellStyle="Comma">
      <calculatedColumnFormula>Table436[[#This Row],[Min Daily Hours]]*24</calculatedColumnFormula>
    </tableColumn>
    <tableColumn id="38" xr3:uid="{00000000-0010-0000-0300-000026000000}" name="Peak Load" dataDxfId="1032" totalsRowDxfId="1031"/>
    <tableColumn id="21" xr3:uid="{00000000-0010-0000-0300-000015000000}" name="Total Available Hours for Service" totalsRowFunction="sum" dataDxfId="1030" totalsRowDxfId="1029">
      <calculatedColumnFormula>Table4[[#This Row],[Available Hours for Service]]</calculatedColumnFormula>
    </tableColumn>
    <tableColumn id="4" xr3:uid="{00000000-0010-0000-0300-000004000000}" name="Connected Capacity per feeder (KVA)" totalsRowFunction="sum" dataDxfId="1028" totalsRowDxfId="1027" dataCellStyle="Comma"/>
    <tableColumn id="42" xr3:uid="{00000000-0010-0000-0300-00002A000000}" name="Actual Min Hours Expected till date" dataDxfId="1026" totalsRowDxfId="1025" dataCellStyle="Comma">
      <calculatedColumnFormula>Table436[[#This Row],[Min Daily Hours]]*J$199</calculatedColumnFormula>
    </tableColumn>
    <tableColumn id="24" xr3:uid="{00000000-0010-0000-0300-000018000000}" name="Total Hours in Service" dataDxfId="1024" totalsRowDxfId="1023" dataCellStyle="Comma">
      <calculatedColumnFormula>SUM(Table436[[#This Row],[1]:[31]])</calculatedColumnFormula>
    </tableColumn>
    <tableColumn id="5" xr3:uid="{00000000-0010-0000-0300-000005000000}" name="1" dataDxfId="1022" totalsRowDxfId="1021"/>
    <tableColumn id="39" xr3:uid="{00000000-0010-0000-0300-000027000000}" name="2" dataDxfId="1020" totalsRowDxfId="1019"/>
    <tableColumn id="6" xr3:uid="{00000000-0010-0000-0300-000006000000}" name="3" dataDxfId="1018" totalsRowDxfId="1017"/>
    <tableColumn id="7" xr3:uid="{00000000-0010-0000-0300-000007000000}" name="4" dataDxfId="1016" totalsRowDxfId="1015"/>
    <tableColumn id="8" xr3:uid="{00000000-0010-0000-0300-000008000000}" name="5" dataDxfId="1014" totalsRowDxfId="1013"/>
    <tableColumn id="9" xr3:uid="{00000000-0010-0000-0300-000009000000}" name="6" dataDxfId="1012" totalsRowDxfId="1011"/>
    <tableColumn id="10" xr3:uid="{00000000-0010-0000-0300-00000A000000}" name="7" dataDxfId="1010" totalsRowDxfId="1009"/>
    <tableColumn id="11" xr3:uid="{00000000-0010-0000-0300-00000B000000}" name="8" dataDxfId="1008" totalsRowDxfId="1007"/>
    <tableColumn id="12" xr3:uid="{00000000-0010-0000-0300-00000C000000}" name="9" dataDxfId="1006" totalsRowDxfId="1005"/>
    <tableColumn id="13" xr3:uid="{00000000-0010-0000-0300-00000D000000}" name="10" dataDxfId="1004" totalsRowDxfId="1003"/>
    <tableColumn id="14" xr3:uid="{00000000-0010-0000-0300-00000E000000}" name="11" dataDxfId="1002" totalsRowDxfId="1001"/>
    <tableColumn id="15" xr3:uid="{00000000-0010-0000-0300-00000F000000}" name="12" dataDxfId="1000" totalsRowDxfId="999"/>
    <tableColumn id="16" xr3:uid="{00000000-0010-0000-0300-000010000000}" name="13" dataDxfId="998" totalsRowDxfId="997"/>
    <tableColumn id="17" xr3:uid="{00000000-0010-0000-0300-000011000000}" name="14" dataDxfId="996" totalsRowDxfId="995"/>
    <tableColumn id="18" xr3:uid="{00000000-0010-0000-0300-000012000000}" name="15" dataDxfId="994" totalsRowDxfId="993"/>
    <tableColumn id="19" xr3:uid="{00000000-0010-0000-0300-000013000000}" name="16" dataDxfId="992" totalsRowDxfId="991"/>
    <tableColumn id="20" xr3:uid="{00000000-0010-0000-0300-000014000000}" name="17" dataDxfId="990" totalsRowDxfId="989"/>
    <tableColumn id="23" xr3:uid="{00000000-0010-0000-0300-000017000000}" name="18" dataDxfId="988" totalsRowDxfId="987"/>
    <tableColumn id="25" xr3:uid="{00000000-0010-0000-0300-000019000000}" name="19" dataDxfId="986" totalsRowDxfId="985"/>
    <tableColumn id="26" xr3:uid="{00000000-0010-0000-0300-00001A000000}" name="20" dataDxfId="984" totalsRowDxfId="983"/>
    <tableColumn id="27" xr3:uid="{00000000-0010-0000-0300-00001B000000}" name="21" dataDxfId="982" totalsRowDxfId="981"/>
    <tableColumn id="28" xr3:uid="{00000000-0010-0000-0300-00001C000000}" name="22" dataDxfId="980" totalsRowDxfId="979"/>
    <tableColumn id="29" xr3:uid="{00000000-0010-0000-0300-00001D000000}" name="23" dataDxfId="978" totalsRowDxfId="977"/>
    <tableColumn id="30" xr3:uid="{00000000-0010-0000-0300-00001E000000}" name="24" dataDxfId="976" totalsRowDxfId="975"/>
    <tableColumn id="31" xr3:uid="{00000000-0010-0000-0300-00001F000000}" name="25" dataDxfId="974" totalsRowDxfId="973"/>
    <tableColumn id="32" xr3:uid="{00000000-0010-0000-0300-000020000000}" name="26" dataDxfId="972" totalsRowDxfId="971"/>
    <tableColumn id="33" xr3:uid="{00000000-0010-0000-0300-000021000000}" name="27" dataDxfId="970" totalsRowDxfId="969"/>
    <tableColumn id="34" xr3:uid="{00000000-0010-0000-0300-000022000000}" name="28" dataDxfId="968" totalsRowDxfId="967"/>
    <tableColumn id="35" xr3:uid="{00000000-0010-0000-0300-000023000000}" name="29" dataDxfId="966" totalsRowDxfId="965"/>
    <tableColumn id="36" xr3:uid="{00000000-0010-0000-0300-000024000000}" name="30" dataDxfId="964" totalsRowDxfId="963"/>
    <tableColumn id="37" xr3:uid="{00000000-0010-0000-0300-000025000000}" name="31" dataDxfId="962" totalsRowDxfId="96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268323467" displayName="Table268323467" ref="A1:Q82" headerRowDxfId="960" headerRowBorderDxfId="959">
  <autoFilter ref="A1:Q82" xr:uid="{00000000-0009-0000-0100-000006000000}"/>
  <tableColumns count="17">
    <tableColumn id="1" xr3:uid="{00000000-0010-0000-0400-000001000000}" name="Name of Feeder" totalsRowLabel="Total" dataDxfId="958"/>
    <tableColumn id="2" xr3:uid="{00000000-0010-0000-0400-000002000000}" name="Fault Type" dataDxfId="957" totalsRowDxfId="956"/>
    <tableColumn id="3" xr3:uid="{00000000-0010-0000-0400-000003000000}" name="Approved Outage Time" dataDxfId="955" totalsRowDxfId="954"/>
    <tableColumn id="4" xr3:uid="{00000000-0010-0000-0400-000004000000}" name="Approved Restoration Time" dataDxfId="953" totalsRowDxfId="952"/>
    <tableColumn id="5" xr3:uid="{00000000-0010-0000-0400-000005000000}" name="Tripping Date &amp; Time_x000a_(MM/DD/YY)" dataDxfId="951" totalsRowDxfId="950"/>
    <tableColumn id="6" xr3:uid="{00000000-0010-0000-0400-000006000000}" name="Load Interrupted (MW)"/>
    <tableColumn id="7" xr3:uid="{00000000-0010-0000-0400-000007000000}" name="Relay Indication" dataDxfId="949" totalsRowDxfId="948"/>
    <tableColumn id="8" xr3:uid="{00000000-0010-0000-0400-000008000000}" name="Brief Description" dataDxfId="947" totalsRowDxfId="946"/>
    <tableColumn id="15" xr3:uid="{00000000-0010-0000-0400-00000F000000}" name="Any Discovery On Patrols?" dataDxfId="945" totalsRowDxfId="944"/>
    <tableColumn id="9" xr3:uid="{00000000-0010-0000-0400-000009000000}" name="Restoration Date &amp; Time_x000a_(MM/DD/YY)" dataDxfId="943" totalsRowDxfId="942"/>
    <tableColumn id="16" xr3:uid="{00000000-0010-0000-0400-000010000000}" name="Load at the time of  Restoration (MW)" dataDxfId="941" totalsRowDxfId="940"/>
    <tableColumn id="10" xr3:uid="{00000000-0010-0000-0400-00000A000000}" name="Outage Duration" dataDxfId="939" totalsRowDxfId="938">
      <calculatedColumnFormula>J2-E2</calculatedColumnFormula>
    </tableColumn>
    <tableColumn id="11" xr3:uid="{00000000-0010-0000-0400-00000B000000}" name="Total Energy Loss (MWH)" dataDxfId="937" totalsRowDxfId="936" dataCellStyle="Comma">
      <calculatedColumnFormula>L2*F2</calculatedColumnFormula>
    </tableColumn>
    <tableColumn id="12" xr3:uid="{00000000-0010-0000-0400-00000C000000}" name="Outage Surrender within duration " dataDxfId="935" totalsRowDxfId="934">
      <calculatedColumnFormula>IF(Table268323467[[#This Row],[Fault Type]]="PM",IF(L2&lt;=(D2-C2),"Yes","No"),"")</calculatedColumnFormula>
    </tableColumn>
    <tableColumn id="13" xr3:uid="{00000000-0010-0000-0400-00000D000000}" name="Extended Time" dataDxfId="933" totalsRowDxfId="932">
      <calculatedColumnFormula>IF(N2="No",(L2-(D2-C2)),"")</calculatedColumnFormula>
    </tableColumn>
    <tableColumn id="17" xr3:uid="{00000000-0010-0000-0400-000011000000}" name="Fault Cleared in Specified Time" dataDxfId="931">
      <calculatedColumnFormula>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calculatedColumnFormula>
    </tableColumn>
    <tableColumn id="14" xr3:uid="{00000000-0010-0000-0400-00000E000000}" name="Name &amp; Designation of Permit Holder" totalsRowFunction="count"/>
  </tableColumns>
  <tableStyleInfo name="TableStyleLight13"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26832346" displayName="Table26832346" ref="A1:Q96" headerRowDxfId="930" headerRowBorderDxfId="929">
  <autoFilter ref="A1:Q96" xr:uid="{00000000-0009-0000-0100-000005000000}"/>
  <tableColumns count="17">
    <tableColumn id="1" xr3:uid="{00000000-0010-0000-0500-000001000000}" name="Name of Feeder" totalsRowLabel="Total" dataDxfId="928"/>
    <tableColumn id="2" xr3:uid="{00000000-0010-0000-0500-000002000000}" name="Fault Type" dataDxfId="927" totalsRowDxfId="926"/>
    <tableColumn id="3" xr3:uid="{00000000-0010-0000-0500-000003000000}" name="Approved Outage Time" dataDxfId="925" totalsRowDxfId="924"/>
    <tableColumn id="4" xr3:uid="{00000000-0010-0000-0500-000004000000}" name="Approved Restoration Time" dataDxfId="923" totalsRowDxfId="922"/>
    <tableColumn id="5" xr3:uid="{00000000-0010-0000-0500-000005000000}" name="Tripping Date &amp; Time_x000a_(MM/DD/YY)" dataDxfId="921" totalsRowDxfId="920"/>
    <tableColumn id="6" xr3:uid="{00000000-0010-0000-0500-000006000000}" name="Load Interrupted (MW)" dataDxfId="919"/>
    <tableColumn id="7" xr3:uid="{00000000-0010-0000-0500-000007000000}" name="Relay Indication" dataDxfId="918" totalsRowDxfId="917"/>
    <tableColumn id="8" xr3:uid="{00000000-0010-0000-0500-000008000000}" name="Brief Description" dataDxfId="916" totalsRowDxfId="915"/>
    <tableColumn id="15" xr3:uid="{00000000-0010-0000-0500-00000F000000}" name="Any Discovery On Patrols?" dataDxfId="914" totalsRowDxfId="913"/>
    <tableColumn id="9" xr3:uid="{00000000-0010-0000-0500-000009000000}" name="Restoration Date &amp; Time_x000a_(MM/DD/YY)" dataDxfId="912" totalsRowDxfId="911"/>
    <tableColumn id="16" xr3:uid="{00000000-0010-0000-0500-000010000000}" name="Load at the time of  Restoration (MW)" dataDxfId="910" totalsRowDxfId="909" dataCellStyle="Comma"/>
    <tableColumn id="10" xr3:uid="{00000000-0010-0000-0500-00000A000000}" name="Outage Duration" dataDxfId="908" totalsRowDxfId="907">
      <calculatedColumnFormula>J2-E2</calculatedColumnFormula>
    </tableColumn>
    <tableColumn id="11" xr3:uid="{00000000-0010-0000-0500-00000B000000}" name="Total Energy Loss (MWH)" dataDxfId="906" totalsRowDxfId="905" dataCellStyle="Comma">
      <calculatedColumnFormula>L2*F2</calculatedColumnFormula>
    </tableColumn>
    <tableColumn id="12" xr3:uid="{00000000-0010-0000-0500-00000C000000}" name="Outage Surrender within duration " dataDxfId="904" totalsRowDxfId="903">
      <calculatedColumnFormula>IF(Table26832346[[#This Row],[Fault Type]]="PM",IF(L2&lt;=(D2-C2),"Yes","No"),"")</calculatedColumnFormula>
    </tableColumn>
    <tableColumn id="13" xr3:uid="{00000000-0010-0000-0500-00000D000000}" name="Extended Time" dataDxfId="902" totalsRowDxfId="901">
      <calculatedColumnFormula>IF(N2="No",(L2-(D2-C2)),"")</calculatedColumnFormula>
    </tableColumn>
    <tableColumn id="17" xr3:uid="{00000000-0010-0000-0500-000011000000}" name="Fault Cleared in Specified Time" dataDxfId="900" totalsRowDxfId="899">
      <calculatedColumnFormula>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calculatedColumnFormula>
    </tableColumn>
    <tableColumn id="14" xr3:uid="{00000000-0010-0000-0500-00000E000000}" name="Name &amp; Designation of Permit Holder" totalsRowFunction="count"/>
  </tableColumns>
  <tableStyleInfo name="TableStyleLight13"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06000000}" name="Table2683264" displayName="Table2683264" ref="A1:Q100" headerRowDxfId="898" headerRowBorderDxfId="897">
  <autoFilter ref="A1:Q100" xr:uid="{00000000-0009-0000-0100-00003F000000}"/>
  <tableColumns count="17">
    <tableColumn id="1" xr3:uid="{00000000-0010-0000-0600-000001000000}" name="Name of Feeder" totalsRowLabel="Total" dataDxfId="896"/>
    <tableColumn id="2" xr3:uid="{00000000-0010-0000-0600-000002000000}" name="Fault Type" dataDxfId="895" totalsRowDxfId="894"/>
    <tableColumn id="3" xr3:uid="{00000000-0010-0000-0600-000003000000}" name="Approved Outage Time" dataDxfId="893" totalsRowDxfId="892"/>
    <tableColumn id="4" xr3:uid="{00000000-0010-0000-0600-000004000000}" name="Approved Restoration Time" dataDxfId="891" totalsRowDxfId="890"/>
    <tableColumn id="5" xr3:uid="{00000000-0010-0000-0600-000005000000}" name="Tripping Date &amp; Time_x000a_(MM/DD/YY)" dataDxfId="889" totalsRowDxfId="888"/>
    <tableColumn id="6" xr3:uid="{00000000-0010-0000-0600-000006000000}" name="Load Interrupted (MW)"/>
    <tableColumn id="7" xr3:uid="{00000000-0010-0000-0600-000007000000}" name="Relay Indication" dataDxfId="887" totalsRowDxfId="886"/>
    <tableColumn id="8" xr3:uid="{00000000-0010-0000-0600-000008000000}" name="Brief Description" dataDxfId="885" totalsRowDxfId="884"/>
    <tableColumn id="15" xr3:uid="{00000000-0010-0000-0600-00000F000000}" name="Any Discovery On Patrols?" dataDxfId="883" totalsRowDxfId="882"/>
    <tableColumn id="9" xr3:uid="{00000000-0010-0000-0600-000009000000}" name="Restoration Date &amp; Time_x000a_(MM/DD/YY)" dataDxfId="881" totalsRowDxfId="880"/>
    <tableColumn id="16" xr3:uid="{00000000-0010-0000-0600-000010000000}" name="Load at the time of  Restoration (MW)" dataDxfId="879" totalsRowDxfId="878"/>
    <tableColumn id="10" xr3:uid="{00000000-0010-0000-0600-00000A000000}" name="Outage Duration" dataDxfId="877" totalsRowDxfId="876">
      <calculatedColumnFormula>J2-E2</calculatedColumnFormula>
    </tableColumn>
    <tableColumn id="11" xr3:uid="{00000000-0010-0000-0600-00000B000000}" name="Total Energy Loss (MWH)" dataDxfId="875" totalsRowDxfId="874" dataCellStyle="Comma">
      <calculatedColumnFormula>L2*F2</calculatedColumnFormula>
    </tableColumn>
    <tableColumn id="12" xr3:uid="{00000000-0010-0000-0600-00000C000000}" name="Outage Surrender within duration " dataDxfId="873" totalsRowDxfId="872">
      <calculatedColumnFormula>IF(Table2683264[[#This Row],[Fault Type]]="PM",IF(L2&lt;=(D2-C2),"Yes","No"),"")</calculatedColumnFormula>
    </tableColumn>
    <tableColumn id="13" xr3:uid="{00000000-0010-0000-0600-00000D000000}" name="Extended Time" dataDxfId="871" totalsRowDxfId="870">
      <calculatedColumnFormula>IF(N2="No",(L2-(D2-C2)),"")</calculatedColumnFormula>
    </tableColumn>
    <tableColumn id="17" xr3:uid="{00000000-0010-0000-0600-000011000000}" name="Fault Cleared in Specified Time" dataDxfId="869" totalsRowDxfId="868">
      <calculatedColumnFormula>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calculatedColumnFormula>
    </tableColumn>
    <tableColumn id="14" xr3:uid="{00000000-0010-0000-0600-00000E000000}" name="Name &amp; Designation of Permit Holder" totalsRowFunction="count"/>
  </tableColumns>
  <tableStyleInfo name="TableStyleLight13" showFirstColumn="0" showLastColumn="0"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07000000}" name="Table2683263" displayName="Table2683263" ref="A1:Q83" headerRowDxfId="867" headerRowBorderDxfId="866">
  <autoFilter ref="A1:Q83" xr:uid="{00000000-0009-0000-0100-00003E000000}"/>
  <tableColumns count="17">
    <tableColumn id="1" xr3:uid="{00000000-0010-0000-0700-000001000000}" name="Name of Feeder" totalsRowLabel="Total" dataDxfId="865"/>
    <tableColumn id="2" xr3:uid="{00000000-0010-0000-0700-000002000000}" name="Fault Type" dataDxfId="864" totalsRowDxfId="863"/>
    <tableColumn id="3" xr3:uid="{00000000-0010-0000-0700-000003000000}" name="Approved Outage Time" dataDxfId="862" totalsRowDxfId="861"/>
    <tableColumn id="4" xr3:uid="{00000000-0010-0000-0700-000004000000}" name="Approved Restoration Time" dataDxfId="860" totalsRowDxfId="859"/>
    <tableColumn id="5" xr3:uid="{00000000-0010-0000-0700-000005000000}" name="Tripping Date &amp; Time_x000a_(MM/DD/YY)" dataDxfId="858" totalsRowDxfId="857"/>
    <tableColumn id="6" xr3:uid="{00000000-0010-0000-0700-000006000000}" name="Load Interrupted (MW)"/>
    <tableColumn id="7" xr3:uid="{00000000-0010-0000-0700-000007000000}" name="Relay Indication" dataDxfId="856" totalsRowDxfId="855"/>
    <tableColumn id="8" xr3:uid="{00000000-0010-0000-0700-000008000000}" name="Brief Description" dataDxfId="854" totalsRowDxfId="853"/>
    <tableColumn id="15" xr3:uid="{00000000-0010-0000-0700-00000F000000}" name="Any Discovery On Patrols?" dataDxfId="852" totalsRowDxfId="851"/>
    <tableColumn id="9" xr3:uid="{00000000-0010-0000-0700-000009000000}" name="Restoration Date &amp; Time_x000a_(MM/DD/YY)" dataDxfId="850" totalsRowDxfId="849"/>
    <tableColumn id="16" xr3:uid="{00000000-0010-0000-0700-000010000000}" name="Load at the time of  Restoration (MW)" dataDxfId="848" totalsRowDxfId="847"/>
    <tableColumn id="10" xr3:uid="{00000000-0010-0000-0700-00000A000000}" name="Outage Duration" dataDxfId="846" totalsRowDxfId="845">
      <calculatedColumnFormula>J2-E2</calculatedColumnFormula>
    </tableColumn>
    <tableColumn id="11" xr3:uid="{00000000-0010-0000-0700-00000B000000}" name="Total Energy Loss (MWH)" dataDxfId="844" totalsRowDxfId="843" dataCellStyle="Comma">
      <calculatedColumnFormula>L2*F2</calculatedColumnFormula>
    </tableColumn>
    <tableColumn id="12" xr3:uid="{00000000-0010-0000-0700-00000C000000}" name="Outage Surrender within duration " dataDxfId="842" totalsRowDxfId="841">
      <calculatedColumnFormula>IF(Table2683263[[#This Row],[Fault Type]]="PM",IF(L2&lt;=(D2-C2),"Yes","No"),"")</calculatedColumnFormula>
    </tableColumn>
    <tableColumn id="13" xr3:uid="{00000000-0010-0000-0700-00000D000000}" name="Extended Time" dataDxfId="840" totalsRowDxfId="839">
      <calculatedColumnFormula>IF(N2="No",(L2-(D2-C2)),"")</calculatedColumnFormula>
    </tableColumn>
    <tableColumn id="17" xr3:uid="{00000000-0010-0000-0700-000011000000}" name="Fault Cleared in Specified Time" dataDxfId="838" totalsRowDxfId="837">
      <calculatedColumnFormula>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calculatedColumnFormula>
    </tableColumn>
    <tableColumn id="14" xr3:uid="{00000000-0010-0000-0700-00000E000000}" name="Name &amp; Designation of Permit Holder" totalsRowFunction="count"/>
  </tableColumns>
  <tableStyleInfo name="TableStyleLight13" showFirstColumn="0" showLastColumn="0" showRowStripes="1"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08000000}" name="Table2683262" displayName="Table2683262" ref="A1:Q106" headerRowDxfId="836" headerRowBorderDxfId="835">
  <autoFilter ref="A1:Q106" xr:uid="{00000000-0009-0000-0100-00003D000000}"/>
  <tableColumns count="17">
    <tableColumn id="1" xr3:uid="{00000000-0010-0000-0800-000001000000}" name="Name of Feeder" totalsRowLabel="Total" dataDxfId="834"/>
    <tableColumn id="2" xr3:uid="{00000000-0010-0000-0800-000002000000}" name="Fault Type" dataDxfId="833" totalsRowDxfId="832"/>
    <tableColumn id="3" xr3:uid="{00000000-0010-0000-0800-000003000000}" name="Approved Outage Time" dataDxfId="831" totalsRowDxfId="830"/>
    <tableColumn id="4" xr3:uid="{00000000-0010-0000-0800-000004000000}" name="Approved Restoration Time" dataDxfId="829" totalsRowDxfId="828"/>
    <tableColumn id="5" xr3:uid="{00000000-0010-0000-0800-000005000000}" name="Tripping Date &amp; Time_x000a_(MM/DD/YY)" dataDxfId="827" totalsRowDxfId="826"/>
    <tableColumn id="6" xr3:uid="{00000000-0010-0000-0800-000006000000}" name="Load Interrupted (MW)"/>
    <tableColumn id="7" xr3:uid="{00000000-0010-0000-0800-000007000000}" name="Relay Indication" dataDxfId="825" totalsRowDxfId="824"/>
    <tableColumn id="8" xr3:uid="{00000000-0010-0000-0800-000008000000}" name="Brief Description" dataDxfId="823" totalsRowDxfId="822"/>
    <tableColumn id="15" xr3:uid="{00000000-0010-0000-0800-00000F000000}" name="Any Discovery On Patrols?" dataDxfId="821" totalsRowDxfId="820"/>
    <tableColumn id="9" xr3:uid="{00000000-0010-0000-0800-000009000000}" name="Restoration Date &amp; Time_x000a_(MM/DD/YY)" dataDxfId="819" totalsRowDxfId="818"/>
    <tableColumn id="16" xr3:uid="{00000000-0010-0000-0800-000010000000}" name="Load at the time of  Restoration (MW)" dataDxfId="817" totalsRowDxfId="816" dataCellStyle="Comma"/>
    <tableColumn id="10" xr3:uid="{00000000-0010-0000-0800-00000A000000}" name="Outage Duration" dataDxfId="815" totalsRowDxfId="814">
      <calculatedColumnFormula>J2-E2</calculatedColumnFormula>
    </tableColumn>
    <tableColumn id="11" xr3:uid="{00000000-0010-0000-0800-00000B000000}" name="Total Energy Loss (MWH)" dataDxfId="813" totalsRowDxfId="812" dataCellStyle="Comma">
      <calculatedColumnFormula>L2*F2</calculatedColumnFormula>
    </tableColumn>
    <tableColumn id="12" xr3:uid="{00000000-0010-0000-0800-00000C000000}" name="Outage Surrender within duration " dataDxfId="811" totalsRowDxfId="810">
      <calculatedColumnFormula>IF(Table2683262[[#This Row],[Fault Type]]="PM",IF(L2&lt;=(D2-C2),"Yes","No"),"")</calculatedColumnFormula>
    </tableColumn>
    <tableColumn id="13" xr3:uid="{00000000-0010-0000-0800-00000D000000}" name="Extended Time" dataDxfId="809" totalsRowDxfId="808">
      <calculatedColumnFormula>IF(N2="No",(L2-(D2-C2)),"")</calculatedColumnFormula>
    </tableColumn>
    <tableColumn id="17" xr3:uid="{00000000-0010-0000-0800-000011000000}" name="Fault Cleared in Specified Time" dataDxfId="807" totalsRowDxfId="806">
      <calculatedColumnFormula>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calculatedColumnFormula>
    </tableColumn>
    <tableColumn id="14" xr3:uid="{00000000-0010-0000-0800-00000E000000}" name="Name &amp; Designation of Permit Holder" totalsRowFunction="count"/>
  </tableColumns>
  <tableStyleInfo name="TableStyleLight13"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1.vml"/><Relationship Id="rId1" Type="http://schemas.openxmlformats.org/officeDocument/2006/relationships/printerSettings" Target="../printerSettings/printerSettings25.bin"/><Relationship Id="rId4" Type="http://schemas.openxmlformats.org/officeDocument/2006/relationships/comments" Target="../comments1.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workbookViewId="0">
      <pane xSplit="1" ySplit="1" topLeftCell="B2" activePane="bottomRight" state="frozen"/>
      <selection pane="topRight" activeCell="B1" sqref="B1"/>
      <selection pane="bottomLeft" activeCell="A2" sqref="A2"/>
      <selection pane="bottomRight" activeCell="C5" sqref="C5"/>
    </sheetView>
  </sheetViews>
  <sheetFormatPr defaultRowHeight="14.5" x14ac:dyDescent="0.35"/>
  <cols>
    <col min="1" max="1" width="19.54296875" bestFit="1" customWidth="1"/>
    <col min="2" max="3" width="12.81640625" customWidth="1"/>
    <col min="4" max="4" width="18.81640625" customWidth="1"/>
    <col min="8" max="8" width="12.7265625" customWidth="1"/>
    <col min="9" max="9" width="11" customWidth="1"/>
    <col min="11" max="11" width="20.26953125" customWidth="1"/>
    <col min="12" max="12" width="14" customWidth="1"/>
    <col min="13" max="13" width="14.7265625" customWidth="1"/>
  </cols>
  <sheetData>
    <row r="1" spans="1:14" s="5" customFormat="1" ht="42" x14ac:dyDescent="0.35">
      <c r="A1" s="6" t="s">
        <v>0</v>
      </c>
      <c r="B1" s="6" t="s">
        <v>329</v>
      </c>
      <c r="C1" s="6" t="s">
        <v>365</v>
      </c>
      <c r="D1" s="6" t="s">
        <v>203</v>
      </c>
      <c r="E1" s="34" t="s">
        <v>258</v>
      </c>
      <c r="F1" s="34" t="s">
        <v>259</v>
      </c>
      <c r="G1" s="34" t="s">
        <v>322</v>
      </c>
      <c r="H1" s="34" t="s">
        <v>260</v>
      </c>
      <c r="I1" s="34" t="s">
        <v>328</v>
      </c>
      <c r="J1" s="34" t="s">
        <v>327</v>
      </c>
      <c r="K1" s="34" t="s">
        <v>326</v>
      </c>
      <c r="L1" s="34" t="s">
        <v>325</v>
      </c>
      <c r="M1" s="34" t="s">
        <v>324</v>
      </c>
      <c r="N1" s="34" t="s">
        <v>323</v>
      </c>
    </row>
    <row r="2" spans="1:14" s="5" customFormat="1" x14ac:dyDescent="0.35">
      <c r="A2" s="8" t="s">
        <v>180</v>
      </c>
      <c r="B2" s="23">
        <f>SUMIF(Main!A:A,'Ranking Region'!A2,Main!F:F)</f>
        <v>141</v>
      </c>
      <c r="C2" s="23">
        <f>SUMIF(Main!A:A,'Ranking Region'!A2,Main!V:V)</f>
        <v>132</v>
      </c>
      <c r="D2" s="35" t="e">
        <f>SUMIF(Main!A:A,'Ranking Region'!A2,Main!R:R)</f>
        <v>#VALUE!</v>
      </c>
      <c r="E2" s="36" t="e">
        <f>SUMIF(Main!A:A,Table135[[#This Row],[Region]],Main!AH:AH)/SUMIF('Supply Hours'!A:A,Table135[[#This Row],[Region]],'Supply Hours'!I:I)</f>
        <v>#VALUE!</v>
      </c>
      <c r="F2" s="75" t="e">
        <f>SUMIF('Supply Hours'!A:A,Table135[[#This Row],[Region]],'Supply Hours'!I:I)/(COUNTIF('Supply Hours'!A:A,Table135[[#This Row],[Region]])*Main!Q$199)</f>
        <v>#VALUE!</v>
      </c>
      <c r="G2" s="36">
        <f>SUMIFS(Main!AI:AI,Main!A:A,Table135[[#This Row],[Region]])/SUMIFS('Supply Hours'!J:J,'Supply Hours'!A:A,Table135[[#This Row],[Region]])</f>
        <v>1.5393158729947356</v>
      </c>
      <c r="H2" s="36">
        <f>IF((SUMIF(Main!A:A,Table135[[#This Row],[Region]],Main!V:V))&gt;0,SUMIF(Main!A:A,Table135[[#This Row],[Region]],Main!AC:AC)/(SUMIF(Main!A:A,Table135[[#This Row],[Region]],Main!V:V)),1)</f>
        <v>0.68939393939393945</v>
      </c>
      <c r="I2" s="71" t="e">
        <f>RANK(Table135[[#This Row],[SAIDI]],Table135[SAIDI],1)</f>
        <v>#VALUE!</v>
      </c>
      <c r="J2" s="71" t="e">
        <f>RANK(Table135[[#This Row],[ASAI]],Table135[ASAI],0)</f>
        <v>#VALUE!</v>
      </c>
      <c r="K2" s="72">
        <f>RANK(Table135[[#This Row],[ASIFI]],Table135[ASIFI],1)</f>
        <v>8</v>
      </c>
      <c r="L2" s="71">
        <f>RANK(Table135[[#This Row],[Fault Clearance Index]],H:H,0)</f>
        <v>3</v>
      </c>
      <c r="M2" s="33" t="e">
        <f>SUM(Table135[[#This Row],[Ranking SAIDI]:[Ranking FCI]])</f>
        <v>#VALUE!</v>
      </c>
      <c r="N2" s="25" t="e">
        <f>RANK(Table135[[#This Row],[Total Points]],Table135[Total Points],1)</f>
        <v>#VALUE!</v>
      </c>
    </row>
    <row r="3" spans="1:14" ht="20.25" customHeight="1" x14ac:dyDescent="0.35">
      <c r="A3" s="8" t="s">
        <v>181</v>
      </c>
      <c r="B3" s="7">
        <f>SUMIF(Main!A:A,'Ranking Region'!A3,Main!F:F)</f>
        <v>81</v>
      </c>
      <c r="C3" s="7">
        <f>SUMIF(Main!A:A,'Ranking Region'!A3,Main!V:V)</f>
        <v>75</v>
      </c>
      <c r="D3" s="35" t="e">
        <f>SUMIF(Main!A:A,'Ranking Region'!A3,Main!R:R)</f>
        <v>#VALUE!</v>
      </c>
      <c r="E3" s="36" t="e">
        <f>SUMIF(Main!A:A,Table135[[#This Row],[Region]],Main!AH:AH)/SUMIF('Supply Hours'!A:A,Table135[[#This Row],[Region]],'Supply Hours'!I:I)</f>
        <v>#VALUE!</v>
      </c>
      <c r="F3" s="75" t="e">
        <f>SUMIF('Supply Hours'!A:A,Table135[[#This Row],[Region]],'Supply Hours'!I:I)/(COUNTIF('Supply Hours'!A:A,Table135[[#This Row],[Region]])*Main!Q$199)</f>
        <v>#VALUE!</v>
      </c>
      <c r="G3" s="36">
        <f>SUMIFS(Main!AI:AI,Main!A:A,Table135[[#This Row],[Region]])/SUMIFS('Supply Hours'!J:J,'Supply Hours'!A:A,Table135[[#This Row],[Region]])</f>
        <v>1.6623888328649945</v>
      </c>
      <c r="H3" s="36">
        <f>IF((SUMIF(Main!A:A,Table135[[#This Row],[Region]],Main!V:V))&gt;0,SUMIF(Main!A:A,Table135[[#This Row],[Region]],Main!AC:AC)/(SUMIF(Main!A:A,Table135[[#This Row],[Region]],Main!V:V)),1)</f>
        <v>0.77333333333333332</v>
      </c>
      <c r="I3" s="71" t="e">
        <f>RANK(Table135[[#This Row],[SAIDI]],Table135[SAIDI],1)</f>
        <v>#VALUE!</v>
      </c>
      <c r="J3" s="71" t="e">
        <f>RANK(Table135[[#This Row],[ASAI]],Table135[ASAI],0)</f>
        <v>#VALUE!</v>
      </c>
      <c r="K3" s="72">
        <f>RANK(Table135[[#This Row],[ASIFI]],Table135[ASIFI],1)</f>
        <v>9</v>
      </c>
      <c r="L3" s="71">
        <f>RANK(Table135[[#This Row],[Fault Clearance Index]],H:H,0)</f>
        <v>1</v>
      </c>
      <c r="M3" s="33" t="e">
        <f>SUM(Table135[[#This Row],[Ranking SAIDI]:[Ranking FCI]])</f>
        <v>#VALUE!</v>
      </c>
      <c r="N3" s="25" t="e">
        <f>RANK(Table135[[#This Row],[Total Points]],Table135[Total Points],1)</f>
        <v>#VALUE!</v>
      </c>
    </row>
    <row r="4" spans="1:14" ht="20.25" customHeight="1" x14ac:dyDescent="0.35">
      <c r="A4" s="8" t="s">
        <v>182</v>
      </c>
      <c r="B4" s="7">
        <f>SUMIF(Main!A:A,'Ranking Region'!A4,Main!F:F)</f>
        <v>140</v>
      </c>
      <c r="C4" s="7">
        <f>SUMIF(Main!A:A,'Ranking Region'!A4,Main!V:V)</f>
        <v>134</v>
      </c>
      <c r="D4" s="35">
        <f>SUMIF(Main!A:A,'Ranking Region'!A4,Main!R:R)</f>
        <v>-447746.2687500001</v>
      </c>
      <c r="E4" s="36">
        <f>SUMIF(Main!A:A,Table135[[#This Row],[Region]],Main!AH:AH)/SUMIF('Supply Hours'!A:A,Table135[[#This Row],[Region]],'Supply Hours'!I:I)</f>
        <v>-5.0923130052455354</v>
      </c>
      <c r="F4" s="75">
        <f>SUMIF('Supply Hours'!A:A,Table135[[#This Row],[Region]],'Supply Hours'!I:I)/(COUNTIF('Supply Hours'!A:A,Table135[[#This Row],[Region]])*Main!Q$199)</f>
        <v>597.99502500000017</v>
      </c>
      <c r="G4" s="36">
        <f>SUMIFS(Main!AI:AI,Main!A:A,Table135[[#This Row],[Region]])/SUMIFS('Supply Hours'!J:J,'Supply Hours'!A:A,Table135[[#This Row],[Region]])</f>
        <v>1.9286706808707734</v>
      </c>
      <c r="H4" s="36">
        <f>IF((SUMIF(Main!A:A,Table135[[#This Row],[Region]],Main!V:V))&gt;0,SUMIF(Main!A:A,Table135[[#This Row],[Region]],Main!AC:AC)/(SUMIF(Main!A:A,Table135[[#This Row],[Region]],Main!V:V)),1)</f>
        <v>0.56716417910447758</v>
      </c>
      <c r="I4" s="71" t="e">
        <f>RANK(Table135[[#This Row],[SAIDI]],Table135[SAIDI],1)</f>
        <v>#VALUE!</v>
      </c>
      <c r="J4" s="71" t="e">
        <f>RANK(Table135[[#This Row],[ASAI]],Table135[ASAI],0)</f>
        <v>#VALUE!</v>
      </c>
      <c r="K4" s="72">
        <f>RANK(Table135[[#This Row],[ASIFI]],Table135[ASIFI],1)</f>
        <v>10</v>
      </c>
      <c r="L4" s="71">
        <f>RANK(Table135[[#This Row],[Fault Clearance Index]],H:H,0)</f>
        <v>5</v>
      </c>
      <c r="M4" s="33" t="e">
        <f>SUM(Table135[[#This Row],[Ranking SAIDI]:[Ranking FCI]])</f>
        <v>#VALUE!</v>
      </c>
      <c r="N4" s="25" t="e">
        <f>RANK(Table135[[#This Row],[Total Points]],Table135[Total Points],1)</f>
        <v>#VALUE!</v>
      </c>
    </row>
    <row r="5" spans="1:14" ht="20.25" customHeight="1" x14ac:dyDescent="0.35">
      <c r="A5" s="8" t="s">
        <v>183</v>
      </c>
      <c r="B5" s="7">
        <f>SUMIF(Main!A:A,'Ranking Region'!A5,Main!F:F)</f>
        <v>77</v>
      </c>
      <c r="C5" s="7">
        <f>SUMIF(Main!A:A,'Ranking Region'!A5,Main!V:V)</f>
        <v>74</v>
      </c>
      <c r="D5" s="35">
        <f>SUMIF(Main!A:A,'Ranking Region'!A5,Main!R:R)</f>
        <v>16.687499999970896</v>
      </c>
      <c r="E5" s="36">
        <f>SUMIF(Main!A:A,Table135[[#This Row],[Region]],Main!AH:AH)/SUMIF('Supply Hours'!A:A,Table135[[#This Row],[Region]],'Supply Hours'!I:I)</f>
        <v>9.2625232077677505E-2</v>
      </c>
      <c r="F5" s="75">
        <f>SUMIF('Supply Hours'!A:A,Table135[[#This Row],[Region]],'Supply Hours'!I:I)/(COUNTIF('Supply Hours'!A:A,Table135[[#This Row],[Region]])*Main!Q$199)</f>
        <v>0.96727941176476295</v>
      </c>
      <c r="G5" s="36">
        <f>SUMIFS(Main!AI:AI,Main!A:A,Table135[[#This Row],[Region]])/SUMIFS('Supply Hours'!J:J,'Supply Hours'!A:A,Table135[[#This Row],[Region]])</f>
        <v>1.0365937151324611</v>
      </c>
      <c r="H5" s="36">
        <f>IF((SUMIF(Main!A:A,Table135[[#This Row],[Region]],Main!V:V))&gt;0,SUMIF(Main!A:A,Table135[[#This Row],[Region]],Main!AC:AC)/(SUMIF(Main!A:A,Table135[[#This Row],[Region]],Main!V:V)),1)</f>
        <v>0.70270270270270274</v>
      </c>
      <c r="I5" s="71" t="e">
        <f>RANK(Table135[[#This Row],[SAIDI]],Table135[SAIDI],1)</f>
        <v>#VALUE!</v>
      </c>
      <c r="J5" s="71" t="e">
        <f>RANK(Table135[[#This Row],[ASAI]],Table135[ASAI],0)</f>
        <v>#VALUE!</v>
      </c>
      <c r="K5" s="72">
        <f>RANK(Table135[[#This Row],[ASIFI]],Table135[ASIFI],1)</f>
        <v>6</v>
      </c>
      <c r="L5" s="71">
        <f>RANK(Table135[[#This Row],[Fault Clearance Index]],H:H,0)</f>
        <v>2</v>
      </c>
      <c r="M5" s="33" t="e">
        <f>SUM(Table135[[#This Row],[Ranking SAIDI]:[Ranking FCI]])</f>
        <v>#VALUE!</v>
      </c>
      <c r="N5" s="25" t="e">
        <f>RANK(Table135[[#This Row],[Total Points]],Table135[Total Points],1)</f>
        <v>#VALUE!</v>
      </c>
    </row>
    <row r="6" spans="1:14" ht="20.25" customHeight="1" x14ac:dyDescent="0.35">
      <c r="A6" s="8" t="s">
        <v>184</v>
      </c>
      <c r="B6" s="7">
        <f>SUMIF(Main!A:A,'Ranking Region'!A6,Main!F:F)</f>
        <v>46</v>
      </c>
      <c r="C6" s="7">
        <f>SUMIF(Main!A:A,'Ranking Region'!A6,Main!V:V)</f>
        <v>46</v>
      </c>
      <c r="D6" s="35">
        <f>SUMIF(Main!A:A,'Ranking Region'!A6,Main!R:R)</f>
        <v>-87357.395138888882</v>
      </c>
      <c r="E6" s="36">
        <f>SUMIF(Main!A:A,Table135[[#This Row],[Region]],Main!AH:AH)/SUMIF('Supply Hours'!A:A,Table135[[#This Row],[Region]],'Supply Hours'!I:I)</f>
        <v>-1.4632119111946189</v>
      </c>
      <c r="F6" s="75">
        <f>SUMIF('Supply Hours'!A:A,Table135[[#This Row],[Region]],'Supply Hours'!I:I)/(COUNTIF('Supply Hours'!A:A,Table135[[#This Row],[Region]])*Main!Q$199)</f>
        <v>112.99666043447293</v>
      </c>
      <c r="G6" s="36">
        <f>SUMIFS(Main!AI:AI,Main!A:A,Table135[[#This Row],[Region]])/SUMIFS('Supply Hours'!J:J,'Supply Hours'!A:A,Table135[[#This Row],[Region]])</f>
        <v>0.29073633124392645</v>
      </c>
      <c r="H6" s="36">
        <f>IF((SUMIF(Main!A:A,Table135[[#This Row],[Region]],Main!V:V))&gt;0,SUMIF(Main!A:A,Table135[[#This Row],[Region]],Main!AC:AC)/(SUMIF(Main!A:A,Table135[[#This Row],[Region]],Main!V:V)),1)</f>
        <v>0.54347826086956519</v>
      </c>
      <c r="I6" s="71" t="e">
        <f>RANK(Table135[[#This Row],[SAIDI]],Table135[SAIDI],1)</f>
        <v>#VALUE!</v>
      </c>
      <c r="J6" s="71" t="e">
        <f>RANK(Table135[[#This Row],[ASAI]],Table135[ASAI],0)</f>
        <v>#VALUE!</v>
      </c>
      <c r="K6" s="72">
        <f>RANK(Table135[[#This Row],[ASIFI]],Table135[ASIFI],1)</f>
        <v>2</v>
      </c>
      <c r="L6" s="71">
        <f>RANK(Table135[[#This Row],[Fault Clearance Index]],H:H,0)</f>
        <v>6</v>
      </c>
      <c r="M6" s="33" t="e">
        <f>SUM(Table135[[#This Row],[Ranking SAIDI]:[Ranking FCI]])</f>
        <v>#VALUE!</v>
      </c>
      <c r="N6" s="25" t="e">
        <f>RANK(Table135[[#This Row],[Total Points]],Table135[Total Points],1)</f>
        <v>#VALUE!</v>
      </c>
    </row>
    <row r="7" spans="1:14" ht="20.25" customHeight="1" x14ac:dyDescent="0.35">
      <c r="A7" s="8" t="s">
        <v>185</v>
      </c>
      <c r="B7" s="7">
        <f>SUMIF(Main!A:A,'Ranking Region'!A7,Main!F:F)</f>
        <v>18</v>
      </c>
      <c r="C7" s="7">
        <f>SUMIF(Main!A:A,'Ranking Region'!A7,Main!V:V)</f>
        <v>18</v>
      </c>
      <c r="D7" s="35">
        <f>SUMIF(Main!A:A,'Ranking Region'!A7,Main!R:R)</f>
        <v>-358220.03749999998</v>
      </c>
      <c r="E7" s="36">
        <f>SUMIF(Main!A:A,Table135[[#This Row],[Region]],Main!AH:AH)/SUMIF('Supply Hours'!A:A,Table135[[#This Row],[Region]],'Supply Hours'!I:I)</f>
        <v>-2.5351279278868049</v>
      </c>
      <c r="F7" s="75">
        <f>SUMIF('Supply Hours'!A:A,Table135[[#This Row],[Region]],'Supply Hours'!I:I)/(COUNTIF('Supply Hours'!A:A,Table135[[#This Row],[Region]])*Main!Q$199)</f>
        <v>1086.515265151515</v>
      </c>
      <c r="G7" s="36">
        <f>SUMIFS(Main!AI:AI,Main!A:A,Table135[[#This Row],[Region]])/SUMIFS('Supply Hours'!J:J,'Supply Hours'!A:A,Table135[[#This Row],[Region]])</f>
        <v>0.38597619813444839</v>
      </c>
      <c r="H7" s="36">
        <f>IF((SUMIF(Main!A:A,Table135[[#This Row],[Region]],Main!V:V))&gt;0,SUMIF(Main!A:A,Table135[[#This Row],[Region]],Main!AC:AC)/(SUMIF(Main!A:A,Table135[[#This Row],[Region]],Main!V:V)),1)</f>
        <v>0.33333333333333331</v>
      </c>
      <c r="I7" s="71" t="e">
        <f>RANK(Table135[[#This Row],[SAIDI]],Table135[SAIDI],1)</f>
        <v>#VALUE!</v>
      </c>
      <c r="J7" s="71" t="e">
        <f>RANK(Table135[[#This Row],[ASAI]],Table135[ASAI],0)</f>
        <v>#VALUE!</v>
      </c>
      <c r="K7" s="72">
        <f>RANK(Table135[[#This Row],[ASIFI]],Table135[ASIFI],1)</f>
        <v>3</v>
      </c>
      <c r="L7" s="71">
        <f>RANK(Table135[[#This Row],[Fault Clearance Index]],H:H,0)</f>
        <v>8</v>
      </c>
      <c r="M7" s="33" t="e">
        <f>SUM(Table135[[#This Row],[Ranking SAIDI]:[Ranking FCI]])</f>
        <v>#VALUE!</v>
      </c>
      <c r="N7" s="25" t="e">
        <f>RANK(Table135[[#This Row],[Total Points]],Table135[Total Points],1)</f>
        <v>#VALUE!</v>
      </c>
    </row>
    <row r="8" spans="1:14" ht="20.25" customHeight="1" x14ac:dyDescent="0.35">
      <c r="A8" s="8" t="s">
        <v>186</v>
      </c>
      <c r="B8" s="7">
        <f>SUMIF(Main!A:A,'Ranking Region'!A8,Main!F:F)</f>
        <v>27</v>
      </c>
      <c r="C8" s="7">
        <f>SUMIF(Main!A:A,'Ranking Region'!A8,Main!V:V)</f>
        <v>27</v>
      </c>
      <c r="D8" s="35">
        <f>SUMIF(Main!A:A,'Ranking Region'!A8,Main!R:R)</f>
        <v>-403046.40069444443</v>
      </c>
      <c r="E8" s="36">
        <f>SUMIF(Main!A:A,Table135[[#This Row],[Region]],Main!AH:AH)/SUMIF('Supply Hours'!A:A,Table135[[#This Row],[Region]],'Supply Hours'!I:I)</f>
        <v>-2.5083353927385121</v>
      </c>
      <c r="F8" s="75">
        <f>SUMIF('Supply Hours'!A:A,Table135[[#This Row],[Region]],'Supply Hours'!I:I)/(COUNTIF('Supply Hours'!A:A,Table135[[#This Row],[Region]])*Main!Q$199)</f>
        <v>896.65866820987651</v>
      </c>
      <c r="G8" s="36">
        <f>SUMIFS(Main!AI:AI,Main!A:A,Table135[[#This Row],[Region]])/SUMIFS('Supply Hours'!J:J,'Supply Hours'!A:A,Table135[[#This Row],[Region]])</f>
        <v>0.25203796870967576</v>
      </c>
      <c r="H8" s="105">
        <f>IF((SUMIF(Main!A:A,Table135[[#This Row],[Region]],Main!V:V))&gt;0,SUMIF(Main!A:A,Table135[[#This Row],[Region]],Main!AC:AC)/(SUMIF(Main!A:A,Table135[[#This Row],[Region]],Main!V:V)),1)</f>
        <v>0.25925925925925924</v>
      </c>
      <c r="I8" s="71" t="e">
        <f>RANK(Table135[[#This Row],[SAIDI]],Table135[SAIDI],1)</f>
        <v>#VALUE!</v>
      </c>
      <c r="J8" s="71" t="e">
        <f>RANK(Table135[[#This Row],[ASAI]],Table135[ASAI],0)</f>
        <v>#VALUE!</v>
      </c>
      <c r="K8" s="72">
        <f>RANK(Table135[[#This Row],[ASIFI]],Table135[ASIFI],1)</f>
        <v>1</v>
      </c>
      <c r="L8" s="71">
        <f>RANK(Table135[[#This Row],[Fault Clearance Index]],H:H,0)</f>
        <v>9</v>
      </c>
      <c r="M8" s="33" t="e">
        <f>SUM(Table135[[#This Row],[Ranking SAIDI]:[Ranking FCI]])</f>
        <v>#VALUE!</v>
      </c>
      <c r="N8" s="25" t="e">
        <f>RANK(Table135[[#This Row],[Total Points]],Table135[Total Points],1)</f>
        <v>#VALUE!</v>
      </c>
    </row>
    <row r="9" spans="1:14" ht="20.25" customHeight="1" x14ac:dyDescent="0.35">
      <c r="A9" s="8" t="s">
        <v>187</v>
      </c>
      <c r="B9" s="7">
        <f>SUMIF(Main!A:A,'Ranking Region'!A9,Main!F:F)</f>
        <v>32</v>
      </c>
      <c r="C9" s="7">
        <f>SUMIF(Main!A:A,'Ranking Region'!A9,Main!V:V)</f>
        <v>32</v>
      </c>
      <c r="D9" s="35">
        <f>SUMIF(Main!A:A,'Ranking Region'!A9,Main!R:R)</f>
        <v>-108.47152777779411</v>
      </c>
      <c r="E9" s="36">
        <f>SUMIF(Main!A:A,Table135[[#This Row],[Region]],Main!AH:AH)/SUMIF('Supply Hours'!A:A,Table135[[#This Row],[Region]],'Supply Hours'!I:I)</f>
        <v>-0.14025707567411233</v>
      </c>
      <c r="F9" s="75">
        <f>SUMIF('Supply Hours'!A:A,Table135[[#This Row],[Region]],'Supply Hours'!I:I)/(COUNTIF('Supply Hours'!A:A,Table135[[#This Row],[Region]])*Main!Q$199)</f>
        <v>1.2410478395062092</v>
      </c>
      <c r="G9" s="36">
        <f>SUMIFS(Main!AI:AI,Main!A:A,Table135[[#This Row],[Region]])/SUMIFS('Supply Hours'!J:J,'Supply Hours'!A:A,Table135[[#This Row],[Region]])</f>
        <v>0.50754251710524789</v>
      </c>
      <c r="H9" s="36">
        <f>IF((SUMIF(Main!A:A,Table135[[#This Row],[Region]],Main!V:V))&gt;0,SUMIF(Main!A:A,Table135[[#This Row],[Region]],Main!AC:AC)/(SUMIF(Main!A:A,Table135[[#This Row],[Region]],Main!V:V)),1)</f>
        <v>0.1875</v>
      </c>
      <c r="I9" s="71" t="e">
        <f>RANK(Table135[[#This Row],[SAIDI]],Table135[SAIDI],1)</f>
        <v>#VALUE!</v>
      </c>
      <c r="J9" s="71" t="e">
        <f>RANK(Table135[[#This Row],[ASAI]],Table135[ASAI],0)</f>
        <v>#VALUE!</v>
      </c>
      <c r="K9" s="72">
        <f>RANK(Table135[[#This Row],[ASIFI]],Table135[ASIFI],1)</f>
        <v>4</v>
      </c>
      <c r="L9" s="71">
        <f>RANK(Table135[[#This Row],[Fault Clearance Index]],H:H,0)</f>
        <v>10</v>
      </c>
      <c r="M9" s="33" t="e">
        <f>SUM(Table135[[#This Row],[Ranking SAIDI]:[Ranking FCI]])</f>
        <v>#VALUE!</v>
      </c>
      <c r="N9" s="25" t="e">
        <f>RANK(Table135[[#This Row],[Total Points]],Table135[Total Points],1)</f>
        <v>#VALUE!</v>
      </c>
    </row>
    <row r="10" spans="1:14" ht="20.25" customHeight="1" x14ac:dyDescent="0.35">
      <c r="A10" s="8" t="s">
        <v>188</v>
      </c>
      <c r="B10" s="7">
        <f>SUMIF(Main!A:A,'Ranking Region'!A10,Main!F:F)</f>
        <v>50</v>
      </c>
      <c r="C10" s="7">
        <f>SUMIF(Main!A:A,'Ranking Region'!A10,Main!V:V)</f>
        <v>50</v>
      </c>
      <c r="D10" s="35">
        <f>SUMIF(Main!A:A,'Ranking Region'!A10,Main!R:R)</f>
        <v>-223773.48402777777</v>
      </c>
      <c r="E10" s="36">
        <f>SUMIF(Main!A:A,Table135[[#This Row],[Region]],Main!AH:AH)/SUMIF('Supply Hours'!A:A,Table135[[#This Row],[Region]],'Supply Hours'!I:I)</f>
        <v>-2.1363898586075147</v>
      </c>
      <c r="F10" s="75">
        <f>SUMIF('Supply Hours'!A:A,Table135[[#This Row],[Region]],'Supply Hours'!I:I)/(COUNTIF('Supply Hours'!A:A,Table135[[#This Row],[Region]])*Main!Q$199)</f>
        <v>679.10146675084172</v>
      </c>
      <c r="G10" s="36">
        <f>SUMIFS(Main!AI:AI,Main!A:A,Table135[[#This Row],[Region]])/SUMIFS('Supply Hours'!J:J,'Supply Hours'!A:A,Table135[[#This Row],[Region]])</f>
        <v>0.85504758932750824</v>
      </c>
      <c r="H10" s="36">
        <f>IF((SUMIF(Main!A:A,Table135[[#This Row],[Region]],Main!V:V))&gt;0,SUMIF(Main!A:A,Table135[[#This Row],[Region]],Main!AC:AC)/(SUMIF(Main!A:A,Table135[[#This Row],[Region]],Main!V:V)),1)</f>
        <v>0.52</v>
      </c>
      <c r="I10" s="71" t="e">
        <f>RANK(Table135[[#This Row],[SAIDI]],Table135[SAIDI],1)</f>
        <v>#VALUE!</v>
      </c>
      <c r="J10" s="71" t="e">
        <f>RANK(Table135[[#This Row],[ASAI]],Table135[ASAI],0)</f>
        <v>#VALUE!</v>
      </c>
      <c r="K10" s="72">
        <f>RANK(Table135[[#This Row],[ASIFI]],Table135[ASIFI],1)</f>
        <v>5</v>
      </c>
      <c r="L10" s="71">
        <f>RANK(Table135[[#This Row],[Fault Clearance Index]],H:H,0)</f>
        <v>7</v>
      </c>
      <c r="M10" s="33" t="e">
        <f>SUM(Table135[[#This Row],[Ranking SAIDI]:[Ranking FCI]])</f>
        <v>#VALUE!</v>
      </c>
      <c r="N10" s="25" t="e">
        <f>RANK(Table135[[#This Row],[Total Points]],Table135[Total Points],1)</f>
        <v>#VALUE!</v>
      </c>
    </row>
    <row r="11" spans="1:14" x14ac:dyDescent="0.35">
      <c r="A11" s="185" t="s">
        <v>448</v>
      </c>
      <c r="B11" s="187">
        <f>SUMIF(Main!A:A,'Ranking Region'!A11,Main!F:F)</f>
        <v>91</v>
      </c>
      <c r="C11" s="187">
        <f>SUMIF(Main!A:A,'Ranking Region'!A11,Main!V:V)</f>
        <v>89</v>
      </c>
      <c r="D11" s="192">
        <f>SUMIF(Main!A:A,'Ranking Region'!A11,Main!R:R)</f>
        <v>6422724.2576388884</v>
      </c>
      <c r="E11" s="36">
        <f>SUMIF(Main!A:A,Table135[[#This Row],[Region]],Main!AH:AH)/SUMIF('Supply Hours'!A:A,Table135[[#This Row],[Region]],'Supply Hours'!I:I)</f>
        <v>0.11301380725461385</v>
      </c>
      <c r="F11" s="75">
        <f>SUMIF('Supply Hours'!A:A,Table135[[#This Row],[Region]],'Supply Hours'!I:I)/(COUNTIF('Supply Hours'!A:A,Table135[[#This Row],[Region]])*Main!Q$199)</f>
        <v>-8919.450357831789</v>
      </c>
      <c r="G11" s="193">
        <f>SUMIFS(Main!AI:AI,Main!A:A,Table135[[#This Row],[Region]])/SUMIFS('Supply Hours'!J:J,'Supply Hours'!A:A,Table135[[#This Row],[Region]])</f>
        <v>1.0702669436360872</v>
      </c>
      <c r="H11" s="36">
        <f>IF((SUMIF(Main!A:A,Table135[[#This Row],[Region]],Main!V:V))&gt;0,SUMIF(Main!A:A,Table135[[#This Row],[Region]],Main!AC:AC)/(SUMIF(Main!A:A,Table135[[#This Row],[Region]],Main!V:V)),1)</f>
        <v>0.5842696629213483</v>
      </c>
      <c r="I11" s="71" t="e">
        <f>RANK(Table135[[#This Row],[SAIDI]],Table135[SAIDI],1)</f>
        <v>#VALUE!</v>
      </c>
      <c r="J11" s="71" t="e">
        <f>RANK(Table135[[#This Row],[ASAI]],Table135[ASAI],0)</f>
        <v>#VALUE!</v>
      </c>
      <c r="K11" s="72">
        <f>RANK(Table135[[#This Row],[ASIFI]],Table135[ASIFI],1)</f>
        <v>7</v>
      </c>
      <c r="L11" s="71">
        <f>RANK(Table135[[#This Row],[Fault Clearance Index]],H:H,0)</f>
        <v>4</v>
      </c>
      <c r="M11" s="33" t="e">
        <f>SUM(Table135[[#This Row],[Ranking SAIDI]:[Ranking FCI]])</f>
        <v>#VALUE!</v>
      </c>
      <c r="N11" s="25" t="e">
        <f>RANK(Table135[[#This Row],[Total Points]],Table135[Total Points],1)</f>
        <v>#VALUE!</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91"/>
  <sheetViews>
    <sheetView zoomScale="70" zoomScaleNormal="70" workbookViewId="0">
      <selection activeCell="A2" sqref="A2:J53"/>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25</v>
      </c>
      <c r="B2" s="12" t="s">
        <v>150</v>
      </c>
      <c r="C2" s="13"/>
      <c r="D2" s="13"/>
      <c r="E2" s="13">
        <v>44779.020833333336</v>
      </c>
      <c r="F2" s="12">
        <v>2.1</v>
      </c>
      <c r="G2" s="12" t="s">
        <v>164</v>
      </c>
      <c r="H2" s="27" t="s">
        <v>752</v>
      </c>
      <c r="I2" s="27" t="s">
        <v>334</v>
      </c>
      <c r="J2" s="13">
        <v>44779.305555555555</v>
      </c>
      <c r="K2" s="32"/>
      <c r="L2" s="14">
        <f t="shared" ref="L2:L66" si="0">J2-E2</f>
        <v>0.28472222221898846</v>
      </c>
      <c r="M2" s="31">
        <f t="shared" ref="M2:M18" si="1">L2*F2</f>
        <v>0.59791666665987575</v>
      </c>
      <c r="N2" s="15" t="str">
        <f>IF(Table2683261[[#This Row],[Fault Type]]="PM",IF(L2&lt;=(D2-C2),"Yes","No"),"")</f>
        <v/>
      </c>
      <c r="O2" s="16" t="str">
        <f t="shared" ref="O2:O66" si="2">IF(N2="No",(L2-(D2-C2)),"")</f>
        <v/>
      </c>
      <c r="P2" s="30"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2" s="17"/>
    </row>
    <row r="3" spans="1:17" ht="15.5" x14ac:dyDescent="0.35">
      <c r="A3" s="4" t="s">
        <v>21</v>
      </c>
      <c r="B3" s="12" t="s">
        <v>150</v>
      </c>
      <c r="C3" s="13"/>
      <c r="D3" s="13"/>
      <c r="E3" s="13">
        <v>44779.027083333334</v>
      </c>
      <c r="F3" s="12">
        <v>9</v>
      </c>
      <c r="G3" s="159" t="s">
        <v>162</v>
      </c>
      <c r="H3" s="27" t="s">
        <v>526</v>
      </c>
      <c r="I3" s="27" t="s">
        <v>526</v>
      </c>
      <c r="J3" s="13">
        <v>44779.03402777778</v>
      </c>
      <c r="K3" s="32"/>
      <c r="L3" s="14">
        <f t="shared" si="0"/>
        <v>6.9444444452528842E-3</v>
      </c>
      <c r="M3" s="31">
        <f t="shared" si="1"/>
        <v>6.2500000007275958E-2</v>
      </c>
      <c r="N3" s="15" t="str">
        <f>IF(Table2683261[[#This Row],[Fault Type]]="PM",IF(L3&lt;=(D3-C3),"Yes","No"),"")</f>
        <v/>
      </c>
      <c r="O3" s="16" t="str">
        <f t="shared" si="2"/>
        <v/>
      </c>
      <c r="P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 s="17"/>
    </row>
    <row r="4" spans="1:17" ht="15.5" x14ac:dyDescent="0.35">
      <c r="A4" s="4" t="s">
        <v>21</v>
      </c>
      <c r="B4" s="12" t="s">
        <v>150</v>
      </c>
      <c r="C4" s="13"/>
      <c r="D4" s="13"/>
      <c r="E4" s="13">
        <v>44779.03402777778</v>
      </c>
      <c r="F4" s="12"/>
      <c r="G4" s="159" t="s">
        <v>163</v>
      </c>
      <c r="H4" s="12" t="s">
        <v>753</v>
      </c>
      <c r="I4" s="12" t="s">
        <v>334</v>
      </c>
      <c r="J4" s="13">
        <v>44779.28402777778</v>
      </c>
      <c r="K4" s="32"/>
      <c r="L4" s="14">
        <f t="shared" si="0"/>
        <v>0.25</v>
      </c>
      <c r="M4" s="31">
        <f t="shared" si="1"/>
        <v>0</v>
      </c>
      <c r="N4" s="15" t="str">
        <f>IF(Table2683261[[#This Row],[Fault Type]]="PM",IF(L4&lt;=(D4-C4),"Yes","No"),"")</f>
        <v/>
      </c>
      <c r="O4" s="16" t="str">
        <f t="shared" si="2"/>
        <v/>
      </c>
      <c r="P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 s="17"/>
    </row>
    <row r="5" spans="1:17" ht="15.5" x14ac:dyDescent="0.35">
      <c r="A5" s="4" t="s">
        <v>57</v>
      </c>
      <c r="B5" s="12" t="s">
        <v>150</v>
      </c>
      <c r="C5" s="13"/>
      <c r="D5" s="13"/>
      <c r="E5" s="13">
        <v>44779.024305555555</v>
      </c>
      <c r="F5" s="12">
        <v>1.8</v>
      </c>
      <c r="G5" s="159" t="s">
        <v>164</v>
      </c>
      <c r="H5" s="12"/>
      <c r="I5" s="12"/>
      <c r="J5" s="13"/>
      <c r="K5" s="32"/>
      <c r="L5" s="14">
        <f t="shared" si="0"/>
        <v>-44779.024305555555</v>
      </c>
      <c r="M5" s="31">
        <f t="shared" si="1"/>
        <v>-80602.243749999994</v>
      </c>
      <c r="N5" s="15" t="str">
        <f>IF(Table2683261[[#This Row],[Fault Type]]="PM",IF(L5&lt;=(D5-C5),"Yes","No"),"")</f>
        <v/>
      </c>
      <c r="O5" s="16" t="str">
        <f t="shared" si="2"/>
        <v/>
      </c>
      <c r="P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5" s="17"/>
    </row>
    <row r="6" spans="1:17" ht="15.5" x14ac:dyDescent="0.35">
      <c r="A6" s="4" t="s">
        <v>44</v>
      </c>
      <c r="B6" s="12" t="s">
        <v>150</v>
      </c>
      <c r="C6" s="13"/>
      <c r="D6" s="13"/>
      <c r="E6" s="13">
        <v>44779.059027777781</v>
      </c>
      <c r="F6" s="12">
        <v>2.4</v>
      </c>
      <c r="G6" s="159" t="s">
        <v>162</v>
      </c>
      <c r="H6" s="12" t="s">
        <v>526</v>
      </c>
      <c r="I6" s="12" t="s">
        <v>333</v>
      </c>
      <c r="J6" s="13">
        <v>44779.065972222219</v>
      </c>
      <c r="K6" s="32"/>
      <c r="L6" s="14">
        <f t="shared" si="0"/>
        <v>6.9444444379769266E-3</v>
      </c>
      <c r="M6" s="31">
        <f t="shared" si="1"/>
        <v>1.6666666651144624E-2</v>
      </c>
      <c r="N6" s="15" t="str">
        <f>IF(Table2683261[[#This Row],[Fault Type]]="PM",IF(L6&lt;=(D6-C6),"Yes","No"),"")</f>
        <v/>
      </c>
      <c r="O6" s="16" t="str">
        <f t="shared" si="2"/>
        <v/>
      </c>
      <c r="P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6" s="17"/>
    </row>
    <row r="7" spans="1:17" ht="15.5" x14ac:dyDescent="0.35">
      <c r="A7" s="4" t="s">
        <v>27</v>
      </c>
      <c r="B7" s="12" t="s">
        <v>150</v>
      </c>
      <c r="C7" s="13"/>
      <c r="D7" s="13"/>
      <c r="E7" s="13">
        <v>44779.069444444445</v>
      </c>
      <c r="F7" s="12">
        <v>3</v>
      </c>
      <c r="G7" s="159" t="s">
        <v>163</v>
      </c>
      <c r="H7" s="18" t="s">
        <v>754</v>
      </c>
      <c r="I7" s="12" t="s">
        <v>334</v>
      </c>
      <c r="J7" s="13">
        <v>44779.347222222219</v>
      </c>
      <c r="K7" s="80"/>
      <c r="L7" s="14">
        <f t="shared" si="0"/>
        <v>0.27777777777373558</v>
      </c>
      <c r="M7" s="31">
        <f t="shared" si="1"/>
        <v>0.83333333332120674</v>
      </c>
      <c r="N7" s="15" t="str">
        <f>IF(Table2683261[[#This Row],[Fault Type]]="PM",IF(L7&lt;=(D7-C7),"Yes","No"),"")</f>
        <v/>
      </c>
      <c r="O7" s="16" t="str">
        <f t="shared" si="2"/>
        <v/>
      </c>
      <c r="P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7" s="17"/>
    </row>
    <row r="8" spans="1:17" ht="15.5" x14ac:dyDescent="0.35">
      <c r="A8" s="4" t="s">
        <v>308</v>
      </c>
      <c r="B8" s="12" t="s">
        <v>150</v>
      </c>
      <c r="C8" s="13"/>
      <c r="D8" s="13"/>
      <c r="E8" s="13">
        <v>44779.0625</v>
      </c>
      <c r="F8" s="12">
        <v>0.7</v>
      </c>
      <c r="G8" s="159" t="s">
        <v>164</v>
      </c>
      <c r="H8" s="12" t="s">
        <v>755</v>
      </c>
      <c r="I8" s="12" t="s">
        <v>334</v>
      </c>
      <c r="J8" s="13">
        <v>44720.40347222222</v>
      </c>
      <c r="K8" s="32"/>
      <c r="L8" s="14">
        <f t="shared" si="0"/>
        <v>-58.659027777779556</v>
      </c>
      <c r="M8" s="31">
        <f t="shared" si="1"/>
        <v>-41.061319444445687</v>
      </c>
      <c r="N8" s="15" t="str">
        <f>IF(Table2683261[[#This Row],[Fault Type]]="PM",IF(L8&lt;=(D8-C8),"Yes","No"),"")</f>
        <v/>
      </c>
      <c r="O8" s="16" t="str">
        <f t="shared" si="2"/>
        <v/>
      </c>
      <c r="P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8" s="17"/>
    </row>
    <row r="9" spans="1:17" ht="15.5" x14ac:dyDescent="0.35">
      <c r="A9" s="4" t="s">
        <v>44</v>
      </c>
      <c r="B9" s="12" t="s">
        <v>150</v>
      </c>
      <c r="C9" s="13"/>
      <c r="D9" s="13"/>
      <c r="E9" s="13">
        <v>44779.079861111109</v>
      </c>
      <c r="F9" s="12">
        <v>2.2000000000000002</v>
      </c>
      <c r="G9" s="159" t="s">
        <v>163</v>
      </c>
      <c r="H9" s="12" t="s">
        <v>756</v>
      </c>
      <c r="I9" s="12" t="s">
        <v>334</v>
      </c>
      <c r="J9" s="13">
        <v>44779.355555555558</v>
      </c>
      <c r="K9" s="32"/>
      <c r="L9" s="14">
        <f t="shared" si="0"/>
        <v>0.27569444444816327</v>
      </c>
      <c r="M9" s="31">
        <f t="shared" si="1"/>
        <v>0.60652777778595923</v>
      </c>
      <c r="N9" s="15" t="str">
        <f>IF(Table2683261[[#This Row],[Fault Type]]="PM",IF(L9&lt;=(D9-C9),"Yes","No"),"")</f>
        <v/>
      </c>
      <c r="O9" s="16" t="str">
        <f t="shared" si="2"/>
        <v/>
      </c>
      <c r="P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9" s="17"/>
    </row>
    <row r="10" spans="1:17" ht="15.5" x14ac:dyDescent="0.35">
      <c r="A10" s="4" t="s">
        <v>546</v>
      </c>
      <c r="B10" s="12" t="s">
        <v>150</v>
      </c>
      <c r="C10" s="13"/>
      <c r="D10" s="13"/>
      <c r="E10" s="13">
        <v>44779.12777777778</v>
      </c>
      <c r="F10" s="12">
        <v>2.6</v>
      </c>
      <c r="G10" s="159" t="s">
        <v>162</v>
      </c>
      <c r="H10" s="12" t="s">
        <v>526</v>
      </c>
      <c r="I10" s="12" t="s">
        <v>526</v>
      </c>
      <c r="J10" s="13">
        <v>44779.134722222225</v>
      </c>
      <c r="K10" s="32"/>
      <c r="L10" s="14">
        <f t="shared" si="0"/>
        <v>6.9444444452528842E-3</v>
      </c>
      <c r="M10" s="31">
        <f t="shared" si="1"/>
        <v>1.8055555557657501E-2</v>
      </c>
      <c r="N10" s="15" t="str">
        <f>IF(Table2683261[[#This Row],[Fault Type]]="PM",IF(L10&lt;=(D10-C10),"Yes","No"),"")</f>
        <v/>
      </c>
      <c r="O10" s="16" t="str">
        <f t="shared" si="2"/>
        <v/>
      </c>
      <c r="P10" s="166" t="e">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#N/A</v>
      </c>
      <c r="Q10" s="17"/>
    </row>
    <row r="11" spans="1:17" ht="15.5" x14ac:dyDescent="0.35">
      <c r="A11" s="4" t="s">
        <v>442</v>
      </c>
      <c r="B11" s="12" t="s">
        <v>150</v>
      </c>
      <c r="C11" s="13"/>
      <c r="D11" s="13"/>
      <c r="E11" s="13">
        <v>44779.191666666666</v>
      </c>
      <c r="F11" s="12">
        <v>1.2</v>
      </c>
      <c r="G11" s="159" t="s">
        <v>164</v>
      </c>
      <c r="H11" s="12" t="s">
        <v>757</v>
      </c>
      <c r="I11" s="12" t="s">
        <v>334</v>
      </c>
      <c r="J11" s="13">
        <v>44720.413194444445</v>
      </c>
      <c r="K11" s="32"/>
      <c r="L11" s="14">
        <f t="shared" si="0"/>
        <v>-58.778472222220444</v>
      </c>
      <c r="M11" s="31">
        <f t="shared" si="1"/>
        <v>-70.534166666664532</v>
      </c>
      <c r="N11" s="15" t="str">
        <f>IF(Table2683261[[#This Row],[Fault Type]]="PM",IF(L11&lt;=(D11-C11),"Yes","No"),"")</f>
        <v/>
      </c>
      <c r="O11" s="16" t="str">
        <f t="shared" si="2"/>
        <v/>
      </c>
      <c r="P1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11" s="17"/>
    </row>
    <row r="12" spans="1:17" ht="15.5" x14ac:dyDescent="0.35">
      <c r="A12" s="4" t="s">
        <v>48</v>
      </c>
      <c r="B12" s="12" t="s">
        <v>150</v>
      </c>
      <c r="C12" s="13"/>
      <c r="D12" s="13"/>
      <c r="E12" s="13">
        <v>44779.318749999999</v>
      </c>
      <c r="F12" s="12">
        <v>0.9</v>
      </c>
      <c r="G12" s="159" t="s">
        <v>164</v>
      </c>
      <c r="H12" s="12" t="s">
        <v>758</v>
      </c>
      <c r="I12" s="12" t="s">
        <v>334</v>
      </c>
      <c r="J12" s="13">
        <v>44720.390972222223</v>
      </c>
      <c r="K12" s="32"/>
      <c r="L12" s="14">
        <f t="shared" si="0"/>
        <v>-58.927777777775191</v>
      </c>
      <c r="M12" s="31">
        <f t="shared" si="1"/>
        <v>-53.034999999997673</v>
      </c>
      <c r="N12" s="15" t="str">
        <f>IF(Table2683261[[#This Row],[Fault Type]]="PM",IF(L12&lt;=(D12-C12),"Yes","No"),"")</f>
        <v/>
      </c>
      <c r="O12" s="16" t="str">
        <f t="shared" si="2"/>
        <v/>
      </c>
      <c r="P1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12" s="17"/>
    </row>
    <row r="13" spans="1:17" ht="15.5" x14ac:dyDescent="0.35">
      <c r="A13" s="4" t="s">
        <v>31</v>
      </c>
      <c r="B13" s="12" t="s">
        <v>150</v>
      </c>
      <c r="C13" s="13"/>
      <c r="D13" s="13"/>
      <c r="E13" s="13">
        <v>44779.369444444441</v>
      </c>
      <c r="F13" s="12">
        <v>6</v>
      </c>
      <c r="G13" s="159" t="s">
        <v>163</v>
      </c>
      <c r="H13" s="12" t="s">
        <v>759</v>
      </c>
      <c r="I13" s="12" t="s">
        <v>334</v>
      </c>
      <c r="J13" s="133">
        <v>44720.549305555556</v>
      </c>
      <c r="K13" s="32"/>
      <c r="L13" s="14">
        <f t="shared" si="0"/>
        <v>-58.820138888884685</v>
      </c>
      <c r="M13" s="31">
        <f t="shared" si="1"/>
        <v>-352.92083333330811</v>
      </c>
      <c r="N13" s="15" t="str">
        <f>IF(Table2683261[[#This Row],[Fault Type]]="PM",IF(L13&lt;=(D13-C13),"Yes","No"),"")</f>
        <v/>
      </c>
      <c r="O13" s="16" t="str">
        <f t="shared" si="2"/>
        <v/>
      </c>
      <c r="P1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13" s="17"/>
    </row>
    <row r="14" spans="1:17" ht="15.5" x14ac:dyDescent="0.35">
      <c r="A14" s="4" t="s">
        <v>134</v>
      </c>
      <c r="B14" s="12" t="s">
        <v>150</v>
      </c>
      <c r="C14" s="13"/>
      <c r="D14" s="13"/>
      <c r="E14" s="13">
        <v>44720.393055555556</v>
      </c>
      <c r="F14" s="12">
        <v>2.2999999999999998</v>
      </c>
      <c r="G14" s="159" t="s">
        <v>163</v>
      </c>
      <c r="H14" s="12" t="s">
        <v>760</v>
      </c>
      <c r="I14" s="12" t="s">
        <v>334</v>
      </c>
      <c r="J14" s="13">
        <v>44720.482638888891</v>
      </c>
      <c r="K14" s="32"/>
      <c r="L14" s="14">
        <f t="shared" si="0"/>
        <v>8.9583333334303461E-2</v>
      </c>
      <c r="M14" s="31">
        <f t="shared" si="1"/>
        <v>0.20604166666889795</v>
      </c>
      <c r="N14" s="15" t="str">
        <f>IF(Table2683261[[#This Row],[Fault Type]]="PM",IF(L14&lt;=(D14-C14),"Yes","No"),"")</f>
        <v/>
      </c>
      <c r="O14" s="16" t="str">
        <f t="shared" si="2"/>
        <v/>
      </c>
      <c r="P1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14" s="17"/>
    </row>
    <row r="15" spans="1:17" ht="15.5" x14ac:dyDescent="0.35">
      <c r="A15" s="4" t="s">
        <v>32</v>
      </c>
      <c r="B15" s="12" t="s">
        <v>150</v>
      </c>
      <c r="C15" s="13"/>
      <c r="D15" s="13"/>
      <c r="E15" s="13">
        <v>44720.40625</v>
      </c>
      <c r="F15" s="12"/>
      <c r="G15" s="159" t="s">
        <v>163</v>
      </c>
      <c r="H15" s="12" t="s">
        <v>761</v>
      </c>
      <c r="I15" s="12" t="s">
        <v>334</v>
      </c>
      <c r="J15" s="13">
        <v>44720.484722222223</v>
      </c>
      <c r="K15" s="32"/>
      <c r="L15" s="14">
        <f t="shared" si="0"/>
        <v>7.8472222223354038E-2</v>
      </c>
      <c r="M15" s="31">
        <f t="shared" si="1"/>
        <v>0</v>
      </c>
      <c r="N15" s="15" t="str">
        <f>IF(Table2683261[[#This Row],[Fault Type]]="PM",IF(L15&lt;=(D15-C15),"Yes","No"),"")</f>
        <v/>
      </c>
      <c r="O15" s="16" t="str">
        <f t="shared" si="2"/>
        <v/>
      </c>
      <c r="P1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15" s="17"/>
    </row>
    <row r="16" spans="1:17" ht="15.5" x14ac:dyDescent="0.35">
      <c r="A16" s="4" t="s">
        <v>28</v>
      </c>
      <c r="B16" s="12" t="s">
        <v>156</v>
      </c>
      <c r="C16" s="13">
        <v>44720.416666666664</v>
      </c>
      <c r="D16" s="13">
        <v>44720.625</v>
      </c>
      <c r="E16" s="13">
        <v>44720.421527777777</v>
      </c>
      <c r="F16" s="18">
        <v>6.5</v>
      </c>
      <c r="G16" s="159"/>
      <c r="H16" s="18" t="s">
        <v>762</v>
      </c>
      <c r="I16" s="12"/>
      <c r="J16" s="13">
        <v>44720.629166666666</v>
      </c>
      <c r="K16" s="32"/>
      <c r="L16" s="14">
        <f t="shared" si="0"/>
        <v>0.20763888888905058</v>
      </c>
      <c r="M16" s="31">
        <f t="shared" si="1"/>
        <v>1.3496527777788287</v>
      </c>
      <c r="N16" s="15" t="str">
        <f>IF(Table2683261[[#This Row],[Fault Type]]="PM",IF(L16&lt;=(D16-C16),"Yes","No"),"")</f>
        <v>Yes</v>
      </c>
      <c r="O16" s="16" t="str">
        <f t="shared" si="2"/>
        <v/>
      </c>
      <c r="P1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16" s="17"/>
    </row>
    <row r="17" spans="1:17" ht="15.5" x14ac:dyDescent="0.35">
      <c r="A17" s="4" t="s">
        <v>86</v>
      </c>
      <c r="B17" s="12" t="s">
        <v>156</v>
      </c>
      <c r="C17" s="13">
        <v>44720.416666666664</v>
      </c>
      <c r="D17" s="13">
        <v>44720.541666666664</v>
      </c>
      <c r="E17" s="13">
        <v>44720.422222222223</v>
      </c>
      <c r="F17" s="12"/>
      <c r="G17" s="159"/>
      <c r="H17" s="12" t="s">
        <v>763</v>
      </c>
      <c r="I17" s="18"/>
      <c r="J17" s="13">
        <v>44720.521527777775</v>
      </c>
      <c r="K17" s="32"/>
      <c r="L17" s="14">
        <f t="shared" si="0"/>
        <v>9.9305555551836733E-2</v>
      </c>
      <c r="M17" s="31">
        <f t="shared" si="1"/>
        <v>0</v>
      </c>
      <c r="N17" s="15" t="str">
        <f>IF(Table2683261[[#This Row],[Fault Type]]="PM",IF(L17&lt;=(D17-C17),"Yes","No"),"")</f>
        <v>Yes</v>
      </c>
      <c r="O17" s="16" t="str">
        <f t="shared" si="2"/>
        <v/>
      </c>
      <c r="P1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17" s="17"/>
    </row>
    <row r="18" spans="1:17" ht="15.5" x14ac:dyDescent="0.35">
      <c r="A18" s="4" t="s">
        <v>44</v>
      </c>
      <c r="B18" s="12" t="s">
        <v>150</v>
      </c>
      <c r="C18" s="13"/>
      <c r="D18" s="13"/>
      <c r="E18" s="13">
        <v>44720.410416666666</v>
      </c>
      <c r="F18" s="18">
        <v>2.8</v>
      </c>
      <c r="G18" s="159" t="s">
        <v>164</v>
      </c>
      <c r="H18" s="18" t="s">
        <v>764</v>
      </c>
      <c r="I18" s="18" t="s">
        <v>334</v>
      </c>
      <c r="J18" s="13">
        <v>44720.447916666664</v>
      </c>
      <c r="K18" s="32"/>
      <c r="L18" s="14">
        <f t="shared" si="0"/>
        <v>3.7499999998544808E-2</v>
      </c>
      <c r="M18" s="31">
        <f t="shared" si="1"/>
        <v>0.10499999999592546</v>
      </c>
      <c r="N18" s="15" t="str">
        <f>IF(Table2683261[[#This Row],[Fault Type]]="PM",IF(L18&lt;=(D18-C18),"Yes","No"),"")</f>
        <v/>
      </c>
      <c r="O18" s="16" t="str">
        <f t="shared" si="2"/>
        <v/>
      </c>
      <c r="P1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18" s="17"/>
    </row>
    <row r="19" spans="1:17" ht="15.5" x14ac:dyDescent="0.35">
      <c r="A19" s="4" t="s">
        <v>41</v>
      </c>
      <c r="B19" s="12" t="s">
        <v>156</v>
      </c>
      <c r="C19" s="13">
        <v>44720.416666666664</v>
      </c>
      <c r="D19" s="13">
        <v>44720.4375</v>
      </c>
      <c r="E19" s="13">
        <v>44720.422222222223</v>
      </c>
      <c r="F19" s="18">
        <v>10.9</v>
      </c>
      <c r="G19" s="159"/>
      <c r="H19" s="18" t="s">
        <v>763</v>
      </c>
      <c r="I19" s="54"/>
      <c r="J19" s="13">
        <v>44720.438888888886</v>
      </c>
      <c r="K19" s="32"/>
      <c r="L19" s="14">
        <f t="shared" si="0"/>
        <v>1.6666666662786156E-2</v>
      </c>
      <c r="M19" s="31">
        <f>L19*F19</f>
        <v>0.18166666662436912</v>
      </c>
      <c r="N19" s="15" t="str">
        <f>IF(Table2683261[[#This Row],[Fault Type]]="PM",IF(L19&lt;=(D19-C19),"Yes","No"),"")</f>
        <v>Yes</v>
      </c>
      <c r="O19" s="16" t="str">
        <f t="shared" si="2"/>
        <v/>
      </c>
      <c r="P1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19" s="17"/>
    </row>
    <row r="20" spans="1:17" ht="15.5" x14ac:dyDescent="0.35">
      <c r="A20" s="4" t="s">
        <v>30</v>
      </c>
      <c r="B20" s="12" t="s">
        <v>156</v>
      </c>
      <c r="C20" s="13">
        <v>44720.416666666664</v>
      </c>
      <c r="D20" s="13">
        <v>44720.4375</v>
      </c>
      <c r="E20" s="13">
        <v>44720.427083333336</v>
      </c>
      <c r="F20" s="165">
        <v>5.8</v>
      </c>
      <c r="G20" s="159"/>
      <c r="H20" s="54" t="s">
        <v>765</v>
      </c>
      <c r="I20" s="18"/>
      <c r="J20" s="13">
        <v>44720.450694444444</v>
      </c>
      <c r="K20" s="136"/>
      <c r="L20" s="14">
        <f t="shared" si="0"/>
        <v>2.361111110803904E-2</v>
      </c>
      <c r="M20" s="31">
        <f>L20*F20</f>
        <v>0.13694444442662643</v>
      </c>
      <c r="N20" s="15" t="str">
        <f>IF(Table2683261[[#This Row],[Fault Type]]="PM",IF(L20&lt;=(D20-C20),"Yes","No"),"")</f>
        <v>No</v>
      </c>
      <c r="O20" s="16">
        <f t="shared" si="2"/>
        <v>2.7777777722803876E-3</v>
      </c>
      <c r="P2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0" s="144"/>
    </row>
    <row r="21" spans="1:17" ht="15.5" x14ac:dyDescent="0.35">
      <c r="A21" s="4" t="s">
        <v>66</v>
      </c>
      <c r="B21" s="12" t="s">
        <v>156</v>
      </c>
      <c r="C21" s="13">
        <v>44720.416666666664</v>
      </c>
      <c r="D21" s="13">
        <v>44720.625</v>
      </c>
      <c r="E21" s="13">
        <v>44720.425694444442</v>
      </c>
      <c r="F21" s="165">
        <v>0.7</v>
      </c>
      <c r="G21" s="159"/>
      <c r="H21" s="54" t="s">
        <v>766</v>
      </c>
      <c r="I21" s="18"/>
      <c r="J21" s="133">
        <v>44720.606944444444</v>
      </c>
      <c r="K21" s="142"/>
      <c r="L21" s="14">
        <f t="shared" si="0"/>
        <v>0.18125000000145519</v>
      </c>
      <c r="M21" s="31">
        <f>L21*F21</f>
        <v>0.12687500000101862</v>
      </c>
      <c r="N21" s="15" t="str">
        <f>IF(Table2683261[[#This Row],[Fault Type]]="PM",IF(L21&lt;=(D21-C21),"Yes","No"),"")</f>
        <v>Yes</v>
      </c>
      <c r="O21" s="16" t="str">
        <f t="shared" si="2"/>
        <v/>
      </c>
      <c r="P2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1" s="144"/>
    </row>
    <row r="22" spans="1:17" ht="15.5" x14ac:dyDescent="0.35">
      <c r="A22" s="4" t="s">
        <v>69</v>
      </c>
      <c r="B22" s="12" t="s">
        <v>156</v>
      </c>
      <c r="C22" s="13">
        <v>44720.416666666664</v>
      </c>
      <c r="D22" s="13">
        <v>44720.5</v>
      </c>
      <c r="E22" s="13">
        <v>44720.423611111109</v>
      </c>
      <c r="F22" s="165">
        <v>5.2</v>
      </c>
      <c r="G22" s="159"/>
      <c r="H22" s="54" t="s">
        <v>767</v>
      </c>
      <c r="I22" s="18"/>
      <c r="J22" s="160">
        <v>44720.602777777778</v>
      </c>
      <c r="K22" s="142"/>
      <c r="L22" s="14">
        <f>J22-E22</f>
        <v>0.17916666666860692</v>
      </c>
      <c r="M22" s="31">
        <f>L22*F22</f>
        <v>0.93166666667675602</v>
      </c>
      <c r="N22" s="15" t="str">
        <f>IF(Table2683261[[#This Row],[Fault Type]]="PM",IF(L22&lt;=(D22-C22),"Yes","No"),"")</f>
        <v>No</v>
      </c>
      <c r="O22" s="16">
        <f>IF(N22="No",(L22-(D22-C22)),"")</f>
        <v>9.5833333332848269E-2</v>
      </c>
      <c r="P2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2" s="144"/>
    </row>
    <row r="23" spans="1:17" ht="15.5" x14ac:dyDescent="0.35">
      <c r="A23" s="4" t="s">
        <v>74</v>
      </c>
      <c r="B23" s="12" t="s">
        <v>156</v>
      </c>
      <c r="C23" s="13">
        <v>44720.416666666664</v>
      </c>
      <c r="D23" s="13">
        <v>44720.583333333336</v>
      </c>
      <c r="E23" s="13">
        <v>44720.46875</v>
      </c>
      <c r="F23" s="18"/>
      <c r="G23" s="159"/>
      <c r="H23" s="18" t="s">
        <v>768</v>
      </c>
      <c r="I23" s="18"/>
      <c r="J23" s="13">
        <v>44720.640277777777</v>
      </c>
      <c r="K23" s="136"/>
      <c r="L23" s="14">
        <f t="shared" si="0"/>
        <v>0.17152777777664596</v>
      </c>
      <c r="M23" s="31">
        <f t="shared" ref="M23:M80" si="3">L23*F23</f>
        <v>0</v>
      </c>
      <c r="N23" s="15" t="str">
        <f>IF(Table2683261[[#This Row],[Fault Type]]="PM",IF(L23&lt;=(D23-C23),"Yes","No"),"")</f>
        <v>No</v>
      </c>
      <c r="O23" s="16">
        <f t="shared" si="2"/>
        <v>4.8611111051286571E-3</v>
      </c>
      <c r="P2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3" s="30"/>
    </row>
    <row r="24" spans="1:17" ht="15.5" x14ac:dyDescent="0.35">
      <c r="A24" s="4" t="s">
        <v>60</v>
      </c>
      <c r="B24" s="12" t="s">
        <v>156</v>
      </c>
      <c r="C24" s="13">
        <v>44720.416666666664</v>
      </c>
      <c r="D24" s="13">
        <v>44720.75</v>
      </c>
      <c r="E24" s="13">
        <v>44720.487500000003</v>
      </c>
      <c r="F24" s="18"/>
      <c r="G24" s="159"/>
      <c r="H24" s="18" t="s">
        <v>769</v>
      </c>
      <c r="I24" s="18"/>
      <c r="J24" s="13">
        <v>44720.785416666666</v>
      </c>
      <c r="K24" s="142"/>
      <c r="L24" s="14">
        <f t="shared" si="0"/>
        <v>0.29791666666278616</v>
      </c>
      <c r="M24" s="31">
        <f t="shared" si="3"/>
        <v>0</v>
      </c>
      <c r="N24" s="15" t="str">
        <f>IF(Table2683261[[#This Row],[Fault Type]]="PM",IF(L24&lt;=(D24-C24),"Yes","No"),"")</f>
        <v>Yes</v>
      </c>
      <c r="O24" s="16" t="str">
        <f t="shared" si="2"/>
        <v/>
      </c>
      <c r="P2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4" s="144"/>
    </row>
    <row r="25" spans="1:17" ht="15.5" x14ac:dyDescent="0.35">
      <c r="A25" s="4" t="s">
        <v>626</v>
      </c>
      <c r="B25" s="12" t="s">
        <v>150</v>
      </c>
      <c r="C25" s="13"/>
      <c r="D25" s="13"/>
      <c r="E25" s="13">
        <v>44720.447916666664</v>
      </c>
      <c r="F25" s="18">
        <v>0.1</v>
      </c>
      <c r="G25" s="159" t="s">
        <v>164</v>
      </c>
      <c r="H25" s="18" t="s">
        <v>770</v>
      </c>
      <c r="I25" s="18" t="s">
        <v>334</v>
      </c>
      <c r="J25" s="13">
        <v>44720.573611111111</v>
      </c>
      <c r="K25" s="32"/>
      <c r="L25" s="14">
        <f t="shared" si="0"/>
        <v>0.12569444444670808</v>
      </c>
      <c r="M25" s="31">
        <f t="shared" si="3"/>
        <v>1.2569444444670808E-2</v>
      </c>
      <c r="N25" s="15" t="str">
        <f>IF(Table2683261[[#This Row],[Fault Type]]="PM",IF(L25&lt;=(D25-C25),"Yes","No"),"")</f>
        <v/>
      </c>
      <c r="O25" s="16" t="str">
        <f t="shared" si="2"/>
        <v/>
      </c>
      <c r="P25" s="166" t="e">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#N/A</v>
      </c>
      <c r="Q25" s="144"/>
    </row>
    <row r="26" spans="1:17" ht="15.5" x14ac:dyDescent="0.35">
      <c r="A26" s="4" t="s">
        <v>62</v>
      </c>
      <c r="B26" s="12" t="s">
        <v>150</v>
      </c>
      <c r="C26" s="13"/>
      <c r="D26" s="13"/>
      <c r="E26" s="13">
        <v>44720.463888888888</v>
      </c>
      <c r="F26" s="18">
        <v>3</v>
      </c>
      <c r="G26" s="159" t="s">
        <v>164</v>
      </c>
      <c r="H26" s="18" t="s">
        <v>771</v>
      </c>
      <c r="I26" s="12" t="s">
        <v>334</v>
      </c>
      <c r="J26" s="13">
        <v>44780.487500000003</v>
      </c>
      <c r="K26" s="32"/>
      <c r="L26" s="14">
        <f t="shared" si="0"/>
        <v>60.023611111115315</v>
      </c>
      <c r="M26" s="31">
        <f t="shared" si="3"/>
        <v>180.07083333334594</v>
      </c>
      <c r="N26" s="15" t="str">
        <f>IF(Table2683261[[#This Row],[Fault Type]]="PM",IF(L26&lt;=(D26-C26),"Yes","No"),"")</f>
        <v/>
      </c>
      <c r="O26" s="16" t="str">
        <f t="shared" si="2"/>
        <v/>
      </c>
      <c r="P2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26" s="144"/>
    </row>
    <row r="27" spans="1:17" ht="15.5" x14ac:dyDescent="0.35">
      <c r="A27" s="4" t="s">
        <v>93</v>
      </c>
      <c r="B27" s="12" t="s">
        <v>156</v>
      </c>
      <c r="C27" s="13">
        <v>44720.416666666664</v>
      </c>
      <c r="D27" s="13">
        <v>44720.583333333336</v>
      </c>
      <c r="E27" s="13">
        <v>44720.416666666664</v>
      </c>
      <c r="F27" s="18">
        <v>2.4</v>
      </c>
      <c r="G27" s="159"/>
      <c r="H27" s="18" t="s">
        <v>772</v>
      </c>
      <c r="I27" s="18"/>
      <c r="J27" s="13">
        <v>44720.548611111109</v>
      </c>
      <c r="K27" s="32"/>
      <c r="L27" s="14">
        <f t="shared" si="0"/>
        <v>0.13194444444525288</v>
      </c>
      <c r="M27" s="31">
        <f t="shared" si="3"/>
        <v>0.31666666666860693</v>
      </c>
      <c r="N27" s="15" t="str">
        <f>IF(Table2683261[[#This Row],[Fault Type]]="PM",IF(L27&lt;=(D27-C27),"Yes","No"),"")</f>
        <v>Yes</v>
      </c>
      <c r="O27" s="16" t="str">
        <f t="shared" si="2"/>
        <v/>
      </c>
      <c r="P2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27" s="144"/>
    </row>
    <row r="28" spans="1:17" ht="15.5" x14ac:dyDescent="0.35">
      <c r="A28" s="4" t="s">
        <v>773</v>
      </c>
      <c r="B28" s="12" t="s">
        <v>150</v>
      </c>
      <c r="C28" s="13"/>
      <c r="D28" s="13"/>
      <c r="E28" s="13">
        <v>44720.461805555555</v>
      </c>
      <c r="F28" s="18">
        <v>0.8</v>
      </c>
      <c r="G28" s="159" t="s">
        <v>164</v>
      </c>
      <c r="H28" s="18" t="s">
        <v>774</v>
      </c>
      <c r="I28" s="18" t="s">
        <v>334</v>
      </c>
      <c r="J28" s="13">
        <v>44720.681944444441</v>
      </c>
      <c r="K28" s="32"/>
      <c r="L28" s="14">
        <f t="shared" si="0"/>
        <v>0.22013888888614019</v>
      </c>
      <c r="M28" s="31">
        <f t="shared" si="3"/>
        <v>0.17611111110891217</v>
      </c>
      <c r="N28" s="15" t="str">
        <f>IF(Table2683261[[#This Row],[Fault Type]]="PM",IF(L28&lt;=(D28-C28),"Yes","No"),"")</f>
        <v/>
      </c>
      <c r="O28" s="16" t="str">
        <f t="shared" si="2"/>
        <v/>
      </c>
      <c r="P28" s="166" t="e">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#N/A</v>
      </c>
      <c r="Q28" s="144"/>
    </row>
    <row r="29" spans="1:17" ht="15.5" x14ac:dyDescent="0.35">
      <c r="A29" s="4" t="s">
        <v>49</v>
      </c>
      <c r="B29" s="12" t="s">
        <v>150</v>
      </c>
      <c r="C29" s="13"/>
      <c r="D29" s="13"/>
      <c r="E29" s="13">
        <v>44720.470833333333</v>
      </c>
      <c r="F29" s="12">
        <v>2.5</v>
      </c>
      <c r="G29" s="159" t="s">
        <v>164</v>
      </c>
      <c r="H29" s="12" t="s">
        <v>775</v>
      </c>
      <c r="I29" s="12" t="s">
        <v>334</v>
      </c>
      <c r="J29" s="13">
        <v>44720.063194444447</v>
      </c>
      <c r="K29" s="32"/>
      <c r="L29" s="14">
        <f t="shared" si="0"/>
        <v>-0.40763888888614019</v>
      </c>
      <c r="M29" s="31">
        <f t="shared" si="3"/>
        <v>-1.0190972222153505</v>
      </c>
      <c r="N29" s="15" t="str">
        <f>IF(Table2683261[[#This Row],[Fault Type]]="PM",IF(L29&lt;=(D29-C29),"Yes","No"),"")</f>
        <v/>
      </c>
      <c r="O29" s="16" t="str">
        <f t="shared" si="2"/>
        <v/>
      </c>
      <c r="P2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29" s="144"/>
    </row>
    <row r="30" spans="1:17" ht="15.5" x14ac:dyDescent="0.35">
      <c r="A30" s="4" t="s">
        <v>40</v>
      </c>
      <c r="B30" s="12" t="s">
        <v>150</v>
      </c>
      <c r="C30" s="13"/>
      <c r="D30" s="13"/>
      <c r="E30" s="13">
        <v>44720.504861111112</v>
      </c>
      <c r="F30" s="18">
        <v>11</v>
      </c>
      <c r="G30" s="159" t="s">
        <v>164</v>
      </c>
      <c r="H30" s="18" t="s">
        <v>776</v>
      </c>
      <c r="I30" s="18" t="s">
        <v>333</v>
      </c>
      <c r="J30" s="13">
        <v>44720.563194444447</v>
      </c>
      <c r="K30" s="32"/>
      <c r="L30" s="14">
        <f t="shared" si="0"/>
        <v>5.8333333334303461E-2</v>
      </c>
      <c r="M30" s="31">
        <f t="shared" si="3"/>
        <v>0.64166666667733807</v>
      </c>
      <c r="N30" s="15" t="str">
        <f>IF(Table2683261[[#This Row],[Fault Type]]="PM",IF(L30&lt;=(D30-C30),"Yes","No"),"")</f>
        <v/>
      </c>
      <c r="O30" s="16" t="str">
        <f t="shared" si="2"/>
        <v/>
      </c>
      <c r="P3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0" s="144"/>
    </row>
    <row r="31" spans="1:17" ht="15.5" x14ac:dyDescent="0.35">
      <c r="A31" s="4" t="s">
        <v>56</v>
      </c>
      <c r="B31" s="12" t="s">
        <v>150</v>
      </c>
      <c r="C31" s="13"/>
      <c r="D31" s="13"/>
      <c r="E31" s="13">
        <v>44720.522916666669</v>
      </c>
      <c r="F31" s="18">
        <v>4.5</v>
      </c>
      <c r="G31" s="159" t="s">
        <v>164</v>
      </c>
      <c r="H31" s="18" t="s">
        <v>777</v>
      </c>
      <c r="I31" s="18" t="s">
        <v>333</v>
      </c>
      <c r="J31" s="13">
        <v>44720.59375</v>
      </c>
      <c r="K31" s="32"/>
      <c r="L31" s="14">
        <f>J31-E31</f>
        <v>7.0833333331393078E-2</v>
      </c>
      <c r="M31" s="31">
        <f>L31*F31</f>
        <v>0.31874999999126885</v>
      </c>
      <c r="N31" s="15" t="str">
        <f>IF(Table2683261[[#This Row],[Fault Type]]="PM",IF(L31&lt;=(D31-C31),"Yes","No"),"")</f>
        <v/>
      </c>
      <c r="O31" s="16" t="str">
        <f>IF(N31="No",(L31-(D31-C31)),"")</f>
        <v/>
      </c>
      <c r="P3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1" s="144"/>
    </row>
    <row r="32" spans="1:17" ht="15.5" x14ac:dyDescent="0.35">
      <c r="A32" s="4" t="s">
        <v>370</v>
      </c>
      <c r="B32" s="12" t="s">
        <v>150</v>
      </c>
      <c r="C32" s="13"/>
      <c r="D32" s="13"/>
      <c r="E32" s="13">
        <v>44720.539583333331</v>
      </c>
      <c r="F32" s="18">
        <v>1</v>
      </c>
      <c r="G32" s="159" t="s">
        <v>164</v>
      </c>
      <c r="H32" s="18" t="s">
        <v>778</v>
      </c>
      <c r="I32" s="18" t="s">
        <v>333</v>
      </c>
      <c r="J32" s="13">
        <v>44720.602777777778</v>
      </c>
      <c r="K32" s="80"/>
      <c r="L32" s="14">
        <f t="shared" si="0"/>
        <v>6.3194444446708076E-2</v>
      </c>
      <c r="M32" s="31">
        <f t="shared" si="3"/>
        <v>6.3194444446708076E-2</v>
      </c>
      <c r="N32" s="15" t="str">
        <f>IF(Table2683261[[#This Row],[Fault Type]]="PM",IF(L32&lt;=(D32-C32),"Yes","No"),"")</f>
        <v/>
      </c>
      <c r="O32" s="16" t="str">
        <f t="shared" si="2"/>
        <v/>
      </c>
      <c r="P3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2" s="144"/>
    </row>
    <row r="33" spans="1:17" ht="15.5" x14ac:dyDescent="0.35">
      <c r="A33" s="4" t="s">
        <v>44</v>
      </c>
      <c r="B33" s="12" t="s">
        <v>150</v>
      </c>
      <c r="C33" s="13"/>
      <c r="D33" s="13"/>
      <c r="E33" s="13">
        <v>44720.479861111111</v>
      </c>
      <c r="F33" s="18">
        <v>1</v>
      </c>
      <c r="G33" s="159" t="s">
        <v>164</v>
      </c>
      <c r="H33" s="18" t="s">
        <v>779</v>
      </c>
      <c r="I33" s="18" t="s">
        <v>334</v>
      </c>
      <c r="J33" s="13">
        <v>44720.566666666666</v>
      </c>
      <c r="K33" s="32"/>
      <c r="L33" s="14">
        <f t="shared" si="0"/>
        <v>8.6805555554747116E-2</v>
      </c>
      <c r="M33" s="31">
        <f t="shared" si="3"/>
        <v>8.6805555554747116E-2</v>
      </c>
      <c r="N33" s="15" t="str">
        <f>IF(Table2683261[[#This Row],[Fault Type]]="PM",IF(L33&lt;=(D33-C33),"Yes","No"),"")</f>
        <v/>
      </c>
      <c r="O33" s="16" t="str">
        <f t="shared" si="2"/>
        <v/>
      </c>
      <c r="P3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3" s="17"/>
    </row>
    <row r="34" spans="1:17" ht="15.5" x14ac:dyDescent="0.35">
      <c r="A34" s="4" t="s">
        <v>43</v>
      </c>
      <c r="B34" s="12" t="s">
        <v>150</v>
      </c>
      <c r="C34" s="13"/>
      <c r="D34" s="13"/>
      <c r="E34" s="13">
        <v>44720.52847222222</v>
      </c>
      <c r="F34" s="18">
        <v>2.4</v>
      </c>
      <c r="G34" s="159" t="s">
        <v>163</v>
      </c>
      <c r="H34" s="18" t="s">
        <v>703</v>
      </c>
      <c r="I34" s="18" t="s">
        <v>334</v>
      </c>
      <c r="J34" s="13">
        <v>44779.997916666667</v>
      </c>
      <c r="K34" s="80"/>
      <c r="L34" s="14">
        <f t="shared" si="0"/>
        <v>59.469444444446708</v>
      </c>
      <c r="M34" s="31">
        <f t="shared" si="3"/>
        <v>142.72666666667209</v>
      </c>
      <c r="N34" s="15" t="str">
        <f>IF(Table2683261[[#This Row],[Fault Type]]="PM",IF(L34&lt;=(D34-C34),"Yes","No"),"")</f>
        <v/>
      </c>
      <c r="O34" s="16" t="str">
        <f t="shared" si="2"/>
        <v/>
      </c>
      <c r="P3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34" s="17"/>
    </row>
    <row r="35" spans="1:17" ht="15.5" x14ac:dyDescent="0.35">
      <c r="A35" s="4" t="s">
        <v>45</v>
      </c>
      <c r="B35" s="12" t="s">
        <v>150</v>
      </c>
      <c r="C35" s="13"/>
      <c r="D35" s="13"/>
      <c r="E35" s="13">
        <v>44720.52847222222</v>
      </c>
      <c r="F35" s="18">
        <v>3.5</v>
      </c>
      <c r="G35" s="159" t="s">
        <v>164</v>
      </c>
      <c r="H35" s="18" t="s">
        <v>780</v>
      </c>
      <c r="I35" s="18" t="s">
        <v>334</v>
      </c>
      <c r="J35" s="13">
        <v>44780.274305555555</v>
      </c>
      <c r="K35" s="80"/>
      <c r="L35" s="14">
        <f t="shared" si="0"/>
        <v>59.745833333334303</v>
      </c>
      <c r="M35" s="31">
        <f t="shared" si="3"/>
        <v>209.11041666667006</v>
      </c>
      <c r="N35" s="15" t="str">
        <f>IF(Table2683261[[#This Row],[Fault Type]]="PM",IF(L35&lt;=(D35-C35),"Yes","No"),"")</f>
        <v/>
      </c>
      <c r="O35" s="16" t="str">
        <f t="shared" si="2"/>
        <v/>
      </c>
      <c r="P3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35" s="17"/>
    </row>
    <row r="36" spans="1:17" ht="15.5" x14ac:dyDescent="0.35">
      <c r="A36" s="4" t="s">
        <v>27</v>
      </c>
      <c r="B36" s="12" t="s">
        <v>150</v>
      </c>
      <c r="C36" s="13"/>
      <c r="D36" s="13"/>
      <c r="E36" s="13">
        <v>44720.541666666664</v>
      </c>
      <c r="F36" s="18">
        <v>4.9000000000000004</v>
      </c>
      <c r="G36" s="159" t="s">
        <v>164</v>
      </c>
      <c r="H36" s="18" t="s">
        <v>781</v>
      </c>
      <c r="I36" s="18" t="s">
        <v>334</v>
      </c>
      <c r="J36" s="13">
        <v>44720.679861111108</v>
      </c>
      <c r="K36" s="80"/>
      <c r="L36" s="14">
        <f t="shared" si="0"/>
        <v>0.13819444444379769</v>
      </c>
      <c r="M36" s="31">
        <f t="shared" si="3"/>
        <v>0.67715277777460869</v>
      </c>
      <c r="N36" s="15" t="str">
        <f>IF(Table2683261[[#This Row],[Fault Type]]="PM",IF(L36&lt;=(D36-C36),"Yes","No"),"")</f>
        <v/>
      </c>
      <c r="O36" s="16" t="str">
        <f t="shared" si="2"/>
        <v/>
      </c>
      <c r="P3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6" s="17"/>
    </row>
    <row r="37" spans="1:17" ht="15.5" x14ac:dyDescent="0.35">
      <c r="A37" s="4" t="s">
        <v>127</v>
      </c>
      <c r="B37" s="12" t="s">
        <v>150</v>
      </c>
      <c r="C37" s="13"/>
      <c r="D37" s="13"/>
      <c r="E37" s="13">
        <v>44720.663194444445</v>
      </c>
      <c r="F37" s="18">
        <v>0.6</v>
      </c>
      <c r="G37" s="159" t="s">
        <v>164</v>
      </c>
      <c r="H37" s="18" t="s">
        <v>782</v>
      </c>
      <c r="I37" s="18" t="s">
        <v>333</v>
      </c>
      <c r="J37" s="13">
        <v>44750.774305555555</v>
      </c>
      <c r="K37" s="32"/>
      <c r="L37" s="14">
        <f t="shared" si="0"/>
        <v>30.111111111109494</v>
      </c>
      <c r="M37" s="31">
        <f t="shared" si="3"/>
        <v>18.066666666665697</v>
      </c>
      <c r="N37" s="15" t="str">
        <f>IF(Table2683261[[#This Row],[Fault Type]]="PM",IF(L37&lt;=(D37-C37),"Yes","No"),"")</f>
        <v/>
      </c>
      <c r="O37" s="16" t="str">
        <f t="shared" si="2"/>
        <v/>
      </c>
      <c r="P3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37" s="17"/>
    </row>
    <row r="38" spans="1:17" ht="15.5" x14ac:dyDescent="0.35">
      <c r="A38" s="4" t="s">
        <v>21</v>
      </c>
      <c r="B38" s="12" t="s">
        <v>150</v>
      </c>
      <c r="C38" s="13"/>
      <c r="D38" s="13"/>
      <c r="E38" s="13">
        <v>44720.595833333333</v>
      </c>
      <c r="F38" s="18">
        <v>15.5</v>
      </c>
      <c r="G38" s="159" t="s">
        <v>164</v>
      </c>
      <c r="H38" s="18" t="s">
        <v>783</v>
      </c>
      <c r="I38" s="18" t="s">
        <v>334</v>
      </c>
      <c r="J38" s="133">
        <v>44720.677083333336</v>
      </c>
      <c r="K38" s="32"/>
      <c r="L38" s="14">
        <f t="shared" si="0"/>
        <v>8.1250000002910383E-2</v>
      </c>
      <c r="M38" s="31">
        <f t="shared" si="3"/>
        <v>1.2593750000451109</v>
      </c>
      <c r="N38" s="15" t="str">
        <f>IF(Table2683261[[#This Row],[Fault Type]]="PM",IF(L38&lt;=(D38-C38),"Yes","No"),"")</f>
        <v/>
      </c>
      <c r="O38" s="16" t="str">
        <f t="shared" si="2"/>
        <v/>
      </c>
      <c r="P3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38" s="17"/>
    </row>
    <row r="39" spans="1:17" ht="15.5" x14ac:dyDescent="0.35">
      <c r="A39" s="131" t="s">
        <v>784</v>
      </c>
      <c r="B39" s="132" t="s">
        <v>158</v>
      </c>
      <c r="C39" s="13"/>
      <c r="D39" s="13"/>
      <c r="E39" s="133">
        <v>44720.584722222222</v>
      </c>
      <c r="F39" s="18">
        <v>3.6</v>
      </c>
      <c r="G39" s="159"/>
      <c r="H39" s="18" t="s">
        <v>785</v>
      </c>
      <c r="I39" s="18"/>
      <c r="J39" s="133">
        <v>44720.649305555555</v>
      </c>
      <c r="K39" s="32"/>
      <c r="L39" s="14">
        <f t="shared" si="0"/>
        <v>6.4583333332848269E-2</v>
      </c>
      <c r="M39" s="31">
        <f t="shared" si="3"/>
        <v>0.23249999999825377</v>
      </c>
      <c r="N39" s="15" t="str">
        <f>IF(Table2683261[[#This Row],[Fault Type]]="PM",IF(L39&lt;=(D39-C39),"Yes","No"),"")</f>
        <v/>
      </c>
      <c r="O39" s="16" t="str">
        <f t="shared" si="2"/>
        <v/>
      </c>
      <c r="P39" s="166" t="e">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#N/A</v>
      </c>
      <c r="Q39" s="17"/>
    </row>
    <row r="40" spans="1:17" ht="15.5" x14ac:dyDescent="0.35">
      <c r="A40" s="4" t="s">
        <v>100</v>
      </c>
      <c r="B40" s="12" t="s">
        <v>150</v>
      </c>
      <c r="C40" s="13"/>
      <c r="D40" s="13"/>
      <c r="E40" s="13">
        <v>44720.682638888888</v>
      </c>
      <c r="F40" s="18"/>
      <c r="G40" s="159" t="s">
        <v>163</v>
      </c>
      <c r="H40" s="18" t="s">
        <v>786</v>
      </c>
      <c r="I40" s="18" t="s">
        <v>334</v>
      </c>
      <c r="J40" s="13">
        <v>44779.863888888889</v>
      </c>
      <c r="K40" s="32"/>
      <c r="L40" s="14">
        <f t="shared" si="0"/>
        <v>59.181250000001455</v>
      </c>
      <c r="M40" s="31">
        <f t="shared" si="3"/>
        <v>0</v>
      </c>
      <c r="N40" s="15" t="str">
        <f>IF(Table2683261[[#This Row],[Fault Type]]="PM",IF(L40&lt;=(D40-C40),"Yes","No"),"")</f>
        <v/>
      </c>
      <c r="O40" s="16" t="str">
        <f t="shared" si="2"/>
        <v/>
      </c>
      <c r="P4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40" s="17"/>
    </row>
    <row r="41" spans="1:17" ht="15.5" x14ac:dyDescent="0.35">
      <c r="A41" s="4" t="s">
        <v>31</v>
      </c>
      <c r="B41" s="12" t="s">
        <v>150</v>
      </c>
      <c r="C41" s="13"/>
      <c r="D41" s="13"/>
      <c r="E41" s="13">
        <v>44779.704861111109</v>
      </c>
      <c r="F41" s="18">
        <v>1.8</v>
      </c>
      <c r="G41" s="159" t="s">
        <v>163</v>
      </c>
      <c r="H41" s="18" t="s">
        <v>787</v>
      </c>
      <c r="I41" s="18" t="s">
        <v>333</v>
      </c>
      <c r="J41" s="13">
        <v>44779.748611111114</v>
      </c>
      <c r="K41" s="32"/>
      <c r="L41" s="14">
        <f t="shared" si="0"/>
        <v>4.3750000004365575E-2</v>
      </c>
      <c r="M41" s="31">
        <f t="shared" si="3"/>
        <v>7.8750000007858034E-2</v>
      </c>
      <c r="N41" s="15" t="str">
        <f>IF(Table2683261[[#This Row],[Fault Type]]="PM",IF(L41&lt;=(D41-C41),"Yes","No"),"")</f>
        <v/>
      </c>
      <c r="O41" s="16" t="str">
        <f t="shared" si="2"/>
        <v/>
      </c>
      <c r="P4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1" s="17"/>
    </row>
    <row r="42" spans="1:17" ht="15.5" x14ac:dyDescent="0.35">
      <c r="A42" s="4" t="s">
        <v>370</v>
      </c>
      <c r="B42" s="12" t="s">
        <v>158</v>
      </c>
      <c r="C42" s="13"/>
      <c r="D42" s="13"/>
      <c r="E42" s="13">
        <v>44779.731944444444</v>
      </c>
      <c r="F42" s="18">
        <v>4.8</v>
      </c>
      <c r="G42" s="159"/>
      <c r="H42" s="18" t="s">
        <v>788</v>
      </c>
      <c r="I42" s="18" t="s">
        <v>333</v>
      </c>
      <c r="J42" s="13">
        <v>44779.768055555556</v>
      </c>
      <c r="K42" s="80"/>
      <c r="L42" s="14">
        <f t="shared" si="0"/>
        <v>3.6111111112404615E-2</v>
      </c>
      <c r="M42" s="31">
        <f t="shared" si="3"/>
        <v>0.17333333333954215</v>
      </c>
      <c r="N42" s="15" t="str">
        <f>IF(Table2683261[[#This Row],[Fault Type]]="PM",IF(L42&lt;=(D42-C42),"Yes","No"),"")</f>
        <v/>
      </c>
      <c r="O42" s="16" t="str">
        <f t="shared" si="2"/>
        <v/>
      </c>
      <c r="P4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2" s="17"/>
    </row>
    <row r="43" spans="1:17" ht="15.5" x14ac:dyDescent="0.35">
      <c r="A43" s="4" t="s">
        <v>40</v>
      </c>
      <c r="B43" s="12" t="s">
        <v>150</v>
      </c>
      <c r="C43" s="13"/>
      <c r="D43" s="13"/>
      <c r="E43" s="13">
        <v>44779.744444444441</v>
      </c>
      <c r="F43" s="18">
        <v>14</v>
      </c>
      <c r="G43" s="159" t="s">
        <v>162</v>
      </c>
      <c r="H43" s="18" t="s">
        <v>508</v>
      </c>
      <c r="I43" s="18" t="s">
        <v>334</v>
      </c>
      <c r="J43" s="13">
        <v>44779.747916666667</v>
      </c>
      <c r="K43" s="32"/>
      <c r="L43" s="14">
        <f t="shared" si="0"/>
        <v>3.4722222262644209E-3</v>
      </c>
      <c r="M43" s="31">
        <f t="shared" si="3"/>
        <v>4.8611111167701893E-2</v>
      </c>
      <c r="N43" s="15" t="str">
        <f>IF(Table2683261[[#This Row],[Fault Type]]="PM",IF(L43&lt;=(D43-C43),"Yes","No"),"")</f>
        <v/>
      </c>
      <c r="O43" s="16" t="str">
        <f t="shared" si="2"/>
        <v/>
      </c>
      <c r="P4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3" s="17"/>
    </row>
    <row r="44" spans="1:17" ht="15.5" x14ac:dyDescent="0.35">
      <c r="A44" s="4" t="s">
        <v>51</v>
      </c>
      <c r="B44" s="12" t="s">
        <v>150</v>
      </c>
      <c r="C44" s="13"/>
      <c r="D44" s="13"/>
      <c r="E44" s="13">
        <v>44779.810416666667</v>
      </c>
      <c r="F44" s="18">
        <v>4.7</v>
      </c>
      <c r="G44" s="159"/>
      <c r="H44" s="18"/>
      <c r="I44" s="18"/>
      <c r="J44" s="13"/>
      <c r="K44" s="32"/>
      <c r="L44" s="14">
        <f t="shared" si="0"/>
        <v>-44779.810416666667</v>
      </c>
      <c r="M44" s="31">
        <f t="shared" si="3"/>
        <v>-210465.10895833335</v>
      </c>
      <c r="N44" s="15" t="str">
        <f>IF(Table2683261[[#This Row],[Fault Type]]="PM",IF(L44&lt;=(D44-C44),"Yes","No"),"")</f>
        <v/>
      </c>
      <c r="O44" s="16" t="str">
        <f t="shared" si="2"/>
        <v/>
      </c>
      <c r="P4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44" s="17"/>
    </row>
    <row r="45" spans="1:17" ht="15.5" x14ac:dyDescent="0.35">
      <c r="A45" s="4" t="s">
        <v>26</v>
      </c>
      <c r="B45" s="12" t="s">
        <v>150</v>
      </c>
      <c r="C45" s="13"/>
      <c r="D45" s="13"/>
      <c r="E45" s="13">
        <v>44779.734027777777</v>
      </c>
      <c r="F45" s="18">
        <v>3.2</v>
      </c>
      <c r="G45" s="159" t="s">
        <v>162</v>
      </c>
      <c r="H45" s="18" t="s">
        <v>508</v>
      </c>
      <c r="I45" s="18" t="s">
        <v>526</v>
      </c>
      <c r="J45" s="13">
        <v>44779.877083333333</v>
      </c>
      <c r="K45" s="32"/>
      <c r="L45" s="14">
        <f t="shared" si="0"/>
        <v>0.14305555555620231</v>
      </c>
      <c r="M45" s="31">
        <f t="shared" si="3"/>
        <v>0.45777777777984741</v>
      </c>
      <c r="N45" s="15" t="str">
        <f>IF(Table2683261[[#This Row],[Fault Type]]="PM",IF(L45&lt;=(D45-C45),"Yes","No"),"")</f>
        <v/>
      </c>
      <c r="O45" s="16" t="str">
        <f t="shared" si="2"/>
        <v/>
      </c>
      <c r="P4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5" s="17"/>
    </row>
    <row r="46" spans="1:17" ht="15.75" customHeight="1" x14ac:dyDescent="0.35">
      <c r="A46" s="4" t="s">
        <v>25</v>
      </c>
      <c r="B46" s="12" t="s">
        <v>150</v>
      </c>
      <c r="C46" s="13"/>
      <c r="D46" s="13"/>
      <c r="E46" s="13">
        <v>44779.876388888886</v>
      </c>
      <c r="F46" s="18">
        <v>3</v>
      </c>
      <c r="G46" s="159" t="s">
        <v>162</v>
      </c>
      <c r="H46" s="18" t="s">
        <v>789</v>
      </c>
      <c r="I46" s="12" t="s">
        <v>334</v>
      </c>
      <c r="J46" s="13">
        <v>44779.969444444447</v>
      </c>
      <c r="K46" s="32"/>
      <c r="L46" s="14">
        <f t="shared" si="0"/>
        <v>9.3055555560567882E-2</v>
      </c>
      <c r="M46" s="31">
        <f t="shared" si="3"/>
        <v>0.27916666668170365</v>
      </c>
      <c r="N46" s="15" t="str">
        <f>IF(Table2683261[[#This Row],[Fault Type]]="PM",IF(L46&lt;=(D46-C46),"Yes","No"),"")</f>
        <v/>
      </c>
      <c r="O46" s="16" t="str">
        <f t="shared" si="2"/>
        <v/>
      </c>
      <c r="P4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6" s="17"/>
    </row>
    <row r="47" spans="1:17" ht="15.5" x14ac:dyDescent="0.35">
      <c r="A47" s="4" t="s">
        <v>363</v>
      </c>
      <c r="B47" s="12" t="s">
        <v>150</v>
      </c>
      <c r="C47" s="13"/>
      <c r="D47" s="13"/>
      <c r="E47" s="13">
        <v>44779.895833333336</v>
      </c>
      <c r="F47" s="18">
        <v>1.7</v>
      </c>
      <c r="G47" s="159" t="s">
        <v>164</v>
      </c>
      <c r="H47" s="18" t="s">
        <v>790</v>
      </c>
      <c r="I47" s="18" t="s">
        <v>334</v>
      </c>
      <c r="J47" s="13">
        <v>44780.236111111109</v>
      </c>
      <c r="K47" s="32"/>
      <c r="L47" s="14">
        <f t="shared" si="0"/>
        <v>0.34027777777373558</v>
      </c>
      <c r="M47" s="31">
        <f t="shared" si="3"/>
        <v>0.57847222221535044</v>
      </c>
      <c r="N47" s="15" t="str">
        <f>IF(Table2683261[[#This Row],[Fault Type]]="PM",IF(L47&lt;=(D47-C47),"Yes","No"),"")</f>
        <v/>
      </c>
      <c r="O47" s="16" t="str">
        <f t="shared" si="2"/>
        <v/>
      </c>
      <c r="P4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47" s="17"/>
    </row>
    <row r="48" spans="1:17" ht="15.5" x14ac:dyDescent="0.35">
      <c r="A48" s="4" t="s">
        <v>23</v>
      </c>
      <c r="B48" s="49" t="s">
        <v>150</v>
      </c>
      <c r="C48" s="13"/>
      <c r="D48" s="13"/>
      <c r="E48" s="13">
        <v>44779.89166666667</v>
      </c>
      <c r="F48" s="18">
        <v>1.3</v>
      </c>
      <c r="G48" s="159" t="s">
        <v>162</v>
      </c>
      <c r="H48" s="18" t="s">
        <v>508</v>
      </c>
      <c r="I48" s="54" t="s">
        <v>526</v>
      </c>
      <c r="J48" s="13">
        <v>44779.89166666667</v>
      </c>
      <c r="K48" s="32"/>
      <c r="L48" s="14">
        <f t="shared" si="0"/>
        <v>0</v>
      </c>
      <c r="M48" s="53">
        <f t="shared" si="3"/>
        <v>0</v>
      </c>
      <c r="N48" s="50" t="str">
        <f>IF(Table2683261[[#This Row],[Fault Type]]="PM",IF(L48&lt;=(D48-C48),"Yes","No"),"")</f>
        <v/>
      </c>
      <c r="O48" s="51" t="str">
        <f t="shared" si="2"/>
        <v/>
      </c>
      <c r="P4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row>
    <row r="49" spans="1:17" ht="15.5" x14ac:dyDescent="0.35">
      <c r="A49" s="58" t="s">
        <v>109</v>
      </c>
      <c r="B49" s="55" t="s">
        <v>150</v>
      </c>
      <c r="C49" s="13"/>
      <c r="D49" s="13"/>
      <c r="E49" s="13">
        <v>44779.880555555559</v>
      </c>
      <c r="F49" s="18">
        <v>3.8</v>
      </c>
      <c r="G49" s="159" t="s">
        <v>162</v>
      </c>
      <c r="H49" s="18" t="s">
        <v>508</v>
      </c>
      <c r="I49" s="18" t="s">
        <v>526</v>
      </c>
      <c r="J49" s="13">
        <v>44779.894444444442</v>
      </c>
      <c r="K49" s="80"/>
      <c r="L49" s="14">
        <f t="shared" si="0"/>
        <v>1.3888888883229811E-2</v>
      </c>
      <c r="M49" s="59">
        <f t="shared" si="3"/>
        <v>5.2777777756273278E-2</v>
      </c>
      <c r="N49" s="61" t="str">
        <f>IF(Table2683261[[#This Row],[Fault Type]]="PM",IF(L49&lt;=(D49-C49),"Yes","No"),"")</f>
        <v/>
      </c>
      <c r="O49" s="62" t="str">
        <f t="shared" si="2"/>
        <v/>
      </c>
      <c r="P4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49" s="63"/>
    </row>
    <row r="50" spans="1:17" ht="15.5" x14ac:dyDescent="0.35">
      <c r="A50" s="58" t="s">
        <v>77</v>
      </c>
      <c r="B50" s="55" t="s">
        <v>150</v>
      </c>
      <c r="C50" s="13"/>
      <c r="D50" s="13"/>
      <c r="E50" s="13">
        <v>44779.902777777781</v>
      </c>
      <c r="F50" s="18"/>
      <c r="G50" s="159" t="s">
        <v>162</v>
      </c>
      <c r="H50" s="18" t="s">
        <v>508</v>
      </c>
      <c r="I50" s="18" t="s">
        <v>526</v>
      </c>
      <c r="J50" s="13">
        <v>44779.975694444445</v>
      </c>
      <c r="K50" s="80"/>
      <c r="L50" s="14">
        <f t="shared" si="0"/>
        <v>7.2916666664241347E-2</v>
      </c>
      <c r="M50" s="59">
        <f t="shared" si="3"/>
        <v>0</v>
      </c>
      <c r="N50" s="61" t="str">
        <f>IF(Table2683261[[#This Row],[Fault Type]]="PM",IF(L50&lt;=(D50-C50),"Yes","No"),"")</f>
        <v/>
      </c>
      <c r="O50" s="62" t="str">
        <f t="shared" si="2"/>
        <v/>
      </c>
      <c r="P5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Yes</v>
      </c>
      <c r="Q50" s="63"/>
    </row>
    <row r="51" spans="1:17" ht="15.5" x14ac:dyDescent="0.35">
      <c r="A51" s="58" t="s">
        <v>32</v>
      </c>
      <c r="B51" s="55" t="s">
        <v>150</v>
      </c>
      <c r="C51" s="13"/>
      <c r="D51" s="13"/>
      <c r="E51" s="13">
        <v>44779.981944444444</v>
      </c>
      <c r="F51" s="18"/>
      <c r="G51" s="159" t="s">
        <v>162</v>
      </c>
      <c r="H51" s="18" t="s">
        <v>791</v>
      </c>
      <c r="I51" s="18" t="s">
        <v>334</v>
      </c>
      <c r="J51" s="13">
        <v>6691463.0506944442</v>
      </c>
      <c r="K51" s="80"/>
      <c r="L51" s="14">
        <f t="shared" si="0"/>
        <v>6646683.0687499996</v>
      </c>
      <c r="M51" s="59">
        <f t="shared" si="3"/>
        <v>0</v>
      </c>
      <c r="N51" s="61" t="str">
        <f>IF(Table2683261[[#This Row],[Fault Type]]="PM",IF(L51&lt;=(D51-C51),"Yes","No"),"")</f>
        <v/>
      </c>
      <c r="O51" s="62" t="str">
        <f t="shared" si="2"/>
        <v/>
      </c>
      <c r="P5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51" s="63"/>
    </row>
    <row r="52" spans="1:17" ht="15.5" x14ac:dyDescent="0.35">
      <c r="A52" s="58" t="s">
        <v>792</v>
      </c>
      <c r="B52" s="55" t="s">
        <v>150</v>
      </c>
      <c r="C52" s="13"/>
      <c r="D52" s="13"/>
      <c r="E52" s="13">
        <v>44780.988888888889</v>
      </c>
      <c r="F52" s="18"/>
      <c r="G52" s="159" t="s">
        <v>162</v>
      </c>
      <c r="H52" s="18" t="s">
        <v>508</v>
      </c>
      <c r="I52" s="18" t="s">
        <v>334</v>
      </c>
      <c r="J52" s="13">
        <v>44780.295138888891</v>
      </c>
      <c r="K52" s="32"/>
      <c r="L52" s="14">
        <f t="shared" si="0"/>
        <v>-0.69374999999854481</v>
      </c>
      <c r="M52" s="59">
        <f t="shared" si="3"/>
        <v>0</v>
      </c>
      <c r="N52" s="61" t="str">
        <f>IF(Table2683261[[#This Row],[Fault Type]]="PM",IF(L52&lt;=(D52-C52),"Yes","No"),"")</f>
        <v/>
      </c>
      <c r="O52" s="62" t="str">
        <f t="shared" si="2"/>
        <v/>
      </c>
      <c r="P52" s="166" t="e">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#N/A</v>
      </c>
      <c r="Q52" s="63"/>
    </row>
    <row r="53" spans="1:17" ht="15.5" x14ac:dyDescent="0.35">
      <c r="A53" s="58" t="s">
        <v>23</v>
      </c>
      <c r="B53" s="55" t="s">
        <v>150</v>
      </c>
      <c r="C53" s="13"/>
      <c r="D53" s="13"/>
      <c r="E53" s="13">
        <v>44779.992361111108</v>
      </c>
      <c r="F53" s="18">
        <v>4.7</v>
      </c>
      <c r="G53" s="159" t="s">
        <v>164</v>
      </c>
      <c r="H53" s="18" t="s">
        <v>793</v>
      </c>
      <c r="I53" s="18" t="s">
        <v>334</v>
      </c>
      <c r="J53" s="13">
        <v>44780.363194444442</v>
      </c>
      <c r="K53" s="80"/>
      <c r="L53" s="14">
        <f t="shared" si="0"/>
        <v>0.37083333333430346</v>
      </c>
      <c r="M53" s="59">
        <f t="shared" si="3"/>
        <v>1.7429166666712264</v>
      </c>
      <c r="N53" s="61" t="str">
        <f>IF(Table2683261[[#This Row],[Fault Type]]="PM",IF(L53&lt;=(D53-C53),"Yes","No"),"")</f>
        <v/>
      </c>
      <c r="O53" s="62" t="str">
        <f t="shared" si="2"/>
        <v/>
      </c>
      <c r="P5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No</v>
      </c>
      <c r="Q53" s="63"/>
    </row>
    <row r="54" spans="1:17" ht="15.5" x14ac:dyDescent="0.35">
      <c r="A54" s="58"/>
      <c r="B54" s="55"/>
      <c r="C54" s="13"/>
      <c r="D54" s="13"/>
      <c r="E54" s="13"/>
      <c r="F54" s="18"/>
      <c r="G54" s="159"/>
      <c r="H54" s="18"/>
      <c r="I54" s="18"/>
      <c r="J54" s="13"/>
      <c r="K54" s="32"/>
      <c r="L54" s="14">
        <f t="shared" si="0"/>
        <v>0</v>
      </c>
      <c r="M54" s="59">
        <f t="shared" si="3"/>
        <v>0</v>
      </c>
      <c r="N54" s="61" t="str">
        <f>IF(Table2683261[[#This Row],[Fault Type]]="PM",IF(L54&lt;=(D54-C54),"Yes","No"),"")</f>
        <v/>
      </c>
      <c r="O54" s="62" t="str">
        <f t="shared" si="2"/>
        <v/>
      </c>
      <c r="P5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4" s="63"/>
    </row>
    <row r="55" spans="1:17" ht="15.5" x14ac:dyDescent="0.35">
      <c r="A55" s="58"/>
      <c r="B55" s="55"/>
      <c r="C55" s="13"/>
      <c r="D55" s="13"/>
      <c r="E55" s="13"/>
      <c r="F55" s="18"/>
      <c r="G55" s="159"/>
      <c r="H55" s="18"/>
      <c r="I55" s="18"/>
      <c r="J55" s="13"/>
      <c r="K55" s="32"/>
      <c r="L55" s="14">
        <f t="shared" si="0"/>
        <v>0</v>
      </c>
      <c r="M55" s="59">
        <f t="shared" si="3"/>
        <v>0</v>
      </c>
      <c r="N55" s="61" t="str">
        <f>IF(Table2683261[[#This Row],[Fault Type]]="PM",IF(L55&lt;=(D55-C55),"Yes","No"),"")</f>
        <v/>
      </c>
      <c r="O55" s="62" t="str">
        <f t="shared" si="2"/>
        <v/>
      </c>
      <c r="P5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5" s="63"/>
    </row>
    <row r="56" spans="1:17" ht="15.5" x14ac:dyDescent="0.35">
      <c r="A56" s="58"/>
      <c r="B56" s="55"/>
      <c r="C56" s="13"/>
      <c r="D56" s="13"/>
      <c r="E56" s="13"/>
      <c r="F56" s="18"/>
      <c r="G56" s="159"/>
      <c r="H56" s="18"/>
      <c r="I56" s="18"/>
      <c r="J56" s="13"/>
      <c r="K56" s="80"/>
      <c r="L56" s="14">
        <f t="shared" si="0"/>
        <v>0</v>
      </c>
      <c r="M56" s="59">
        <f t="shared" si="3"/>
        <v>0</v>
      </c>
      <c r="N56" s="61" t="str">
        <f>IF(Table2683261[[#This Row],[Fault Type]]="PM",IF(L56&lt;=(D56-C56),"Yes","No"),"")</f>
        <v/>
      </c>
      <c r="O56" s="62" t="str">
        <f t="shared" si="2"/>
        <v/>
      </c>
      <c r="P5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6" s="63"/>
    </row>
    <row r="57" spans="1:17" ht="15.5" x14ac:dyDescent="0.35">
      <c r="A57" s="58"/>
      <c r="B57" s="55"/>
      <c r="C57" s="13"/>
      <c r="D57" s="13"/>
      <c r="E57" s="13"/>
      <c r="F57" s="18"/>
      <c r="G57" s="159"/>
      <c r="H57" s="18"/>
      <c r="I57" s="18"/>
      <c r="J57" s="13"/>
      <c r="K57" s="32"/>
      <c r="L57" s="14">
        <f t="shared" si="0"/>
        <v>0</v>
      </c>
      <c r="M57" s="59">
        <f t="shared" si="3"/>
        <v>0</v>
      </c>
      <c r="N57" s="61" t="str">
        <f>IF(Table2683261[[#This Row],[Fault Type]]="PM",IF(L57&lt;=(D57-C57),"Yes","No"),"")</f>
        <v/>
      </c>
      <c r="O57" s="62" t="str">
        <f t="shared" si="2"/>
        <v/>
      </c>
      <c r="P5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7" s="63"/>
    </row>
    <row r="58" spans="1:17" ht="15.5" x14ac:dyDescent="0.35">
      <c r="A58" s="58"/>
      <c r="B58" s="55"/>
      <c r="C58" s="13"/>
      <c r="D58" s="13"/>
      <c r="E58" s="13"/>
      <c r="F58" s="12"/>
      <c r="G58" s="159"/>
      <c r="H58" s="12"/>
      <c r="I58" s="18"/>
      <c r="J58" s="13"/>
      <c r="K58" s="32"/>
      <c r="L58" s="14">
        <f t="shared" si="0"/>
        <v>0</v>
      </c>
      <c r="M58" s="59">
        <f t="shared" si="3"/>
        <v>0</v>
      </c>
      <c r="N58" s="61" t="str">
        <f>IF(Table2683261[[#This Row],[Fault Type]]="PM",IF(L58&lt;=(D58-C58),"Yes","No"),"")</f>
        <v/>
      </c>
      <c r="O58" s="62" t="str">
        <f t="shared" si="2"/>
        <v/>
      </c>
      <c r="P5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8" s="63"/>
    </row>
    <row r="59" spans="1:17" ht="15.5" x14ac:dyDescent="0.35">
      <c r="A59" s="58"/>
      <c r="B59" s="55"/>
      <c r="C59" s="13"/>
      <c r="D59" s="13"/>
      <c r="E59" s="13"/>
      <c r="F59" s="12"/>
      <c r="G59" s="159"/>
      <c r="H59" s="18"/>
      <c r="I59" s="18"/>
      <c r="J59" s="13"/>
      <c r="K59" s="80"/>
      <c r="L59" s="14">
        <f t="shared" si="0"/>
        <v>0</v>
      </c>
      <c r="M59" s="59">
        <f t="shared" si="3"/>
        <v>0</v>
      </c>
      <c r="N59" s="61" t="str">
        <f>IF(Table2683261[[#This Row],[Fault Type]]="PM",IF(L59&lt;=(D59-C59),"Yes","No"),"")</f>
        <v/>
      </c>
      <c r="O59" s="62" t="str">
        <f t="shared" si="2"/>
        <v/>
      </c>
      <c r="P5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59" s="63"/>
    </row>
    <row r="60" spans="1:17" ht="15.5" x14ac:dyDescent="0.35">
      <c r="A60" s="58"/>
      <c r="B60" s="55"/>
      <c r="C60" s="13"/>
      <c r="D60" s="13"/>
      <c r="E60" s="13"/>
      <c r="F60" s="12"/>
      <c r="G60" s="159"/>
      <c r="H60" s="18"/>
      <c r="I60" s="18"/>
      <c r="J60" s="13"/>
      <c r="K60" s="80"/>
      <c r="L60" s="14">
        <f t="shared" si="0"/>
        <v>0</v>
      </c>
      <c r="M60" s="59">
        <f t="shared" si="3"/>
        <v>0</v>
      </c>
      <c r="N60" s="61" t="str">
        <f>IF(Table2683261[[#This Row],[Fault Type]]="PM",IF(L60&lt;=(D60-C60),"Yes","No"),"")</f>
        <v/>
      </c>
      <c r="O60" s="62" t="str">
        <f t="shared" si="2"/>
        <v/>
      </c>
      <c r="P6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0" s="63"/>
    </row>
    <row r="61" spans="1:17" ht="15.5" x14ac:dyDescent="0.35">
      <c r="A61" s="58"/>
      <c r="B61" s="55"/>
      <c r="C61" s="13"/>
      <c r="D61" s="13"/>
      <c r="E61" s="13"/>
      <c r="F61" s="12"/>
      <c r="G61" s="159"/>
      <c r="H61" s="18"/>
      <c r="I61" s="18"/>
      <c r="J61" s="13"/>
      <c r="K61" s="80"/>
      <c r="L61" s="14">
        <f t="shared" si="0"/>
        <v>0</v>
      </c>
      <c r="M61" s="59">
        <f t="shared" si="3"/>
        <v>0</v>
      </c>
      <c r="N61" s="61" t="str">
        <f>IF(Table2683261[[#This Row],[Fault Type]]="PM",IF(L61&lt;=(D61-C61),"Yes","No"),"")</f>
        <v/>
      </c>
      <c r="O61" s="62" t="str">
        <f t="shared" si="2"/>
        <v/>
      </c>
      <c r="P6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1" s="63"/>
    </row>
    <row r="62" spans="1:17" ht="15.5" x14ac:dyDescent="0.35">
      <c r="A62" s="58"/>
      <c r="B62" s="55"/>
      <c r="C62" s="13"/>
      <c r="D62" s="13"/>
      <c r="E62" s="13"/>
      <c r="F62" s="12"/>
      <c r="G62" s="159"/>
      <c r="H62" s="18"/>
      <c r="I62" s="18"/>
      <c r="J62" s="13"/>
      <c r="K62" s="32"/>
      <c r="L62" s="14">
        <f t="shared" si="0"/>
        <v>0</v>
      </c>
      <c r="M62" s="59">
        <f t="shared" si="3"/>
        <v>0</v>
      </c>
      <c r="N62" s="61" t="str">
        <f>IF(Table2683261[[#This Row],[Fault Type]]="PM",IF(L62&lt;=(D62-C62),"Yes","No"),"")</f>
        <v/>
      </c>
      <c r="O62" s="62" t="str">
        <f t="shared" si="2"/>
        <v/>
      </c>
      <c r="P6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2" s="63"/>
    </row>
    <row r="63" spans="1:17" ht="15.5" x14ac:dyDescent="0.35">
      <c r="A63" s="58"/>
      <c r="B63" s="55"/>
      <c r="C63" s="49"/>
      <c r="D63" s="49"/>
      <c r="E63" s="13"/>
      <c r="F63" s="50"/>
      <c r="G63" s="159"/>
      <c r="H63" s="54"/>
      <c r="I63" s="18"/>
      <c r="J63" s="13"/>
      <c r="K63" s="32"/>
      <c r="L63" s="14">
        <f t="shared" si="0"/>
        <v>0</v>
      </c>
      <c r="M63" s="59">
        <f t="shared" si="3"/>
        <v>0</v>
      </c>
      <c r="N63" s="61" t="str">
        <f>IF(Table2683261[[#This Row],[Fault Type]]="PM",IF(L63&lt;=(D63-C63),"Yes","No"),"")</f>
        <v/>
      </c>
      <c r="O63" s="62" t="str">
        <f t="shared" si="2"/>
        <v/>
      </c>
      <c r="P6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3" s="63"/>
    </row>
    <row r="64" spans="1:17" ht="15.5" x14ac:dyDescent="0.35">
      <c r="A64" s="58"/>
      <c r="B64" s="55"/>
      <c r="C64" s="56"/>
      <c r="D64" s="56"/>
      <c r="E64" s="13"/>
      <c r="F64" s="55"/>
      <c r="G64" s="159"/>
      <c r="H64" s="54"/>
      <c r="I64" s="18"/>
      <c r="J64" s="13"/>
      <c r="K64" s="32"/>
      <c r="L64" s="14">
        <f t="shared" si="0"/>
        <v>0</v>
      </c>
      <c r="M64" s="59">
        <f t="shared" si="3"/>
        <v>0</v>
      </c>
      <c r="N64" s="61" t="str">
        <f>IF(Table2683261[[#This Row],[Fault Type]]="PM",IF(L64&lt;=(D64-C64),"Yes","No"),"")</f>
        <v/>
      </c>
      <c r="O64" s="62" t="str">
        <f t="shared" si="2"/>
        <v/>
      </c>
      <c r="P6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4" s="63"/>
    </row>
    <row r="65" spans="1:17" ht="15.5" x14ac:dyDescent="0.35">
      <c r="A65" s="58"/>
      <c r="B65" s="55"/>
      <c r="C65" s="56"/>
      <c r="D65" s="56"/>
      <c r="E65" s="13"/>
      <c r="F65" s="55"/>
      <c r="G65" s="159"/>
      <c r="H65" s="54"/>
      <c r="I65" s="18"/>
      <c r="J65" s="13"/>
      <c r="K65" s="32"/>
      <c r="L65" s="14">
        <f t="shared" si="0"/>
        <v>0</v>
      </c>
      <c r="M65" s="59">
        <f t="shared" si="3"/>
        <v>0</v>
      </c>
      <c r="N65" s="61" t="str">
        <f>IF(Table2683261[[#This Row],[Fault Type]]="PM",IF(L65&lt;=(D65-C65),"Yes","No"),"")</f>
        <v/>
      </c>
      <c r="O65" s="62" t="str">
        <f t="shared" si="2"/>
        <v/>
      </c>
      <c r="P6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5" s="63"/>
    </row>
    <row r="66" spans="1:17" ht="15.5" x14ac:dyDescent="0.35">
      <c r="A66" s="58"/>
      <c r="B66" s="55"/>
      <c r="C66" s="56"/>
      <c r="D66" s="56"/>
      <c r="E66" s="13"/>
      <c r="F66" s="55"/>
      <c r="G66" s="159"/>
      <c r="H66" s="57"/>
      <c r="I66" s="18"/>
      <c r="J66" s="13"/>
      <c r="K66" s="83"/>
      <c r="L66" s="14">
        <f t="shared" si="0"/>
        <v>0</v>
      </c>
      <c r="M66" s="59">
        <f t="shared" si="3"/>
        <v>0</v>
      </c>
      <c r="N66" s="61" t="str">
        <f>IF(Table2683261[[#This Row],[Fault Type]]="PM",IF(L66&lt;=(D66-C66),"Yes","No"),"")</f>
        <v/>
      </c>
      <c r="O66" s="62" t="str">
        <f t="shared" si="2"/>
        <v/>
      </c>
      <c r="P6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6" s="63"/>
    </row>
    <row r="67" spans="1:17" ht="15.5" x14ac:dyDescent="0.35">
      <c r="A67" s="58"/>
      <c r="B67" s="55"/>
      <c r="C67" s="56"/>
      <c r="D67" s="56"/>
      <c r="E67" s="13"/>
      <c r="F67" s="55"/>
      <c r="G67" s="159"/>
      <c r="H67" s="57"/>
      <c r="I67" s="18"/>
      <c r="J67" s="13"/>
      <c r="K67" s="60"/>
      <c r="L67" s="14">
        <f t="shared" ref="L67:L80" si="4">J67-E67</f>
        <v>0</v>
      </c>
      <c r="M67" s="59">
        <f t="shared" si="3"/>
        <v>0</v>
      </c>
      <c r="N67" s="61" t="str">
        <f>IF(Table2683261[[#This Row],[Fault Type]]="PM",IF(L67&lt;=(D67-C67),"Yes","No"),"")</f>
        <v/>
      </c>
      <c r="O67" s="62" t="str">
        <f t="shared" ref="O67:O80" si="5">IF(N67="No",(L67-(D67-C67)),"")</f>
        <v/>
      </c>
      <c r="P6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7" s="63"/>
    </row>
    <row r="68" spans="1:17" ht="15.5" x14ac:dyDescent="0.35">
      <c r="A68" s="58"/>
      <c r="B68" s="55"/>
      <c r="C68" s="56"/>
      <c r="D68" s="56"/>
      <c r="E68" s="13"/>
      <c r="F68" s="55"/>
      <c r="G68" s="159"/>
      <c r="H68" s="57"/>
      <c r="I68" s="18"/>
      <c r="J68" s="13"/>
      <c r="K68" s="60"/>
      <c r="L68" s="14">
        <f t="shared" si="4"/>
        <v>0</v>
      </c>
      <c r="M68" s="59">
        <f t="shared" si="3"/>
        <v>0</v>
      </c>
      <c r="N68" s="61" t="str">
        <f>IF(Table2683261[[#This Row],[Fault Type]]="PM",IF(L68&lt;=(D68-C68),"Yes","No"),"")</f>
        <v/>
      </c>
      <c r="O68" s="62" t="str">
        <f t="shared" si="5"/>
        <v/>
      </c>
      <c r="P6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8" s="63"/>
    </row>
    <row r="69" spans="1:17" ht="15.5" x14ac:dyDescent="0.35">
      <c r="A69" s="58"/>
      <c r="B69" s="55"/>
      <c r="C69" s="56"/>
      <c r="D69" s="56"/>
      <c r="E69" s="13"/>
      <c r="F69" s="55"/>
      <c r="G69" s="159"/>
      <c r="H69" s="57"/>
      <c r="I69" s="18"/>
      <c r="J69" s="13"/>
      <c r="K69" s="60"/>
      <c r="L69" s="14">
        <f t="shared" si="4"/>
        <v>0</v>
      </c>
      <c r="M69" s="59">
        <f t="shared" si="3"/>
        <v>0</v>
      </c>
      <c r="N69" s="61" t="str">
        <f>IF(Table2683261[[#This Row],[Fault Type]]="PM",IF(L69&lt;=(D69-C69),"Yes","No"),"")</f>
        <v/>
      </c>
      <c r="O69" s="62" t="str">
        <f t="shared" si="5"/>
        <v/>
      </c>
      <c r="P6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69" s="63"/>
    </row>
    <row r="70" spans="1:17" ht="15.5" x14ac:dyDescent="0.35">
      <c r="A70" s="58"/>
      <c r="B70" s="55"/>
      <c r="C70" s="56"/>
      <c r="D70" s="56"/>
      <c r="E70" s="13"/>
      <c r="F70" s="55"/>
      <c r="G70" s="159"/>
      <c r="H70" s="57"/>
      <c r="I70" s="18"/>
      <c r="J70" s="13"/>
      <c r="K70" s="60"/>
      <c r="L70" s="14">
        <f t="shared" si="4"/>
        <v>0</v>
      </c>
      <c r="M70" s="59">
        <f t="shared" si="3"/>
        <v>0</v>
      </c>
      <c r="N70" s="61" t="str">
        <f>IF(Table2683261[[#This Row],[Fault Type]]="PM",IF(L70&lt;=(D70-C70),"Yes","No"),"")</f>
        <v/>
      </c>
      <c r="O70" s="62" t="str">
        <f t="shared" si="5"/>
        <v/>
      </c>
      <c r="P7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0" s="63"/>
    </row>
    <row r="71" spans="1:17" ht="15.5" x14ac:dyDescent="0.35">
      <c r="A71" s="58"/>
      <c r="B71" s="55"/>
      <c r="C71" s="56"/>
      <c r="D71" s="56"/>
      <c r="E71" s="13"/>
      <c r="F71" s="55"/>
      <c r="G71" s="159"/>
      <c r="H71" s="57"/>
      <c r="I71" s="18"/>
      <c r="J71" s="13"/>
      <c r="K71" s="60"/>
      <c r="L71" s="14">
        <f t="shared" si="4"/>
        <v>0</v>
      </c>
      <c r="M71" s="59">
        <f t="shared" si="3"/>
        <v>0</v>
      </c>
      <c r="N71" s="61" t="str">
        <f>IF(Table2683261[[#This Row],[Fault Type]]="PM",IF(L71&lt;=(D71-C71),"Yes","No"),"")</f>
        <v/>
      </c>
      <c r="O71" s="62" t="str">
        <f t="shared" si="5"/>
        <v/>
      </c>
      <c r="P71"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61" t="str">
        <f>IF(Table2683261[[#This Row],[Fault Type]]="PM",IF(L72&lt;=(D72-C72),"Yes","No"),"")</f>
        <v/>
      </c>
      <c r="O72" s="62" t="str">
        <f t="shared" si="5"/>
        <v/>
      </c>
      <c r="P72"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61" t="str">
        <f>IF(Table2683261[[#This Row],[Fault Type]]="PM",IF(L73&lt;=(D73-C73),"Yes","No"),"")</f>
        <v/>
      </c>
      <c r="O73" s="62" t="str">
        <f t="shared" si="5"/>
        <v/>
      </c>
      <c r="P73"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61" t="str">
        <f>IF(Table2683261[[#This Row],[Fault Type]]="PM",IF(L74&lt;=(D74-C74),"Yes","No"),"")</f>
        <v/>
      </c>
      <c r="O74" s="62" t="str">
        <f t="shared" si="5"/>
        <v/>
      </c>
      <c r="P74"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IF(Table2683261[[#This Row],[Fault Type]]="PM",IF(L75&lt;=(D75-C75),"Yes","No"),"")</f>
        <v/>
      </c>
      <c r="O75" s="62" t="str">
        <f t="shared" si="5"/>
        <v/>
      </c>
      <c r="P75"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IF(Table2683261[[#This Row],[Fault Type]]="PM",IF(L76&lt;=(D76-C76),"Yes","No"),"")</f>
        <v/>
      </c>
      <c r="O76" s="62" t="str">
        <f t="shared" si="5"/>
        <v/>
      </c>
      <c r="P76"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61" t="str">
        <f>IF(Table2683261[[#This Row],[Fault Type]]="PM",IF(L77&lt;=(D77-C77),"Yes","No"),"")</f>
        <v/>
      </c>
      <c r="O77" s="62" t="str">
        <f t="shared" si="5"/>
        <v/>
      </c>
      <c r="P77"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7" s="63"/>
    </row>
    <row r="78" spans="1:17" ht="15.5" x14ac:dyDescent="0.35">
      <c r="A78" s="58"/>
      <c r="B78" s="55"/>
      <c r="C78" s="56"/>
      <c r="D78" s="56"/>
      <c r="E78" s="13"/>
      <c r="F78" s="55"/>
      <c r="G78" s="159"/>
      <c r="H78" s="57"/>
      <c r="I78" s="18"/>
      <c r="J78" s="13"/>
      <c r="K78" s="60"/>
      <c r="L78" s="14">
        <f t="shared" si="4"/>
        <v>0</v>
      </c>
      <c r="M78" s="59">
        <f t="shared" si="3"/>
        <v>0</v>
      </c>
      <c r="N78" s="61" t="str">
        <f>IF(Table2683261[[#This Row],[Fault Type]]="PM",IF(L78&lt;=(D78-C78),"Yes","No"),"")</f>
        <v/>
      </c>
      <c r="O78" s="62" t="str">
        <f t="shared" si="5"/>
        <v/>
      </c>
      <c r="P78"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8" s="63"/>
    </row>
    <row r="79" spans="1:17" ht="15.5" x14ac:dyDescent="0.35">
      <c r="A79" s="58"/>
      <c r="B79" s="55"/>
      <c r="C79" s="56"/>
      <c r="D79" s="56"/>
      <c r="E79" s="13"/>
      <c r="F79" s="55"/>
      <c r="G79" s="159"/>
      <c r="H79" s="57"/>
      <c r="I79" s="18"/>
      <c r="J79" s="13"/>
      <c r="K79" s="60"/>
      <c r="L79" s="14">
        <f t="shared" si="4"/>
        <v>0</v>
      </c>
      <c r="M79" s="59">
        <f t="shared" si="3"/>
        <v>0</v>
      </c>
      <c r="N79" s="61" t="str">
        <f>IF(Table2683261[[#This Row],[Fault Type]]="PM",IF(L79&lt;=(D79-C79),"Yes","No"),"")</f>
        <v/>
      </c>
      <c r="O79" s="62" t="str">
        <f t="shared" si="5"/>
        <v/>
      </c>
      <c r="P79"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79" s="63"/>
    </row>
    <row r="80" spans="1:17" ht="15.5" x14ac:dyDescent="0.35">
      <c r="A80" s="58"/>
      <c r="B80" s="55"/>
      <c r="C80" s="56"/>
      <c r="D80" s="56"/>
      <c r="E80" s="13"/>
      <c r="F80" s="55"/>
      <c r="G80" s="159"/>
      <c r="H80" s="57"/>
      <c r="I80" s="18"/>
      <c r="J80" s="13"/>
      <c r="K80" s="60"/>
      <c r="L80" s="14">
        <f t="shared" si="4"/>
        <v>0</v>
      </c>
      <c r="M80" s="59">
        <f t="shared" si="3"/>
        <v>0</v>
      </c>
      <c r="N80" s="61" t="str">
        <f>IF(Table2683261[[#This Row],[Fault Type]]="PM",IF(L80&lt;=(D80-C80),"Yes","No"),"")</f>
        <v/>
      </c>
      <c r="O80" s="62" t="str">
        <f t="shared" si="5"/>
        <v/>
      </c>
      <c r="P80" s="166"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0" s="63"/>
    </row>
    <row r="81" spans="1:17" ht="15.5" x14ac:dyDescent="0.35">
      <c r="A81" s="203"/>
      <c r="B81" s="204"/>
      <c r="C81" s="205"/>
      <c r="D81" s="205"/>
      <c r="E81" s="205"/>
      <c r="F81" s="159"/>
      <c r="G81" s="204"/>
      <c r="H81" s="206"/>
      <c r="I81" s="206"/>
      <c r="J81" s="205"/>
      <c r="K81" s="207"/>
      <c r="L81" s="208">
        <f t="shared" ref="L81:L91" si="6">J81-E81</f>
        <v>0</v>
      </c>
      <c r="M81" s="209">
        <f t="shared" ref="M81:M91" si="7">L81*F81</f>
        <v>0</v>
      </c>
      <c r="N81" s="210" t="str">
        <f>IF(Table2683261[[#This Row],[Fault Type]]="PM",IF(L81&lt;=(D81-C81),"Yes","No"),"")</f>
        <v/>
      </c>
      <c r="O81" s="211" t="str">
        <f t="shared" ref="O81:O91" si="8">IF(N81="No",(L81-(D81-C81)),"")</f>
        <v/>
      </c>
      <c r="P81"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1" s="91"/>
    </row>
    <row r="82" spans="1:17" ht="15.5" x14ac:dyDescent="0.35">
      <c r="A82" s="203"/>
      <c r="B82" s="204"/>
      <c r="C82" s="205"/>
      <c r="D82" s="205"/>
      <c r="E82" s="205"/>
      <c r="F82" s="159"/>
      <c r="G82" s="204"/>
      <c r="H82" s="206"/>
      <c r="I82" s="206"/>
      <c r="J82" s="205"/>
      <c r="K82" s="207"/>
      <c r="L82" s="208">
        <f t="shared" si="6"/>
        <v>0</v>
      </c>
      <c r="M82" s="209">
        <f t="shared" si="7"/>
        <v>0</v>
      </c>
      <c r="N82" s="210" t="str">
        <f>IF(Table2683261[[#This Row],[Fault Type]]="PM",IF(L82&lt;=(D82-C82),"Yes","No"),"")</f>
        <v/>
      </c>
      <c r="O82" s="211" t="str">
        <f t="shared" si="8"/>
        <v/>
      </c>
      <c r="P82"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2" s="91"/>
    </row>
    <row r="83" spans="1:17" ht="15.5" x14ac:dyDescent="0.35">
      <c r="A83" s="203"/>
      <c r="B83" s="204"/>
      <c r="C83" s="205"/>
      <c r="D83" s="205"/>
      <c r="E83" s="205"/>
      <c r="F83" s="159"/>
      <c r="G83" s="204"/>
      <c r="H83" s="206"/>
      <c r="I83" s="206"/>
      <c r="J83" s="205"/>
      <c r="K83" s="207"/>
      <c r="L83" s="208">
        <f t="shared" si="6"/>
        <v>0</v>
      </c>
      <c r="M83" s="209">
        <f t="shared" si="7"/>
        <v>0</v>
      </c>
      <c r="N83" s="210" t="str">
        <f>IF(Table2683261[[#This Row],[Fault Type]]="PM",IF(L83&lt;=(D83-C83),"Yes","No"),"")</f>
        <v/>
      </c>
      <c r="O83" s="211" t="str">
        <f t="shared" si="8"/>
        <v/>
      </c>
      <c r="P83"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3" s="91"/>
    </row>
    <row r="84" spans="1:17" ht="15.5" x14ac:dyDescent="0.35">
      <c r="A84" s="203"/>
      <c r="B84" s="204"/>
      <c r="C84" s="205"/>
      <c r="D84" s="205"/>
      <c r="E84" s="205"/>
      <c r="F84" s="159"/>
      <c r="G84" s="204"/>
      <c r="H84" s="206"/>
      <c r="I84" s="206"/>
      <c r="J84" s="205"/>
      <c r="K84" s="207"/>
      <c r="L84" s="208">
        <f t="shared" si="6"/>
        <v>0</v>
      </c>
      <c r="M84" s="209">
        <f t="shared" si="7"/>
        <v>0</v>
      </c>
      <c r="N84" s="210" t="str">
        <f>IF(Table2683261[[#This Row],[Fault Type]]="PM",IF(L84&lt;=(D84-C84),"Yes","No"),"")</f>
        <v/>
      </c>
      <c r="O84" s="211" t="str">
        <f t="shared" si="8"/>
        <v/>
      </c>
      <c r="P84"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4" s="91"/>
    </row>
    <row r="85" spans="1:17" ht="15.5" x14ac:dyDescent="0.35">
      <c r="A85" s="203"/>
      <c r="B85" s="204"/>
      <c r="C85" s="205"/>
      <c r="D85" s="205"/>
      <c r="E85" s="205"/>
      <c r="F85" s="159"/>
      <c r="G85" s="204"/>
      <c r="H85" s="206"/>
      <c r="I85" s="206"/>
      <c r="J85" s="205"/>
      <c r="K85" s="207"/>
      <c r="L85" s="208">
        <f t="shared" si="6"/>
        <v>0</v>
      </c>
      <c r="M85" s="209">
        <f t="shared" si="7"/>
        <v>0</v>
      </c>
      <c r="N85" s="210" t="str">
        <f>IF(Table2683261[[#This Row],[Fault Type]]="PM",IF(L85&lt;=(D85-C85),"Yes","No"),"")</f>
        <v/>
      </c>
      <c r="O85" s="211" t="str">
        <f t="shared" si="8"/>
        <v/>
      </c>
      <c r="P85"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5" s="91"/>
    </row>
    <row r="86" spans="1:17" ht="15.5" x14ac:dyDescent="0.35">
      <c r="A86" s="203"/>
      <c r="B86" s="204"/>
      <c r="C86" s="205"/>
      <c r="D86" s="205"/>
      <c r="E86" s="205"/>
      <c r="F86" s="159"/>
      <c r="G86" s="204"/>
      <c r="H86" s="206"/>
      <c r="I86" s="206"/>
      <c r="J86" s="205"/>
      <c r="K86" s="207"/>
      <c r="L86" s="208">
        <f t="shared" si="6"/>
        <v>0</v>
      </c>
      <c r="M86" s="209">
        <f t="shared" si="7"/>
        <v>0</v>
      </c>
      <c r="N86" s="210" t="str">
        <f>IF(Table2683261[[#This Row],[Fault Type]]="PM",IF(L86&lt;=(D86-C86),"Yes","No"),"")</f>
        <v/>
      </c>
      <c r="O86" s="211" t="str">
        <f t="shared" si="8"/>
        <v/>
      </c>
      <c r="P86"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6" s="91"/>
    </row>
    <row r="87" spans="1:17" ht="15.5" x14ac:dyDescent="0.35">
      <c r="A87" s="203"/>
      <c r="B87" s="204"/>
      <c r="C87" s="205"/>
      <c r="D87" s="205"/>
      <c r="E87" s="205"/>
      <c r="F87" s="159"/>
      <c r="G87" s="204"/>
      <c r="H87" s="206"/>
      <c r="I87" s="206"/>
      <c r="J87" s="205"/>
      <c r="K87" s="207"/>
      <c r="L87" s="208">
        <f t="shared" si="6"/>
        <v>0</v>
      </c>
      <c r="M87" s="209">
        <f t="shared" si="7"/>
        <v>0</v>
      </c>
      <c r="N87" s="210" t="str">
        <f>IF(Table2683261[[#This Row],[Fault Type]]="PM",IF(L87&lt;=(D87-C87),"Yes","No"),"")</f>
        <v/>
      </c>
      <c r="O87" s="211" t="str">
        <f t="shared" si="8"/>
        <v/>
      </c>
      <c r="P87"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7" s="91"/>
    </row>
    <row r="88" spans="1:17" ht="15.5" x14ac:dyDescent="0.35">
      <c r="A88" s="203"/>
      <c r="B88" s="204"/>
      <c r="C88" s="205"/>
      <c r="D88" s="205"/>
      <c r="E88" s="205"/>
      <c r="F88" s="159"/>
      <c r="G88" s="204"/>
      <c r="H88" s="206"/>
      <c r="I88" s="206"/>
      <c r="J88" s="205"/>
      <c r="K88" s="207"/>
      <c r="L88" s="208">
        <f t="shared" si="6"/>
        <v>0</v>
      </c>
      <c r="M88" s="209">
        <f t="shared" si="7"/>
        <v>0</v>
      </c>
      <c r="N88" s="210" t="str">
        <f>IF(Table2683261[[#This Row],[Fault Type]]="PM",IF(L88&lt;=(D88-C88),"Yes","No"),"")</f>
        <v/>
      </c>
      <c r="O88" s="211" t="str">
        <f t="shared" si="8"/>
        <v/>
      </c>
      <c r="P88"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8" s="91"/>
    </row>
    <row r="89" spans="1:17" ht="15.5" x14ac:dyDescent="0.35">
      <c r="A89" s="203"/>
      <c r="B89" s="204"/>
      <c r="C89" s="205"/>
      <c r="D89" s="205"/>
      <c r="E89" s="205"/>
      <c r="F89" s="159"/>
      <c r="G89" s="204"/>
      <c r="H89" s="206"/>
      <c r="I89" s="206"/>
      <c r="J89" s="205"/>
      <c r="K89" s="207"/>
      <c r="L89" s="208">
        <f t="shared" si="6"/>
        <v>0</v>
      </c>
      <c r="M89" s="209">
        <f t="shared" si="7"/>
        <v>0</v>
      </c>
      <c r="N89" s="210" t="str">
        <f>IF(Table2683261[[#This Row],[Fault Type]]="PM",IF(L89&lt;=(D89-C89),"Yes","No"),"")</f>
        <v/>
      </c>
      <c r="O89" s="211" t="str">
        <f t="shared" si="8"/>
        <v/>
      </c>
      <c r="P89"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89" s="91"/>
    </row>
    <row r="90" spans="1:17" ht="15.5" x14ac:dyDescent="0.35">
      <c r="A90" s="203"/>
      <c r="B90" s="204"/>
      <c r="C90" s="205"/>
      <c r="D90" s="205"/>
      <c r="E90" s="205"/>
      <c r="F90" s="159"/>
      <c r="G90" s="204"/>
      <c r="H90" s="206"/>
      <c r="I90" s="206"/>
      <c r="J90" s="205"/>
      <c r="K90" s="207"/>
      <c r="L90" s="208">
        <f t="shared" si="6"/>
        <v>0</v>
      </c>
      <c r="M90" s="209">
        <f t="shared" si="7"/>
        <v>0</v>
      </c>
      <c r="N90" s="210" t="str">
        <f>IF(Table2683261[[#This Row],[Fault Type]]="PM",IF(L90&lt;=(D90-C90),"Yes","No"),"")</f>
        <v/>
      </c>
      <c r="O90" s="211" t="str">
        <f t="shared" si="8"/>
        <v/>
      </c>
      <c r="P90"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90" s="91"/>
    </row>
    <row r="91" spans="1:17" ht="15.5" x14ac:dyDescent="0.35">
      <c r="A91" s="203"/>
      <c r="B91" s="204"/>
      <c r="C91" s="205"/>
      <c r="D91" s="205"/>
      <c r="E91" s="205"/>
      <c r="F91" s="159"/>
      <c r="G91" s="204"/>
      <c r="H91" s="206"/>
      <c r="I91" s="206"/>
      <c r="J91" s="205"/>
      <c r="K91" s="207"/>
      <c r="L91" s="208">
        <f t="shared" si="6"/>
        <v>0</v>
      </c>
      <c r="M91" s="209">
        <f t="shared" si="7"/>
        <v>0</v>
      </c>
      <c r="N91" s="210" t="str">
        <f>IF(Table2683261[[#This Row],[Fault Type]]="PM",IF(L91&lt;=(D91-C91),"Yes","No"),"")</f>
        <v/>
      </c>
      <c r="O91" s="211" t="str">
        <f t="shared" si="8"/>
        <v/>
      </c>
      <c r="P91" s="212" t="str">
        <f>IF(AND(Table2683261[[#This Row],[Name of Feeder]]&lt;&gt;"",OR(Table2683261[[#This Row],[Fault Type]]="TL",Table2683261[[#This Row],[Fault Type]]="TS",Table2683261[[#This Row],[Fault Type]]="UF",Table2683261[[#This Row],[Fault Type]]="SE")),(IF(AND(VLOOKUP(Table2683261[[#This Row],[Name of Feeder]],Main!D:E,2,0)="URBAN",ISNUMBER(SEARCH("33KV",Table2683261[[#This Row],[Name of Feeder]]))),IF(AND(Table2683261[[#This Row],[Outage Duration]]&gt;0,Table2683261[[#This Row],[Outage Duration]]&lt;=0.25),"Yes","No"),IF(AND(VLOOKUP(Table2683261[[#This Row],[Name of Feeder]],Main!D:E,2,0)="RURAL",ISNUMBER(SEARCH("33KV",Table2683261[[#This Row],[Name of Feeder]]))),IF(AND(Table2683261[[#This Row],[Outage Duration]]&gt;0,Table2683261[[#This Row],[Outage Duration]]&lt;=0.33),"Yes","No"),IF(AND(VLOOKUP(Table2683261[[#This Row],[Name of Feeder]],Main!D:E,2,0)="RURAL",ISNUMBER(SEARCH("11KV",Table2683261[[#This Row],[Name of Feeder]]))),IF(AND(Table2683261[[#This Row],[Outage Duration]]&gt;0,Table2683261[[#This Row],[Outage Duration]]&lt;=0.17),"Yes","No"),IF(AND(VLOOKUP(Table2683261[[#This Row],[Name of Feeder]],Main!D:E,2,0)="URBAN",ISNUMBER(SEARCH("11KV",Table2683261[[#This Row],[Name of Feeder]]))),IF(AND(Table2683261[[#This Row],[Outage Duration]]&gt;0,Table2683261[[#This Row],[Outage Duration]]&lt;=0.17),"Yes","No"),""))))),"")</f>
        <v/>
      </c>
      <c r="Q91"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Main!$F$226:$F$228</xm:f>
          </x14:formula1>
          <xm:sqref>I2:I91</xm:sqref>
        </x14:dataValidation>
        <x14:dataValidation type="list" allowBlank="1" showInputMessage="1" showErrorMessage="1" xr:uid="{00000000-0002-0000-0900-000001000000}">
          <x14:formula1>
            <xm:f>Main!$D$2:$D$196</xm:f>
          </x14:formula1>
          <xm:sqref>A2:A91</xm:sqref>
        </x14:dataValidation>
        <x14:dataValidation type="list" allowBlank="1" showInputMessage="1" showErrorMessage="1" xr:uid="{00000000-0002-0000-0900-000002000000}">
          <x14:formula1>
            <xm:f>Main!F$222:F$225</xm:f>
          </x14:formula1>
          <xm:sqref>G2:G91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81"/>
  <sheetViews>
    <sheetView zoomScale="70" zoomScaleNormal="70" workbookViewId="0">
      <selection activeCell="A2" sqref="A2:J56"/>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26</v>
      </c>
      <c r="B2" s="12" t="s">
        <v>150</v>
      </c>
      <c r="C2" s="13"/>
      <c r="D2" s="13"/>
      <c r="E2" s="13">
        <v>44780.013888888891</v>
      </c>
      <c r="F2" s="12">
        <v>2.6</v>
      </c>
      <c r="G2" s="12" t="s">
        <v>164</v>
      </c>
      <c r="H2" s="27" t="s">
        <v>794</v>
      </c>
      <c r="I2" s="27" t="s">
        <v>334</v>
      </c>
      <c r="J2" s="13">
        <v>44780.298611111109</v>
      </c>
      <c r="K2" s="32"/>
      <c r="L2" s="14">
        <f t="shared" ref="L2:L63" si="0">J2-E2</f>
        <v>0.28472222221898846</v>
      </c>
      <c r="M2" s="31">
        <f t="shared" ref="M2:M20" si="1">L2*F2</f>
        <v>0.74027777776936998</v>
      </c>
      <c r="N2" s="15" t="str">
        <f>IF(Table2683260[[#This Row],[Fault Type]]="PM",IF(L2&lt;=(D2-C2),"Yes","No"),"")</f>
        <v/>
      </c>
      <c r="O2" s="16" t="str">
        <f t="shared" ref="O2:O63" si="2">IF(N2="No",(L2-(D2-C2)),"")</f>
        <v/>
      </c>
      <c r="P2" s="30"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2" s="17"/>
    </row>
    <row r="3" spans="1:17" ht="15.5" x14ac:dyDescent="0.35">
      <c r="A3" s="4" t="s">
        <v>626</v>
      </c>
      <c r="B3" s="12" t="s">
        <v>150</v>
      </c>
      <c r="C3" s="13"/>
      <c r="D3" s="13"/>
      <c r="E3" s="13">
        <v>44780.018750000003</v>
      </c>
      <c r="F3" s="12">
        <v>0.1</v>
      </c>
      <c r="G3" s="12" t="s">
        <v>164</v>
      </c>
      <c r="H3" s="27" t="s">
        <v>795</v>
      </c>
      <c r="I3" s="27" t="s">
        <v>334</v>
      </c>
      <c r="J3" s="13">
        <v>44780.390277777777</v>
      </c>
      <c r="K3" s="32"/>
      <c r="L3" s="14">
        <f t="shared" si="0"/>
        <v>0.37152777777373558</v>
      </c>
      <c r="M3" s="31">
        <f t="shared" si="1"/>
        <v>3.7152777777373559E-2</v>
      </c>
      <c r="N3" s="15" t="str">
        <f>IF(Table2683260[[#This Row],[Fault Type]]="PM",IF(L3&lt;=(D3-C3),"Yes","No"),"")</f>
        <v/>
      </c>
      <c r="O3" s="16" t="str">
        <f t="shared" si="2"/>
        <v/>
      </c>
      <c r="P3" s="154" t="e">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#N/A</v>
      </c>
      <c r="Q3" s="17"/>
    </row>
    <row r="4" spans="1:17" ht="15.5" x14ac:dyDescent="0.35">
      <c r="A4" s="4" t="s">
        <v>546</v>
      </c>
      <c r="B4" s="12" t="s">
        <v>150</v>
      </c>
      <c r="C4" s="13"/>
      <c r="D4" s="13"/>
      <c r="E4" s="13">
        <v>44780.023611111108</v>
      </c>
      <c r="F4" s="12">
        <v>3.2</v>
      </c>
      <c r="G4" s="12" t="s">
        <v>162</v>
      </c>
      <c r="H4" s="12" t="s">
        <v>508</v>
      </c>
      <c r="I4" s="12" t="s">
        <v>334</v>
      </c>
      <c r="J4" s="13">
        <v>44780.027777777781</v>
      </c>
      <c r="K4" s="32"/>
      <c r="L4" s="14">
        <f t="shared" si="0"/>
        <v>4.1666666729724966E-3</v>
      </c>
      <c r="M4" s="31">
        <f t="shared" si="1"/>
        <v>1.333333335351199E-2</v>
      </c>
      <c r="N4" s="15" t="str">
        <f>IF(Table2683260[[#This Row],[Fault Type]]="PM",IF(L4&lt;=(D4-C4),"Yes","No"),"")</f>
        <v/>
      </c>
      <c r="O4" s="16" t="str">
        <f t="shared" si="2"/>
        <v/>
      </c>
      <c r="P4" s="154" t="e">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#N/A</v>
      </c>
      <c r="Q4" s="17"/>
    </row>
    <row r="5" spans="1:17" ht="15.5" x14ac:dyDescent="0.35">
      <c r="A5" s="4" t="s">
        <v>546</v>
      </c>
      <c r="B5" s="12" t="s">
        <v>150</v>
      </c>
      <c r="C5" s="13"/>
      <c r="D5" s="13"/>
      <c r="E5" s="13">
        <v>44780.039583333331</v>
      </c>
      <c r="F5" s="12">
        <v>3.2</v>
      </c>
      <c r="G5" s="12" t="s">
        <v>164</v>
      </c>
      <c r="H5" s="12" t="s">
        <v>796</v>
      </c>
      <c r="I5" s="12" t="s">
        <v>334</v>
      </c>
      <c r="J5" s="13">
        <v>44780.042361111111</v>
      </c>
      <c r="K5" s="32"/>
      <c r="L5" s="14">
        <f t="shared" si="0"/>
        <v>2.7777777795563452E-3</v>
      </c>
      <c r="M5" s="31">
        <f t="shared" si="1"/>
        <v>8.888888894580305E-3</v>
      </c>
      <c r="N5" s="15" t="str">
        <f>IF(Table2683260[[#This Row],[Fault Type]]="PM",IF(L5&lt;=(D5-C5),"Yes","No"),"")</f>
        <v/>
      </c>
      <c r="O5" s="16" t="str">
        <f t="shared" si="2"/>
        <v/>
      </c>
      <c r="P5" s="154" t="e">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#N/A</v>
      </c>
      <c r="Q5" s="17"/>
    </row>
    <row r="6" spans="1:17" ht="15.5" x14ac:dyDescent="0.35">
      <c r="A6" s="4" t="s">
        <v>46</v>
      </c>
      <c r="B6" s="12" t="s">
        <v>150</v>
      </c>
      <c r="C6" s="13"/>
      <c r="D6" s="13"/>
      <c r="E6" s="13">
        <v>44780.049305555556</v>
      </c>
      <c r="F6" s="12">
        <v>4.8</v>
      </c>
      <c r="G6" s="12" t="s">
        <v>162</v>
      </c>
      <c r="H6" s="12" t="s">
        <v>728</v>
      </c>
      <c r="I6" s="12" t="s">
        <v>334</v>
      </c>
      <c r="J6" s="13">
        <v>44780.074999999997</v>
      </c>
      <c r="K6" s="32"/>
      <c r="L6" s="14">
        <f t="shared" si="0"/>
        <v>2.569444444088731E-2</v>
      </c>
      <c r="M6" s="31">
        <f t="shared" si="1"/>
        <v>0.12333333331625908</v>
      </c>
      <c r="N6" s="15" t="str">
        <f>IF(Table2683260[[#This Row],[Fault Type]]="PM",IF(L6&lt;=(D6-C6),"Yes","No"),"")</f>
        <v/>
      </c>
      <c r="O6" s="16" t="str">
        <f t="shared" si="2"/>
        <v/>
      </c>
      <c r="P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6" s="17"/>
    </row>
    <row r="7" spans="1:17" ht="15.5" x14ac:dyDescent="0.35">
      <c r="A7" s="4" t="s">
        <v>499</v>
      </c>
      <c r="B7" s="12" t="s">
        <v>150</v>
      </c>
      <c r="C7" s="13"/>
      <c r="D7" s="13"/>
      <c r="E7" s="13">
        <v>44780.056944444441</v>
      </c>
      <c r="F7" s="12">
        <v>0.1</v>
      </c>
      <c r="G7" s="12" t="s">
        <v>164</v>
      </c>
      <c r="H7" s="12"/>
      <c r="I7" s="12"/>
      <c r="J7" s="13"/>
      <c r="K7" s="32"/>
      <c r="L7" s="14">
        <f t="shared" si="0"/>
        <v>-44780.056944444441</v>
      </c>
      <c r="M7" s="31">
        <f t="shared" si="1"/>
        <v>-4478.0056944444441</v>
      </c>
      <c r="N7" s="15" t="str">
        <f>IF(Table2683260[[#This Row],[Fault Type]]="PM",IF(L7&lt;=(D7-C7),"Yes","No"),"")</f>
        <v/>
      </c>
      <c r="O7" s="16" t="str">
        <f t="shared" si="2"/>
        <v/>
      </c>
      <c r="P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7" s="17"/>
    </row>
    <row r="8" spans="1:17" ht="15.5" x14ac:dyDescent="0.35">
      <c r="A8" s="4" t="s">
        <v>36</v>
      </c>
      <c r="B8" s="12" t="s">
        <v>150</v>
      </c>
      <c r="C8" s="13"/>
      <c r="D8" s="13"/>
      <c r="E8" s="13">
        <v>44780.063194444447</v>
      </c>
      <c r="F8" s="12"/>
      <c r="G8" s="12" t="s">
        <v>163</v>
      </c>
      <c r="H8" s="12" t="s">
        <v>797</v>
      </c>
      <c r="I8" s="12" t="s">
        <v>334</v>
      </c>
      <c r="J8" s="13">
        <v>44780.337500000001</v>
      </c>
      <c r="K8" s="32"/>
      <c r="L8" s="14">
        <f t="shared" si="0"/>
        <v>0.27430555555474712</v>
      </c>
      <c r="M8" s="31">
        <f t="shared" si="1"/>
        <v>0</v>
      </c>
      <c r="N8" s="15" t="str">
        <f>IF(Table2683260[[#This Row],[Fault Type]]="PM",IF(L8&lt;=(D8-C8),"Yes","No"),"")</f>
        <v/>
      </c>
      <c r="O8" s="16" t="str">
        <f t="shared" si="2"/>
        <v/>
      </c>
      <c r="P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8" s="17"/>
    </row>
    <row r="9" spans="1:17" ht="15.5" x14ac:dyDescent="0.35">
      <c r="A9" s="4" t="s">
        <v>315</v>
      </c>
      <c r="B9" s="12" t="s">
        <v>150</v>
      </c>
      <c r="C9" s="13"/>
      <c r="D9" s="13"/>
      <c r="E9" s="13">
        <v>44780.076388888891</v>
      </c>
      <c r="F9" s="12">
        <v>2.2000000000000002</v>
      </c>
      <c r="G9" s="12" t="s">
        <v>162</v>
      </c>
      <c r="H9" s="12" t="s">
        <v>798</v>
      </c>
      <c r="I9" s="12" t="s">
        <v>333</v>
      </c>
      <c r="J9" s="13">
        <v>44780.706250000003</v>
      </c>
      <c r="K9" s="32"/>
      <c r="L9" s="14">
        <f t="shared" si="0"/>
        <v>0.62986111111240461</v>
      </c>
      <c r="M9" s="31">
        <f t="shared" si="1"/>
        <v>1.3856944444472903</v>
      </c>
      <c r="N9" s="15" t="str">
        <f>IF(Table2683260[[#This Row],[Fault Type]]="PM",IF(L9&lt;=(D9-C9),"Yes","No"),"")</f>
        <v/>
      </c>
      <c r="O9" s="16" t="str">
        <f t="shared" si="2"/>
        <v/>
      </c>
      <c r="P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9" s="17"/>
    </row>
    <row r="10" spans="1:17" ht="15.5" x14ac:dyDescent="0.35">
      <c r="A10" s="4" t="s">
        <v>546</v>
      </c>
      <c r="B10" s="12" t="s">
        <v>150</v>
      </c>
      <c r="C10" s="13"/>
      <c r="D10" s="13"/>
      <c r="E10" s="13">
        <v>44780.113888888889</v>
      </c>
      <c r="F10" s="12">
        <v>2.2000000000000002</v>
      </c>
      <c r="G10" s="12" t="s">
        <v>162</v>
      </c>
      <c r="H10" s="12" t="s">
        <v>799</v>
      </c>
      <c r="I10" s="12" t="s">
        <v>334</v>
      </c>
      <c r="J10" s="13">
        <v>44780.245833333334</v>
      </c>
      <c r="K10" s="32"/>
      <c r="L10" s="14">
        <f t="shared" si="0"/>
        <v>0.13194444444525288</v>
      </c>
      <c r="M10" s="31">
        <f t="shared" si="1"/>
        <v>0.29027777777955638</v>
      </c>
      <c r="N10" s="15" t="str">
        <f>IF(Table2683260[[#This Row],[Fault Type]]="PM",IF(L10&lt;=(D10-C10),"Yes","No"),"")</f>
        <v/>
      </c>
      <c r="O10" s="16" t="str">
        <f t="shared" si="2"/>
        <v/>
      </c>
      <c r="P10" s="154" t="e">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#N/A</v>
      </c>
      <c r="Q10" s="17"/>
    </row>
    <row r="11" spans="1:17" ht="15.5" x14ac:dyDescent="0.35">
      <c r="A11" s="4" t="s">
        <v>59</v>
      </c>
      <c r="B11" s="12" t="s">
        <v>150</v>
      </c>
      <c r="C11" s="13"/>
      <c r="D11" s="13"/>
      <c r="E11" s="13">
        <v>44780.131249999999</v>
      </c>
      <c r="F11" s="12">
        <v>2.9</v>
      </c>
      <c r="G11" s="12" t="s">
        <v>164</v>
      </c>
      <c r="H11" s="12" t="s">
        <v>800</v>
      </c>
      <c r="I11" s="12" t="s">
        <v>333</v>
      </c>
      <c r="J11" s="13">
        <v>44780.412499999999</v>
      </c>
      <c r="K11" s="32"/>
      <c r="L11" s="14">
        <f t="shared" si="0"/>
        <v>0.28125</v>
      </c>
      <c r="M11" s="31">
        <f t="shared" si="1"/>
        <v>0.81562499999999993</v>
      </c>
      <c r="N11" s="15" t="str">
        <f>IF(Table2683260[[#This Row],[Fault Type]]="PM",IF(L11&lt;=(D11-C11),"Yes","No"),"")</f>
        <v/>
      </c>
      <c r="O11" s="16" t="str">
        <f t="shared" si="2"/>
        <v/>
      </c>
      <c r="P1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11" s="17"/>
    </row>
    <row r="12" spans="1:17" ht="15.5" x14ac:dyDescent="0.35">
      <c r="A12" s="4" t="s">
        <v>442</v>
      </c>
      <c r="B12" s="12" t="s">
        <v>150</v>
      </c>
      <c r="C12" s="13"/>
      <c r="D12" s="13"/>
      <c r="E12" s="13">
        <v>44780.125</v>
      </c>
      <c r="F12" s="12">
        <v>1.7</v>
      </c>
      <c r="G12" s="12" t="s">
        <v>164</v>
      </c>
      <c r="H12" s="12"/>
      <c r="I12" s="12"/>
      <c r="J12" s="13"/>
      <c r="K12" s="32"/>
      <c r="L12" s="14">
        <f t="shared" si="0"/>
        <v>-44780.125</v>
      </c>
      <c r="M12" s="31">
        <f t="shared" si="1"/>
        <v>-76126.212499999994</v>
      </c>
      <c r="N12" s="15" t="str">
        <f>IF(Table2683260[[#This Row],[Fault Type]]="PM",IF(L12&lt;=(D12-C12),"Yes","No"),"")</f>
        <v/>
      </c>
      <c r="O12" s="16" t="str">
        <f t="shared" si="2"/>
        <v/>
      </c>
      <c r="P1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12" s="17"/>
    </row>
    <row r="13" spans="1:17" ht="15.5" x14ac:dyDescent="0.35">
      <c r="A13" s="4" t="s">
        <v>195</v>
      </c>
      <c r="B13" s="12" t="s">
        <v>150</v>
      </c>
      <c r="C13" s="13"/>
      <c r="D13" s="13"/>
      <c r="E13" s="13">
        <v>44780.2</v>
      </c>
      <c r="F13" s="12">
        <v>2.5</v>
      </c>
      <c r="G13" s="12" t="s">
        <v>162</v>
      </c>
      <c r="H13" s="12" t="s">
        <v>728</v>
      </c>
      <c r="I13" s="12" t="s">
        <v>334</v>
      </c>
      <c r="J13" s="13">
        <v>44780.204861111109</v>
      </c>
      <c r="K13" s="32"/>
      <c r="L13" s="14">
        <f t="shared" si="0"/>
        <v>4.8611111124046147E-3</v>
      </c>
      <c r="M13" s="31">
        <f t="shared" si="1"/>
        <v>1.2152777781011537E-2</v>
      </c>
      <c r="N13" s="15" t="str">
        <f>IF(Table2683260[[#This Row],[Fault Type]]="PM",IF(L13&lt;=(D13-C13),"Yes","No"),"")</f>
        <v/>
      </c>
      <c r="O13" s="16" t="str">
        <f t="shared" si="2"/>
        <v/>
      </c>
      <c r="P1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13" s="17"/>
    </row>
    <row r="14" spans="1:17" ht="15.5" x14ac:dyDescent="0.35">
      <c r="A14" s="4" t="s">
        <v>46</v>
      </c>
      <c r="B14" s="12" t="s">
        <v>150</v>
      </c>
      <c r="C14" s="13"/>
      <c r="D14" s="13"/>
      <c r="E14" s="13">
        <v>44780.231944444444</v>
      </c>
      <c r="F14" s="12">
        <v>4.7</v>
      </c>
      <c r="G14" s="12" t="s">
        <v>164</v>
      </c>
      <c r="H14" s="12" t="s">
        <v>801</v>
      </c>
      <c r="I14" s="12" t="s">
        <v>333</v>
      </c>
      <c r="J14" s="13">
        <v>44780.370138888888</v>
      </c>
      <c r="K14" s="32"/>
      <c r="L14" s="14">
        <f t="shared" si="0"/>
        <v>0.13819444444379769</v>
      </c>
      <c r="M14" s="31">
        <f t="shared" si="1"/>
        <v>0.64951388888584916</v>
      </c>
      <c r="N14" s="15" t="str">
        <f>IF(Table2683260[[#This Row],[Fault Type]]="PM",IF(L14&lt;=(D14-C14),"Yes","No"),"")</f>
        <v/>
      </c>
      <c r="O14" s="16" t="str">
        <f t="shared" si="2"/>
        <v/>
      </c>
      <c r="P1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14" s="17"/>
    </row>
    <row r="15" spans="1:17" ht="15.5" x14ac:dyDescent="0.35">
      <c r="A15" s="4" t="s">
        <v>308</v>
      </c>
      <c r="B15" s="12" t="s">
        <v>150</v>
      </c>
      <c r="C15" s="13"/>
      <c r="D15" s="13"/>
      <c r="E15" s="13">
        <v>44780.254166666666</v>
      </c>
      <c r="F15" s="18">
        <v>0.5</v>
      </c>
      <c r="G15" s="12" t="s">
        <v>164</v>
      </c>
      <c r="H15" s="18" t="s">
        <v>802</v>
      </c>
      <c r="I15" s="18" t="s">
        <v>333</v>
      </c>
      <c r="J15" s="13">
        <v>44780.90902777778</v>
      </c>
      <c r="K15" s="32"/>
      <c r="L15" s="14">
        <f t="shared" si="0"/>
        <v>0.65486111111385981</v>
      </c>
      <c r="M15" s="31">
        <f t="shared" si="1"/>
        <v>0.3274305555569299</v>
      </c>
      <c r="N15" s="15" t="str">
        <f>IF(Table2683260[[#This Row],[Fault Type]]="PM",IF(L15&lt;=(D15-C15),"Yes","No"),"")</f>
        <v/>
      </c>
      <c r="O15" s="16" t="str">
        <f t="shared" si="2"/>
        <v/>
      </c>
      <c r="P1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15" s="17"/>
    </row>
    <row r="16" spans="1:17" ht="15.5" x14ac:dyDescent="0.35">
      <c r="A16" s="4" t="s">
        <v>371</v>
      </c>
      <c r="B16" s="12" t="s">
        <v>150</v>
      </c>
      <c r="C16" s="13"/>
      <c r="D16" s="13"/>
      <c r="E16" s="13">
        <v>44780.363888888889</v>
      </c>
      <c r="F16" s="18">
        <v>1.3</v>
      </c>
      <c r="G16" s="12" t="s">
        <v>164</v>
      </c>
      <c r="H16" s="18" t="s">
        <v>803</v>
      </c>
      <c r="I16" s="18" t="s">
        <v>333</v>
      </c>
      <c r="J16" s="13">
        <v>44780.563888888886</v>
      </c>
      <c r="K16" s="32"/>
      <c r="L16" s="14">
        <f t="shared" si="0"/>
        <v>0.19999999999708962</v>
      </c>
      <c r="M16" s="31">
        <f t="shared" si="1"/>
        <v>0.25999999999621654</v>
      </c>
      <c r="N16" s="15" t="str">
        <f>IF(Table2683260[[#This Row],[Fault Type]]="PM",IF(L16&lt;=(D16-C16),"Yes","No"),"")</f>
        <v/>
      </c>
      <c r="O16" s="16" t="str">
        <f t="shared" si="2"/>
        <v/>
      </c>
      <c r="P1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16" s="17"/>
    </row>
    <row r="17" spans="1:17" ht="15.5" x14ac:dyDescent="0.35">
      <c r="A17" s="4" t="s">
        <v>41</v>
      </c>
      <c r="B17" s="12" t="s">
        <v>150</v>
      </c>
      <c r="C17" s="13"/>
      <c r="D17" s="13"/>
      <c r="E17" s="13">
        <v>44780.401388888888</v>
      </c>
      <c r="F17" s="18">
        <v>12</v>
      </c>
      <c r="G17" s="12" t="s">
        <v>163</v>
      </c>
      <c r="H17" s="18" t="s">
        <v>567</v>
      </c>
      <c r="I17" s="18" t="s">
        <v>334</v>
      </c>
      <c r="J17" s="13">
        <v>44780.444444444445</v>
      </c>
      <c r="K17" s="32"/>
      <c r="L17" s="14">
        <f t="shared" si="0"/>
        <v>4.3055555557657499E-2</v>
      </c>
      <c r="M17" s="31">
        <f t="shared" si="1"/>
        <v>0.51666666669188999</v>
      </c>
      <c r="N17" s="15" t="str">
        <f>IF(Table2683260[[#This Row],[Fault Type]]="PM",IF(L17&lt;=(D17-C17),"Yes","No"),"")</f>
        <v/>
      </c>
      <c r="O17" s="16" t="str">
        <f t="shared" si="2"/>
        <v/>
      </c>
      <c r="P1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17" s="116"/>
    </row>
    <row r="18" spans="1:17" ht="15.5" x14ac:dyDescent="0.35">
      <c r="A18" s="4" t="s">
        <v>36</v>
      </c>
      <c r="B18" s="12" t="s">
        <v>150</v>
      </c>
      <c r="C18" s="13"/>
      <c r="D18" s="13"/>
      <c r="E18" s="13">
        <v>44780.42291666667</v>
      </c>
      <c r="F18">
        <v>3</v>
      </c>
      <c r="G18" s="159" t="s">
        <v>163</v>
      </c>
      <c r="H18" s="54" t="s">
        <v>804</v>
      </c>
      <c r="I18" s="54" t="s">
        <v>334</v>
      </c>
      <c r="J18" s="13">
        <v>44780.518055555556</v>
      </c>
      <c r="K18" s="32"/>
      <c r="L18" s="14">
        <f t="shared" si="0"/>
        <v>9.5138888886140194E-2</v>
      </c>
      <c r="M18" s="31">
        <f t="shared" si="1"/>
        <v>0.28541666665842058</v>
      </c>
      <c r="N18" s="15" t="str">
        <f>IF(Table2683260[[#This Row],[Fault Type]]="PM",IF(L18&lt;=(D18-C18),"Yes","No"),"")</f>
        <v/>
      </c>
      <c r="O18" s="16" t="str">
        <f t="shared" si="2"/>
        <v/>
      </c>
      <c r="P1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18" s="144"/>
    </row>
    <row r="19" spans="1:17" ht="15.5" x14ac:dyDescent="0.35">
      <c r="A19" s="4" t="s">
        <v>91</v>
      </c>
      <c r="B19" s="12" t="s">
        <v>156</v>
      </c>
      <c r="C19" s="13">
        <v>44780.416666666664</v>
      </c>
      <c r="D19" s="13">
        <v>44780.5</v>
      </c>
      <c r="E19" s="13">
        <v>44780.423611111109</v>
      </c>
      <c r="F19" s="18">
        <v>3.3</v>
      </c>
      <c r="G19" s="12"/>
      <c r="H19" s="18" t="s">
        <v>805</v>
      </c>
      <c r="I19" s="18"/>
      <c r="J19" s="13">
        <v>44780.465277777781</v>
      </c>
      <c r="K19" s="32"/>
      <c r="L19" s="14">
        <f t="shared" si="0"/>
        <v>4.1666666671517305E-2</v>
      </c>
      <c r="M19" s="31">
        <f t="shared" si="1"/>
        <v>0.1375000000160071</v>
      </c>
      <c r="N19" s="15" t="str">
        <f>IF(Table2683260[[#This Row],[Fault Type]]="PM",IF(L19&lt;=(D19-C19),"Yes","No"),"")</f>
        <v>Yes</v>
      </c>
      <c r="O19" s="16" t="str">
        <f t="shared" si="2"/>
        <v/>
      </c>
      <c r="P1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19" s="144"/>
    </row>
    <row r="20" spans="1:17" ht="15.5" x14ac:dyDescent="0.35">
      <c r="A20" s="4" t="s">
        <v>546</v>
      </c>
      <c r="B20" s="12" t="s">
        <v>150</v>
      </c>
      <c r="C20" s="13"/>
      <c r="D20" s="13"/>
      <c r="E20" s="13">
        <v>44780.425694444442</v>
      </c>
      <c r="F20" s="18">
        <v>2.5</v>
      </c>
      <c r="G20" s="12" t="s">
        <v>163</v>
      </c>
      <c r="H20" s="18" t="s">
        <v>806</v>
      </c>
      <c r="I20" s="18" t="s">
        <v>334</v>
      </c>
      <c r="J20" s="13">
        <v>44780.451388888891</v>
      </c>
      <c r="K20" s="32"/>
      <c r="L20" s="14">
        <f t="shared" si="0"/>
        <v>2.5694444448163267E-2</v>
      </c>
      <c r="M20" s="31">
        <f t="shared" si="1"/>
        <v>6.4236111120408168E-2</v>
      </c>
      <c r="N20" s="15" t="str">
        <f>IF(Table2683260[[#This Row],[Fault Type]]="PM",IF(L20&lt;=(D20-C20),"Yes","No"),"")</f>
        <v/>
      </c>
      <c r="O20" s="16" t="str">
        <f t="shared" si="2"/>
        <v/>
      </c>
      <c r="P20" s="154" t="e">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#N/A</v>
      </c>
      <c r="Q20" s="144"/>
    </row>
    <row r="21" spans="1:17" ht="15.5" x14ac:dyDescent="0.35">
      <c r="A21" s="4" t="s">
        <v>21</v>
      </c>
      <c r="B21" s="12" t="s">
        <v>156</v>
      </c>
      <c r="C21" s="13">
        <v>44780.416666666664</v>
      </c>
      <c r="D21" s="13">
        <v>44780.541666666664</v>
      </c>
      <c r="E21" s="13">
        <v>44780.430555555555</v>
      </c>
      <c r="F21" s="18">
        <v>13.7</v>
      </c>
      <c r="G21" s="12"/>
      <c r="H21" s="18" t="s">
        <v>807</v>
      </c>
      <c r="I21" s="18"/>
      <c r="J21" s="13">
        <v>44780.78125</v>
      </c>
      <c r="K21" s="32"/>
      <c r="L21" s="14">
        <f t="shared" si="0"/>
        <v>0.35069444444525288</v>
      </c>
      <c r="M21" s="31">
        <f t="shared" ref="M21:M77" si="3">L21*F21</f>
        <v>4.8045138888999643</v>
      </c>
      <c r="N21" s="15" t="str">
        <f>IF(Table2683260[[#This Row],[Fault Type]]="PM",IF(L21&lt;=(D21-C21),"Yes","No"),"")</f>
        <v>No</v>
      </c>
      <c r="O21" s="16">
        <f t="shared" si="2"/>
        <v>0.22569444444525288</v>
      </c>
      <c r="P2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1" s="144"/>
    </row>
    <row r="22" spans="1:17" ht="15.5" x14ac:dyDescent="0.35">
      <c r="A22" s="4" t="s">
        <v>40</v>
      </c>
      <c r="B22" s="12" t="s">
        <v>156</v>
      </c>
      <c r="C22" s="13">
        <v>44780.416666666664</v>
      </c>
      <c r="D22" s="13">
        <v>44780.75</v>
      </c>
      <c r="E22" s="13">
        <v>44780.431944444441</v>
      </c>
      <c r="F22" s="18">
        <v>12</v>
      </c>
      <c r="G22" s="12"/>
      <c r="H22" s="18" t="s">
        <v>808</v>
      </c>
      <c r="I22" s="18"/>
      <c r="J22" s="13">
        <v>44780.686111111114</v>
      </c>
      <c r="K22" s="32"/>
      <c r="L22" s="14">
        <f t="shared" si="0"/>
        <v>0.2541666666729725</v>
      </c>
      <c r="M22" s="31">
        <f t="shared" si="3"/>
        <v>3.05000000007567</v>
      </c>
      <c r="N22" s="15" t="str">
        <f>IF(Table2683260[[#This Row],[Fault Type]]="PM",IF(L22&lt;=(D22-C22),"Yes","No"),"")</f>
        <v>Yes</v>
      </c>
      <c r="O22" s="16" t="str">
        <f t="shared" si="2"/>
        <v/>
      </c>
      <c r="P2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2" s="144"/>
    </row>
    <row r="23" spans="1:17" ht="15.5" x14ac:dyDescent="0.35">
      <c r="A23" s="4" t="s">
        <v>23</v>
      </c>
      <c r="B23" s="12" t="s">
        <v>156</v>
      </c>
      <c r="C23" s="13">
        <v>44780.416666666664</v>
      </c>
      <c r="D23" s="13">
        <v>44780.666666666664</v>
      </c>
      <c r="E23" s="13">
        <v>44780.4375</v>
      </c>
      <c r="F23" s="12">
        <v>1</v>
      </c>
      <c r="G23" s="12"/>
      <c r="H23" s="12" t="s">
        <v>809</v>
      </c>
      <c r="I23" s="12"/>
      <c r="J23" s="13">
        <v>44780.695833333331</v>
      </c>
      <c r="K23" s="32"/>
      <c r="L23" s="14">
        <f t="shared" si="0"/>
        <v>0.25833333333139308</v>
      </c>
      <c r="M23" s="31">
        <f t="shared" si="3"/>
        <v>0.25833333333139308</v>
      </c>
      <c r="N23" s="15" t="str">
        <f>IF(Table2683260[[#This Row],[Fault Type]]="PM",IF(L23&lt;=(D23-C23),"Yes","No"),"")</f>
        <v>No</v>
      </c>
      <c r="O23" s="16">
        <f t="shared" si="2"/>
        <v>8.333333331393078E-3</v>
      </c>
      <c r="P2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3" s="144"/>
    </row>
    <row r="24" spans="1:17" ht="15.5" x14ac:dyDescent="0.35">
      <c r="A24" s="4" t="s">
        <v>41</v>
      </c>
      <c r="B24" s="12" t="s">
        <v>156</v>
      </c>
      <c r="C24" s="13">
        <v>44780.416666666664</v>
      </c>
      <c r="D24" s="13">
        <v>44780.4375</v>
      </c>
      <c r="E24" s="13">
        <v>44780.458333333336</v>
      </c>
      <c r="F24" s="18"/>
      <c r="G24" s="12"/>
      <c r="H24" s="18"/>
      <c r="I24" s="18"/>
      <c r="J24" s="13">
        <v>44780.479166666664</v>
      </c>
      <c r="K24" s="32"/>
      <c r="L24" s="14">
        <f t="shared" si="0"/>
        <v>2.0833333328482695E-2</v>
      </c>
      <c r="M24" s="31">
        <f t="shared" si="3"/>
        <v>0</v>
      </c>
      <c r="N24" s="15" t="str">
        <f>IF(Table2683260[[#This Row],[Fault Type]]="PM",IF(L24&lt;=(D24-C24),"Yes","No"),"")</f>
        <v>Yes</v>
      </c>
      <c r="O24" s="16" t="str">
        <f t="shared" si="2"/>
        <v/>
      </c>
      <c r="P2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4" s="144"/>
    </row>
    <row r="25" spans="1:17" ht="15.5" x14ac:dyDescent="0.35">
      <c r="A25" s="4" t="s">
        <v>29</v>
      </c>
      <c r="B25" s="12" t="s">
        <v>156</v>
      </c>
      <c r="C25" s="13">
        <v>44780.479166666664</v>
      </c>
      <c r="D25" s="13">
        <v>44780.604166666664</v>
      </c>
      <c r="E25" s="13">
        <v>44780.489583333336</v>
      </c>
      <c r="F25" s="18"/>
      <c r="G25" s="12"/>
      <c r="H25" s="18" t="s">
        <v>810</v>
      </c>
      <c r="I25" s="18"/>
      <c r="J25" s="13">
        <v>44780.597222222219</v>
      </c>
      <c r="K25" s="32"/>
      <c r="L25" s="14">
        <f t="shared" si="0"/>
        <v>0.10763888888322981</v>
      </c>
      <c r="M25" s="31">
        <f t="shared" si="3"/>
        <v>0</v>
      </c>
      <c r="N25" s="15" t="str">
        <f>IF(Table2683260[[#This Row],[Fault Type]]="PM",IF(L25&lt;=(D25-C25),"Yes","No"),"")</f>
        <v>Yes</v>
      </c>
      <c r="O25" s="16" t="str">
        <f t="shared" si="2"/>
        <v/>
      </c>
      <c r="P2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5" s="17"/>
    </row>
    <row r="26" spans="1:17" ht="15.5" x14ac:dyDescent="0.35">
      <c r="A26" s="4" t="s">
        <v>551</v>
      </c>
      <c r="B26" s="12" t="s">
        <v>156</v>
      </c>
      <c r="C26" s="13">
        <v>44780.416666666664</v>
      </c>
      <c r="D26" s="13">
        <v>44780.666666666664</v>
      </c>
      <c r="E26" s="13">
        <v>44780.5</v>
      </c>
      <c r="F26" s="12">
        <v>1</v>
      </c>
      <c r="G26" s="12"/>
      <c r="H26" s="12" t="s">
        <v>811</v>
      </c>
      <c r="I26" s="12"/>
      <c r="J26" s="13">
        <v>44780.637499999997</v>
      </c>
      <c r="K26" s="32"/>
      <c r="L26" s="14">
        <f t="shared" si="0"/>
        <v>0.13749999999708962</v>
      </c>
      <c r="M26" s="31">
        <f t="shared" si="3"/>
        <v>0.13749999999708962</v>
      </c>
      <c r="N26" s="15" t="str">
        <f>IF(Table2683260[[#This Row],[Fault Type]]="PM",IF(L26&lt;=(D26-C26),"Yes","No"),"")</f>
        <v>Yes</v>
      </c>
      <c r="O26" s="16" t="str">
        <f t="shared" si="2"/>
        <v/>
      </c>
      <c r="P2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6" s="17"/>
    </row>
    <row r="27" spans="1:17" ht="15.5" x14ac:dyDescent="0.35">
      <c r="A27" s="4" t="s">
        <v>20</v>
      </c>
      <c r="B27" s="12" t="s">
        <v>150</v>
      </c>
      <c r="C27" s="13"/>
      <c r="D27" s="13"/>
      <c r="E27" s="13">
        <v>44780.510416666664</v>
      </c>
      <c r="F27" s="18">
        <v>24</v>
      </c>
      <c r="G27" s="12" t="s">
        <v>162</v>
      </c>
      <c r="H27" s="18" t="s">
        <v>526</v>
      </c>
      <c r="I27" s="18" t="s">
        <v>526</v>
      </c>
      <c r="J27" s="13">
        <v>44780.517361111109</v>
      </c>
      <c r="K27" s="32"/>
      <c r="L27" s="14">
        <f t="shared" si="0"/>
        <v>6.9444444452528842E-3</v>
      </c>
      <c r="M27" s="31">
        <f t="shared" si="3"/>
        <v>0.16666666668606922</v>
      </c>
      <c r="N27" s="15" t="str">
        <f>IF(Table2683260[[#This Row],[Fault Type]]="PM",IF(L27&lt;=(D27-C27),"Yes","No"),"")</f>
        <v/>
      </c>
      <c r="O27" s="16" t="str">
        <f t="shared" si="2"/>
        <v/>
      </c>
      <c r="P2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27" s="17"/>
    </row>
    <row r="28" spans="1:17" s="145" customFormat="1" ht="15.5" x14ac:dyDescent="0.35">
      <c r="A28" s="146" t="s">
        <v>36</v>
      </c>
      <c r="B28" s="147" t="s">
        <v>150</v>
      </c>
      <c r="C28" s="148"/>
      <c r="D28" s="148"/>
      <c r="E28" s="148">
        <v>44780.522222222222</v>
      </c>
      <c r="F28" s="153">
        <v>2.8</v>
      </c>
      <c r="G28" s="147" t="s">
        <v>163</v>
      </c>
      <c r="H28" s="153" t="s">
        <v>812</v>
      </c>
      <c r="I28" s="153" t="s">
        <v>334</v>
      </c>
      <c r="J28" s="148">
        <v>44780.663194444445</v>
      </c>
      <c r="K28" s="156"/>
      <c r="L28" s="149">
        <f>J28-E28</f>
        <v>0.14097222222335404</v>
      </c>
      <c r="M28" s="155">
        <f>L28*F28</f>
        <v>0.39472222222539127</v>
      </c>
      <c r="N28" s="150" t="str">
        <f>IF(Table2683260[[#This Row],[Fault Type]]="PM",IF(L28&lt;=(D28-C28),"Yes","No"),"")</f>
        <v/>
      </c>
      <c r="O28" s="151" t="str">
        <f>IF(N28="No",(L28-(D28-C28)),"")</f>
        <v/>
      </c>
      <c r="P2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28" s="152"/>
    </row>
    <row r="29" spans="1:17" ht="15.5" x14ac:dyDescent="0.35">
      <c r="A29" s="4" t="s">
        <v>813</v>
      </c>
      <c r="B29" s="12" t="s">
        <v>156</v>
      </c>
      <c r="C29" s="13">
        <v>44780.458333333336</v>
      </c>
      <c r="D29" s="13">
        <v>44780.625</v>
      </c>
      <c r="E29" s="13">
        <v>44780.53125</v>
      </c>
      <c r="F29" s="18"/>
      <c r="G29" s="12"/>
      <c r="H29" s="18" t="s">
        <v>814</v>
      </c>
      <c r="I29" s="18"/>
      <c r="J29" s="13">
        <v>44780.751388888886</v>
      </c>
      <c r="K29" s="32"/>
      <c r="L29" s="14">
        <f t="shared" si="0"/>
        <v>0.22013888888614019</v>
      </c>
      <c r="M29" s="31">
        <f t="shared" si="3"/>
        <v>0</v>
      </c>
      <c r="N29" s="15" t="str">
        <f>IF(Table2683260[[#This Row],[Fault Type]]="PM",IF(L29&lt;=(D29-C29),"Yes","No"),"")</f>
        <v>No</v>
      </c>
      <c r="O29" s="16">
        <f t="shared" si="2"/>
        <v>5.3472222221898846E-2</v>
      </c>
      <c r="P2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29" s="17"/>
    </row>
    <row r="30" spans="1:17" ht="15.5" x14ac:dyDescent="0.35">
      <c r="A30" s="4" t="s">
        <v>20</v>
      </c>
      <c r="B30" s="12" t="s">
        <v>150</v>
      </c>
      <c r="C30" s="13"/>
      <c r="D30" s="13"/>
      <c r="E30" s="13">
        <v>44780.531944444447</v>
      </c>
      <c r="F30" s="18">
        <v>14</v>
      </c>
      <c r="G30" s="12" t="s">
        <v>164</v>
      </c>
      <c r="H30" s="18" t="s">
        <v>508</v>
      </c>
      <c r="I30" s="18" t="s">
        <v>334</v>
      </c>
      <c r="J30" s="13">
        <v>44780.654166666667</v>
      </c>
      <c r="K30" s="32"/>
      <c r="L30" s="14">
        <f t="shared" si="0"/>
        <v>0.12222222222044365</v>
      </c>
      <c r="M30" s="31">
        <f t="shared" si="3"/>
        <v>1.7111111110862112</v>
      </c>
      <c r="N30" s="15" t="str">
        <f>IF(Table2683260[[#This Row],[Fault Type]]="PM",IF(L30&lt;=(D30-C30),"Yes","No"),"")</f>
        <v/>
      </c>
      <c r="O30" s="16" t="str">
        <f t="shared" si="2"/>
        <v/>
      </c>
      <c r="P30"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0" s="17"/>
    </row>
    <row r="31" spans="1:17" ht="15.5" x14ac:dyDescent="0.35">
      <c r="A31" s="4" t="s">
        <v>103</v>
      </c>
      <c r="B31" s="12" t="s">
        <v>156</v>
      </c>
      <c r="C31" s="13">
        <v>44780.541666666664</v>
      </c>
      <c r="D31" s="13">
        <v>44780.625</v>
      </c>
      <c r="E31" s="13">
        <v>44780.541666666664</v>
      </c>
      <c r="F31" s="18"/>
      <c r="G31" s="12"/>
      <c r="H31" s="18" t="s">
        <v>815</v>
      </c>
      <c r="I31" s="18"/>
      <c r="J31" s="13">
        <v>44780.618055555555</v>
      </c>
      <c r="K31" s="32"/>
      <c r="L31" s="14">
        <f t="shared" si="0"/>
        <v>7.6388888890505768E-2</v>
      </c>
      <c r="M31" s="31">
        <f t="shared" si="3"/>
        <v>0</v>
      </c>
      <c r="N31" s="15" t="str">
        <f>IF(Table2683260[[#This Row],[Fault Type]]="PM",IF(L31&lt;=(D31-C31),"Yes","No"),"")</f>
        <v>Yes</v>
      </c>
      <c r="O31" s="16" t="str">
        <f t="shared" si="2"/>
        <v/>
      </c>
      <c r="P3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31" s="17"/>
    </row>
    <row r="32" spans="1:17" ht="15.5" x14ac:dyDescent="0.35">
      <c r="A32" s="4" t="s">
        <v>314</v>
      </c>
      <c r="B32" s="12" t="s">
        <v>150</v>
      </c>
      <c r="C32" s="13"/>
      <c r="D32" s="13"/>
      <c r="E32" s="13">
        <v>44780.569444444445</v>
      </c>
      <c r="F32" s="18">
        <v>5.5</v>
      </c>
      <c r="G32" s="12" t="s">
        <v>164</v>
      </c>
      <c r="H32" s="18" t="s">
        <v>816</v>
      </c>
      <c r="I32" s="18" t="s">
        <v>334</v>
      </c>
      <c r="J32" s="13">
        <v>44780.612500000003</v>
      </c>
      <c r="K32" s="32"/>
      <c r="L32" s="14">
        <f t="shared" si="0"/>
        <v>4.3055555557657499E-2</v>
      </c>
      <c r="M32" s="31">
        <f t="shared" si="3"/>
        <v>0.23680555556711624</v>
      </c>
      <c r="N32" s="15" t="str">
        <f>IF(Table2683260[[#This Row],[Fault Type]]="PM",IF(L32&lt;=(D32-C32),"Yes","No"),"")</f>
        <v/>
      </c>
      <c r="O32" s="16" t="str">
        <f t="shared" si="2"/>
        <v/>
      </c>
      <c r="P3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2" s="17"/>
    </row>
    <row r="33" spans="1:17" ht="15.5" x14ac:dyDescent="0.35">
      <c r="A33" s="4" t="s">
        <v>43</v>
      </c>
      <c r="B33" s="12" t="s">
        <v>150</v>
      </c>
      <c r="C33" s="13"/>
      <c r="D33" s="13"/>
      <c r="E33" s="13">
        <v>44780.571527777778</v>
      </c>
      <c r="F33" s="18">
        <v>2.1</v>
      </c>
      <c r="G33" s="12" t="s">
        <v>164</v>
      </c>
      <c r="H33" s="18"/>
      <c r="I33" s="18"/>
      <c r="J33" s="13"/>
      <c r="K33" s="32"/>
      <c r="L33" s="14">
        <f t="shared" si="0"/>
        <v>-44780.571527777778</v>
      </c>
      <c r="M33" s="31">
        <f t="shared" si="3"/>
        <v>-94039.200208333335</v>
      </c>
      <c r="N33" s="15" t="str">
        <f>IF(Table2683260[[#This Row],[Fault Type]]="PM",IF(L33&lt;=(D33-C33),"Yes","No"),"")</f>
        <v/>
      </c>
      <c r="O33" s="16" t="str">
        <f t="shared" si="2"/>
        <v/>
      </c>
      <c r="P3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33" s="17"/>
    </row>
    <row r="34" spans="1:17" ht="15.5" x14ac:dyDescent="0.35">
      <c r="A34" s="4" t="s">
        <v>32</v>
      </c>
      <c r="B34" s="12" t="s">
        <v>150</v>
      </c>
      <c r="C34" s="13"/>
      <c r="D34" s="13"/>
      <c r="E34" s="13">
        <v>44780.589583333334</v>
      </c>
      <c r="F34" s="18">
        <v>22</v>
      </c>
      <c r="G34" s="12" t="s">
        <v>162</v>
      </c>
      <c r="H34" s="18" t="s">
        <v>817</v>
      </c>
      <c r="I34" s="18" t="s">
        <v>526</v>
      </c>
      <c r="J34" s="133">
        <v>44780.598611111112</v>
      </c>
      <c r="K34" s="32"/>
      <c r="L34" s="14">
        <f t="shared" si="0"/>
        <v>9.0277777781011537E-3</v>
      </c>
      <c r="M34" s="31">
        <f t="shared" si="3"/>
        <v>0.19861111111822538</v>
      </c>
      <c r="N34" s="15" t="str">
        <f>IF(Table2683260[[#This Row],[Fault Type]]="PM",IF(L34&lt;=(D34-C34),"Yes","No"),"")</f>
        <v/>
      </c>
      <c r="O34" s="16" t="str">
        <f t="shared" si="2"/>
        <v/>
      </c>
      <c r="P3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4" s="17"/>
    </row>
    <row r="35" spans="1:17" ht="15.5" x14ac:dyDescent="0.35">
      <c r="A35" s="4" t="s">
        <v>62</v>
      </c>
      <c r="B35" s="12" t="s">
        <v>150</v>
      </c>
      <c r="C35" s="13"/>
      <c r="D35" s="13"/>
      <c r="E35" s="13">
        <v>44780.597222222219</v>
      </c>
      <c r="F35" s="18">
        <v>3</v>
      </c>
      <c r="G35" s="12" t="s">
        <v>162</v>
      </c>
      <c r="H35" s="18" t="s">
        <v>817</v>
      </c>
      <c r="I35" s="18" t="s">
        <v>526</v>
      </c>
      <c r="J35" s="13">
        <v>44780.607638888891</v>
      </c>
      <c r="K35" s="32"/>
      <c r="L35" s="14">
        <f t="shared" si="0"/>
        <v>1.0416666671517305E-2</v>
      </c>
      <c r="M35" s="31">
        <f t="shared" si="3"/>
        <v>3.1250000014551915E-2</v>
      </c>
      <c r="N35" s="15" t="str">
        <f>IF(Table2683260[[#This Row],[Fault Type]]="PM",IF(L35&lt;=(D35-C35),"Yes","No"),"")</f>
        <v/>
      </c>
      <c r="O35" s="16" t="str">
        <f t="shared" si="2"/>
        <v/>
      </c>
      <c r="P3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5" s="17"/>
    </row>
    <row r="36" spans="1:17" ht="15.5" x14ac:dyDescent="0.35">
      <c r="A36" s="4" t="s">
        <v>500</v>
      </c>
      <c r="B36" s="12" t="s">
        <v>150</v>
      </c>
      <c r="C36" s="13"/>
      <c r="D36" s="13"/>
      <c r="E36" s="13">
        <v>44780.656944444447</v>
      </c>
      <c r="F36" s="18">
        <v>0.1</v>
      </c>
      <c r="G36" s="12" t="s">
        <v>164</v>
      </c>
      <c r="H36" s="18" t="s">
        <v>818</v>
      </c>
      <c r="I36" s="18" t="s">
        <v>334</v>
      </c>
      <c r="J36" s="13">
        <v>44780.731249999997</v>
      </c>
      <c r="K36" s="32"/>
      <c r="L36" s="14">
        <f t="shared" si="0"/>
        <v>7.4305555550381541E-2</v>
      </c>
      <c r="M36" s="31">
        <f t="shared" si="3"/>
        <v>7.4305555550381545E-3</v>
      </c>
      <c r="N36" s="15" t="str">
        <f>IF(Table2683260[[#This Row],[Fault Type]]="PM",IF(L36&lt;=(D36-C36),"Yes","No"),"")</f>
        <v/>
      </c>
      <c r="O36" s="16" t="str">
        <f t="shared" si="2"/>
        <v/>
      </c>
      <c r="P3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6" s="17"/>
    </row>
    <row r="37" spans="1:17" ht="15.5" x14ac:dyDescent="0.35">
      <c r="A37" s="4" t="s">
        <v>127</v>
      </c>
      <c r="B37" s="12" t="s">
        <v>150</v>
      </c>
      <c r="C37" s="13"/>
      <c r="D37" s="13"/>
      <c r="E37" s="13">
        <v>44780.663194444445</v>
      </c>
      <c r="F37" s="18">
        <v>0.6</v>
      </c>
      <c r="G37" s="12" t="s">
        <v>164</v>
      </c>
      <c r="H37" s="18" t="s">
        <v>819</v>
      </c>
      <c r="I37" s="18" t="s">
        <v>333</v>
      </c>
      <c r="J37" s="13">
        <v>44780.774305555555</v>
      </c>
      <c r="K37" s="32"/>
      <c r="L37" s="14">
        <f t="shared" si="0"/>
        <v>0.11111111110949423</v>
      </c>
      <c r="M37" s="31">
        <f t="shared" si="3"/>
        <v>6.6666666665696539E-2</v>
      </c>
      <c r="N37" s="15" t="str">
        <f>IF(Table2683260[[#This Row],[Fault Type]]="PM",IF(L37&lt;=(D37-C37),"Yes","No"),"")</f>
        <v/>
      </c>
      <c r="O37" s="16" t="str">
        <f t="shared" si="2"/>
        <v/>
      </c>
      <c r="P3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7" s="17"/>
    </row>
    <row r="38" spans="1:17" ht="15.5" x14ac:dyDescent="0.35">
      <c r="A38" s="4" t="s">
        <v>27</v>
      </c>
      <c r="B38" s="12" t="s">
        <v>150</v>
      </c>
      <c r="C38" s="13"/>
      <c r="D38" s="13"/>
      <c r="E38" s="13">
        <v>44780.677777777775</v>
      </c>
      <c r="F38" s="18">
        <v>5.3</v>
      </c>
      <c r="G38" s="12" t="s">
        <v>162</v>
      </c>
      <c r="H38" s="18" t="s">
        <v>817</v>
      </c>
      <c r="I38" s="18" t="s">
        <v>817</v>
      </c>
      <c r="J38" s="13">
        <v>44780.681250000001</v>
      </c>
      <c r="K38" s="32"/>
      <c r="L38" s="14">
        <f t="shared" si="0"/>
        <v>3.4722222262644209E-3</v>
      </c>
      <c r="M38" s="31">
        <f t="shared" si="3"/>
        <v>1.8402777799201429E-2</v>
      </c>
      <c r="N38" s="15" t="str">
        <f>IF(Table2683260[[#This Row],[Fault Type]]="PM",IF(L38&lt;=(D38-C38),"Yes","No"),"")</f>
        <v/>
      </c>
      <c r="O38" s="16" t="str">
        <f t="shared" si="2"/>
        <v/>
      </c>
      <c r="P3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8" s="17"/>
    </row>
    <row r="39" spans="1:17" ht="15.5" x14ac:dyDescent="0.35">
      <c r="A39" s="4" t="s">
        <v>101</v>
      </c>
      <c r="B39" s="12" t="s">
        <v>150</v>
      </c>
      <c r="C39" s="13"/>
      <c r="D39" s="13"/>
      <c r="E39" s="13">
        <v>44780.677777777775</v>
      </c>
      <c r="F39" s="18">
        <v>3.4</v>
      </c>
      <c r="G39" s="12" t="s">
        <v>162</v>
      </c>
      <c r="H39" s="18" t="s">
        <v>820</v>
      </c>
      <c r="I39" s="18" t="s">
        <v>334</v>
      </c>
      <c r="J39" s="13">
        <v>44780.760416666664</v>
      </c>
      <c r="K39" s="32"/>
      <c r="L39" s="14">
        <f t="shared" si="0"/>
        <v>8.2638888889050577E-2</v>
      </c>
      <c r="M39" s="31">
        <f t="shared" si="3"/>
        <v>0.28097222222277196</v>
      </c>
      <c r="N39" s="15" t="str">
        <f>IF(Table2683260[[#This Row],[Fault Type]]="PM",IF(L39&lt;=(D39-C39),"Yes","No"),"")</f>
        <v/>
      </c>
      <c r="O39" s="16" t="str">
        <f t="shared" si="2"/>
        <v/>
      </c>
      <c r="P3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39" s="17"/>
    </row>
    <row r="40" spans="1:17" ht="15.5" x14ac:dyDescent="0.35">
      <c r="A40" s="4" t="s">
        <v>36</v>
      </c>
      <c r="B40" s="12" t="s">
        <v>150</v>
      </c>
      <c r="C40" s="13"/>
      <c r="D40" s="13"/>
      <c r="E40" s="13">
        <v>44780.684027777781</v>
      </c>
      <c r="F40" s="18">
        <v>3.2</v>
      </c>
      <c r="G40" s="12" t="s">
        <v>163</v>
      </c>
      <c r="H40" s="18" t="s">
        <v>821</v>
      </c>
      <c r="I40" s="18" t="s">
        <v>334</v>
      </c>
      <c r="J40" s="13">
        <v>44781.0625</v>
      </c>
      <c r="K40" s="32"/>
      <c r="L40" s="14">
        <f t="shared" si="0"/>
        <v>0.37847222221898846</v>
      </c>
      <c r="M40" s="31">
        <f t="shared" si="3"/>
        <v>1.2111111111007631</v>
      </c>
      <c r="N40" s="15" t="str">
        <f>IF(Table2683260[[#This Row],[Fault Type]]="PM",IF(L40&lt;=(D40-C40),"Yes","No"),"")</f>
        <v/>
      </c>
      <c r="O40" s="16" t="str">
        <f t="shared" si="2"/>
        <v/>
      </c>
      <c r="P40"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40" s="17"/>
    </row>
    <row r="41" spans="1:17" ht="15.5" x14ac:dyDescent="0.35">
      <c r="A41" s="4" t="s">
        <v>67</v>
      </c>
      <c r="B41" s="12" t="s">
        <v>158</v>
      </c>
      <c r="C41" s="13"/>
      <c r="D41" s="13"/>
      <c r="E41" s="13">
        <v>44780.220833333333</v>
      </c>
      <c r="F41" s="18">
        <v>2.9</v>
      </c>
      <c r="G41" s="12"/>
      <c r="H41" s="18" t="s">
        <v>822</v>
      </c>
      <c r="I41" s="18" t="s">
        <v>333</v>
      </c>
      <c r="J41" s="13">
        <v>44780.758333333331</v>
      </c>
      <c r="K41" s="32"/>
      <c r="L41" s="14">
        <f t="shared" si="0"/>
        <v>0.53749999999854481</v>
      </c>
      <c r="M41" s="31">
        <f t="shared" si="3"/>
        <v>1.5587499999957799</v>
      </c>
      <c r="N41" s="15" t="str">
        <f>IF(Table2683260[[#This Row],[Fault Type]]="PM",IF(L41&lt;=(D41-C41),"Yes","No"),"")</f>
        <v/>
      </c>
      <c r="O41" s="16" t="str">
        <f t="shared" si="2"/>
        <v/>
      </c>
      <c r="P4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41" s="17"/>
    </row>
    <row r="42" spans="1:17" ht="15.75" customHeight="1" x14ac:dyDescent="0.35">
      <c r="A42" s="4" t="s">
        <v>85</v>
      </c>
      <c r="B42" s="12" t="s">
        <v>150</v>
      </c>
      <c r="C42" s="13"/>
      <c r="D42" s="13"/>
      <c r="E42" s="13">
        <v>44780.788194444445</v>
      </c>
      <c r="F42" s="12"/>
      <c r="G42" s="12" t="s">
        <v>163</v>
      </c>
      <c r="H42" s="12" t="s">
        <v>823</v>
      </c>
      <c r="I42" s="12" t="s">
        <v>333</v>
      </c>
      <c r="J42" s="13">
        <v>44781.121527777781</v>
      </c>
      <c r="K42" s="32"/>
      <c r="L42" s="14">
        <f t="shared" si="0"/>
        <v>0.33333333333575865</v>
      </c>
      <c r="M42" s="31">
        <f t="shared" si="3"/>
        <v>0</v>
      </c>
      <c r="N42" s="15" t="str">
        <f>IF(Table2683260[[#This Row],[Fault Type]]="PM",IF(L42&lt;=(D42-C42),"Yes","No"),"")</f>
        <v/>
      </c>
      <c r="O42" s="16" t="str">
        <f t="shared" si="2"/>
        <v/>
      </c>
      <c r="P4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42" s="17"/>
    </row>
    <row r="43" spans="1:17" ht="15.5" x14ac:dyDescent="0.35">
      <c r="A43" s="4" t="s">
        <v>29</v>
      </c>
      <c r="B43" s="12" t="s">
        <v>150</v>
      </c>
      <c r="C43" s="13"/>
      <c r="D43" s="13"/>
      <c r="E43" s="13">
        <v>44780.774305555555</v>
      </c>
      <c r="F43" s="18">
        <v>15.8</v>
      </c>
      <c r="G43" s="12" t="s">
        <v>162</v>
      </c>
      <c r="H43" s="18" t="s">
        <v>526</v>
      </c>
      <c r="I43" s="18" t="s">
        <v>526</v>
      </c>
      <c r="J43" s="13">
        <v>44780.78125</v>
      </c>
      <c r="K43" s="32"/>
      <c r="L43" s="14">
        <f t="shared" si="0"/>
        <v>6.9444444452528842E-3</v>
      </c>
      <c r="M43" s="31">
        <f t="shared" si="3"/>
        <v>0.10972222223499557</v>
      </c>
      <c r="N43" s="15" t="str">
        <f>IF(Table2683260[[#This Row],[Fault Type]]="PM",IF(L43&lt;=(D43-C43),"Yes","No"),"")</f>
        <v/>
      </c>
      <c r="O43" s="16" t="str">
        <f t="shared" si="2"/>
        <v/>
      </c>
      <c r="P4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43" s="17"/>
    </row>
    <row r="44" spans="1:17" ht="15.5" x14ac:dyDescent="0.35">
      <c r="A44" s="4" t="s">
        <v>87</v>
      </c>
      <c r="B44" s="49" t="s">
        <v>150</v>
      </c>
      <c r="C44" s="49"/>
      <c r="D44" s="49"/>
      <c r="E44" s="13">
        <v>44780.788194444445</v>
      </c>
      <c r="F44" s="64"/>
      <c r="G44" s="159" t="s">
        <v>163</v>
      </c>
      <c r="H44" s="54" t="s">
        <v>824</v>
      </c>
      <c r="I44" s="54" t="s">
        <v>333</v>
      </c>
      <c r="J44" s="13">
        <v>44781.090277777781</v>
      </c>
      <c r="K44" s="32"/>
      <c r="L44" s="14">
        <f t="shared" si="0"/>
        <v>0.30208333333575865</v>
      </c>
      <c r="M44" s="53">
        <f t="shared" si="3"/>
        <v>0</v>
      </c>
      <c r="N44" s="50" t="str">
        <f>IF(Table2683260[[#This Row],[Fault Type]]="PM",IF(L44&lt;=(D44-C44),"Yes","No"),"")</f>
        <v/>
      </c>
      <c r="O44" s="51" t="str">
        <f t="shared" si="2"/>
        <v/>
      </c>
      <c r="P4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row>
    <row r="45" spans="1:17" ht="15.5" x14ac:dyDescent="0.35">
      <c r="A45" s="158" t="s">
        <v>64</v>
      </c>
      <c r="B45" s="55" t="s">
        <v>150</v>
      </c>
      <c r="C45" s="56"/>
      <c r="D45" s="56"/>
      <c r="E45" s="13">
        <v>44780.763888888891</v>
      </c>
      <c r="F45" s="55">
        <v>3.2</v>
      </c>
      <c r="G45" s="159"/>
      <c r="H45" s="138" t="s">
        <v>825</v>
      </c>
      <c r="I45" s="138" t="s">
        <v>333</v>
      </c>
      <c r="J45" s="13">
        <v>44780.865277777775</v>
      </c>
      <c r="K45" s="32"/>
      <c r="L45" s="14">
        <f t="shared" si="0"/>
        <v>0.101388888884685</v>
      </c>
      <c r="M45" s="59">
        <f t="shared" si="3"/>
        <v>0.32444444443099202</v>
      </c>
      <c r="N45" s="61" t="str">
        <f>IF(Table2683260[[#This Row],[Fault Type]]="PM",IF(L45&lt;=(D45-C45),"Yes","No"),"")</f>
        <v/>
      </c>
      <c r="O45" s="62" t="str">
        <f t="shared" si="2"/>
        <v/>
      </c>
      <c r="P4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45" s="63"/>
    </row>
    <row r="46" spans="1:17" s="157" customFormat="1" ht="15.5" x14ac:dyDescent="0.35">
      <c r="A46" s="158" t="s">
        <v>29</v>
      </c>
      <c r="B46" s="55" t="s">
        <v>150</v>
      </c>
      <c r="C46" s="56"/>
      <c r="D46" s="56"/>
      <c r="E46" s="160">
        <v>44780.787499999999</v>
      </c>
      <c r="F46" s="55">
        <v>15.6</v>
      </c>
      <c r="G46" s="55" t="s">
        <v>162</v>
      </c>
      <c r="H46" s="138" t="s">
        <v>526</v>
      </c>
      <c r="I46" s="138" t="s">
        <v>526</v>
      </c>
      <c r="J46" s="160">
        <v>44780.854166666664</v>
      </c>
      <c r="K46" s="168"/>
      <c r="L46" s="161">
        <f>J46-E46</f>
        <v>6.6666666665696539E-2</v>
      </c>
      <c r="M46" s="59">
        <f>L46*F46</f>
        <v>1.0399999999848659</v>
      </c>
      <c r="N46" s="61" t="str">
        <f>IF(Table2683260[[#This Row],[Fault Type]]="PM",IF(L46&lt;=(D46-C46),"Yes","No"),"")</f>
        <v/>
      </c>
      <c r="O46" s="62" t="str">
        <f>IF(N46="No",(L46-(D46-C46)),"")</f>
        <v/>
      </c>
      <c r="P46" s="166"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46" s="63"/>
    </row>
    <row r="47" spans="1:17" ht="15.5" x14ac:dyDescent="0.35">
      <c r="A47" s="158" t="s">
        <v>29</v>
      </c>
      <c r="B47" s="55" t="s">
        <v>150</v>
      </c>
      <c r="C47" s="56"/>
      <c r="D47" s="56"/>
      <c r="E47" s="13">
        <v>44780.881249999999</v>
      </c>
      <c r="F47" s="55">
        <v>7.6</v>
      </c>
      <c r="G47" s="55" t="s">
        <v>162</v>
      </c>
      <c r="H47" s="57" t="s">
        <v>526</v>
      </c>
      <c r="I47" s="18" t="s">
        <v>526</v>
      </c>
      <c r="J47" s="13">
        <v>44780.888194444444</v>
      </c>
      <c r="K47" s="32"/>
      <c r="L47" s="14">
        <f t="shared" si="0"/>
        <v>6.9444444452528842E-3</v>
      </c>
      <c r="M47" s="59">
        <f t="shared" si="3"/>
        <v>5.2777777783921918E-2</v>
      </c>
      <c r="N47" s="61" t="str">
        <f>IF(Table2683260[[#This Row],[Fault Type]]="PM",IF(L47&lt;=(D47-C47),"Yes","No"),"")</f>
        <v/>
      </c>
      <c r="O47" s="62" t="str">
        <f t="shared" si="2"/>
        <v/>
      </c>
      <c r="P4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47" s="63"/>
    </row>
    <row r="48" spans="1:17" ht="15.5" x14ac:dyDescent="0.35">
      <c r="A48" s="158" t="s">
        <v>45</v>
      </c>
      <c r="B48" s="55" t="s">
        <v>150</v>
      </c>
      <c r="C48" s="56"/>
      <c r="D48" s="56"/>
      <c r="E48" s="13">
        <v>44780.85833333333</v>
      </c>
      <c r="F48" s="55">
        <v>3.1</v>
      </c>
      <c r="G48" s="55" t="s">
        <v>164</v>
      </c>
      <c r="H48" s="57"/>
      <c r="I48" s="18"/>
      <c r="J48" s="13"/>
      <c r="K48" s="32"/>
      <c r="L48" s="14">
        <f t="shared" si="0"/>
        <v>-44780.85833333333</v>
      </c>
      <c r="M48" s="59">
        <f t="shared" si="3"/>
        <v>-138820.66083333333</v>
      </c>
      <c r="N48" s="61" t="str">
        <f>IF(Table2683260[[#This Row],[Fault Type]]="PM",IF(L48&lt;=(D48-C48),"Yes","No"),"")</f>
        <v/>
      </c>
      <c r="O48" s="62" t="str">
        <f t="shared" si="2"/>
        <v/>
      </c>
      <c r="P4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48" s="63"/>
    </row>
    <row r="49" spans="1:17" ht="15.5" x14ac:dyDescent="0.35">
      <c r="A49" s="158" t="s">
        <v>43</v>
      </c>
      <c r="B49" s="55" t="s">
        <v>150</v>
      </c>
      <c r="C49" s="56"/>
      <c r="D49" s="56"/>
      <c r="E49" s="13">
        <v>44780.85833333333</v>
      </c>
      <c r="F49" s="55"/>
      <c r="G49" s="55" t="s">
        <v>164</v>
      </c>
      <c r="H49" s="57" t="s">
        <v>826</v>
      </c>
      <c r="I49" s="18" t="s">
        <v>334</v>
      </c>
      <c r="J49" s="13">
        <v>44780.898611111108</v>
      </c>
      <c r="K49" s="83"/>
      <c r="L49" s="14">
        <f t="shared" si="0"/>
        <v>4.0277777778101154E-2</v>
      </c>
      <c r="M49" s="59">
        <f t="shared" si="3"/>
        <v>0</v>
      </c>
      <c r="N49" s="61" t="str">
        <f>IF(Table2683260[[#This Row],[Fault Type]]="PM",IF(L49&lt;=(D49-C49),"Yes","No"),"")</f>
        <v/>
      </c>
      <c r="O49" s="62" t="str">
        <f t="shared" si="2"/>
        <v/>
      </c>
      <c r="P4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49" s="63"/>
    </row>
    <row r="50" spans="1:17" ht="15.5" x14ac:dyDescent="0.35">
      <c r="A50" s="158" t="s">
        <v>101</v>
      </c>
      <c r="B50" s="55" t="s">
        <v>150</v>
      </c>
      <c r="C50" s="56"/>
      <c r="D50" s="56"/>
      <c r="E50" s="13">
        <v>44780.894444444442</v>
      </c>
      <c r="F50" s="55">
        <v>1.4</v>
      </c>
      <c r="G50" s="55" t="s">
        <v>439</v>
      </c>
      <c r="H50" s="57" t="s">
        <v>820</v>
      </c>
      <c r="I50" s="18" t="s">
        <v>334</v>
      </c>
      <c r="J50" s="13">
        <v>44780.947916666664</v>
      </c>
      <c r="K50" s="83"/>
      <c r="L50" s="14">
        <f t="shared" si="0"/>
        <v>5.3472222221898846E-2</v>
      </c>
      <c r="M50" s="59">
        <f t="shared" si="3"/>
        <v>7.4861111110658379E-2</v>
      </c>
      <c r="N50" s="61" t="str">
        <f>IF(Table2683260[[#This Row],[Fault Type]]="PM",IF(L50&lt;=(D50-C50),"Yes","No"),"")</f>
        <v/>
      </c>
      <c r="O50" s="62" t="str">
        <f t="shared" si="2"/>
        <v/>
      </c>
      <c r="P50"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50" s="63"/>
    </row>
    <row r="51" spans="1:17" ht="15.5" x14ac:dyDescent="0.35">
      <c r="A51" s="158" t="s">
        <v>363</v>
      </c>
      <c r="B51" s="55" t="s">
        <v>150</v>
      </c>
      <c r="C51" s="56"/>
      <c r="D51" s="56"/>
      <c r="E51" s="13">
        <v>44780.888888888891</v>
      </c>
      <c r="F51" s="55">
        <v>1.4</v>
      </c>
      <c r="G51" s="55" t="s">
        <v>164</v>
      </c>
      <c r="H51" s="57" t="s">
        <v>673</v>
      </c>
      <c r="I51" s="18" t="s">
        <v>334</v>
      </c>
      <c r="J51" s="13">
        <v>44782.411111111112</v>
      </c>
      <c r="K51" s="83"/>
      <c r="L51" s="14">
        <f t="shared" si="0"/>
        <v>1.5222222222218988</v>
      </c>
      <c r="M51" s="59">
        <f t="shared" si="3"/>
        <v>2.1311111111106582</v>
      </c>
      <c r="N51" s="61" t="str">
        <f>IF(Table2683260[[#This Row],[Fault Type]]="PM",IF(L51&lt;=(D51-C51),"Yes","No"),"")</f>
        <v/>
      </c>
      <c r="O51" s="62" t="str">
        <f t="shared" si="2"/>
        <v/>
      </c>
      <c r="P5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51" s="63"/>
    </row>
    <row r="52" spans="1:17" ht="15.5" x14ac:dyDescent="0.35">
      <c r="A52" s="158" t="s">
        <v>42</v>
      </c>
      <c r="B52" s="55" t="s">
        <v>150</v>
      </c>
      <c r="C52" s="56"/>
      <c r="D52" s="56"/>
      <c r="E52" s="13">
        <v>44780.888888888891</v>
      </c>
      <c r="F52" s="55">
        <v>2.5</v>
      </c>
      <c r="G52" s="55" t="s">
        <v>162</v>
      </c>
      <c r="H52" s="57" t="s">
        <v>827</v>
      </c>
      <c r="I52" s="18" t="s">
        <v>333</v>
      </c>
      <c r="J52" s="13">
        <v>44780.893055555556</v>
      </c>
      <c r="K52" s="83"/>
      <c r="L52" s="14">
        <f t="shared" si="0"/>
        <v>4.166666665696539E-3</v>
      </c>
      <c r="M52" s="59">
        <f t="shared" si="3"/>
        <v>1.0416666664241347E-2</v>
      </c>
      <c r="N52" s="61" t="str">
        <f>IF(Table2683260[[#This Row],[Fault Type]]="PM",IF(L52&lt;=(D52-C52),"Yes","No"),"")</f>
        <v/>
      </c>
      <c r="O52" s="62" t="str">
        <f t="shared" si="2"/>
        <v/>
      </c>
      <c r="P5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52" s="63"/>
    </row>
    <row r="53" spans="1:17" ht="15.5" x14ac:dyDescent="0.35">
      <c r="A53" s="158" t="s">
        <v>60</v>
      </c>
      <c r="B53" s="55" t="s">
        <v>150</v>
      </c>
      <c r="C53" s="56"/>
      <c r="D53" s="56"/>
      <c r="E53" s="13">
        <v>44780.904861111114</v>
      </c>
      <c r="F53" s="55">
        <v>2.8</v>
      </c>
      <c r="G53" s="55" t="s">
        <v>164</v>
      </c>
      <c r="H53" s="57" t="s">
        <v>828</v>
      </c>
      <c r="I53" s="165" t="s">
        <v>334</v>
      </c>
      <c r="J53" s="13">
        <v>44780.956250000003</v>
      </c>
      <c r="K53" s="83"/>
      <c r="L53" s="14">
        <f t="shared" si="0"/>
        <v>5.1388888889050577E-2</v>
      </c>
      <c r="M53" s="59">
        <f t="shared" si="3"/>
        <v>0.14388888888934159</v>
      </c>
      <c r="N53" s="61" t="str">
        <f>IF(Table2683260[[#This Row],[Fault Type]]="PM",IF(L53&lt;=(D53-C53),"Yes","No"),"")</f>
        <v/>
      </c>
      <c r="O53" s="62" t="str">
        <f t="shared" si="2"/>
        <v/>
      </c>
      <c r="P5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53" s="63"/>
    </row>
    <row r="54" spans="1:17" ht="15.5" x14ac:dyDescent="0.35">
      <c r="A54" s="158" t="s">
        <v>371</v>
      </c>
      <c r="B54" s="55" t="s">
        <v>150</v>
      </c>
      <c r="C54" s="56"/>
      <c r="D54" s="56"/>
      <c r="E54" s="13">
        <v>44780.92083333333</v>
      </c>
      <c r="F54" s="55">
        <v>1.3</v>
      </c>
      <c r="G54" s="55" t="s">
        <v>164</v>
      </c>
      <c r="H54" s="57" t="s">
        <v>829</v>
      </c>
      <c r="I54" s="18" t="s">
        <v>334</v>
      </c>
      <c r="J54" s="13">
        <v>44780.530555555553</v>
      </c>
      <c r="K54" s="83"/>
      <c r="L54" s="14">
        <f t="shared" si="0"/>
        <v>-0.39027777777664596</v>
      </c>
      <c r="M54" s="59">
        <f t="shared" si="3"/>
        <v>-0.50736111110963977</v>
      </c>
      <c r="N54" s="61" t="str">
        <f>IF(Table2683260[[#This Row],[Fault Type]]="PM",IF(L54&lt;=(D54-C54),"Yes","No"),"")</f>
        <v/>
      </c>
      <c r="O54" s="62" t="str">
        <f t="shared" si="2"/>
        <v/>
      </c>
      <c r="P5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54" s="63"/>
    </row>
    <row r="55" spans="1:17" ht="15.5" x14ac:dyDescent="0.35">
      <c r="A55" s="158" t="s">
        <v>309</v>
      </c>
      <c r="B55" s="55" t="s">
        <v>150</v>
      </c>
      <c r="C55" s="56"/>
      <c r="D55" s="56"/>
      <c r="E55" s="13">
        <v>44780.942361111112</v>
      </c>
      <c r="F55" s="55">
        <v>7.2</v>
      </c>
      <c r="G55" s="55" t="s">
        <v>163</v>
      </c>
      <c r="H55" s="57" t="s">
        <v>830</v>
      </c>
      <c r="I55" s="18" t="s">
        <v>334</v>
      </c>
      <c r="J55" s="13">
        <v>44781.027777777781</v>
      </c>
      <c r="K55" s="83"/>
      <c r="L55" s="14">
        <f t="shared" si="0"/>
        <v>8.5416666668606922E-2</v>
      </c>
      <c r="M55" s="59">
        <f t="shared" si="3"/>
        <v>0.61500000001396982</v>
      </c>
      <c r="N55" s="61" t="str">
        <f>IF(Table2683260[[#This Row],[Fault Type]]="PM",IF(L55&lt;=(D55-C55),"Yes","No"),"")</f>
        <v/>
      </c>
      <c r="O55" s="62" t="str">
        <f t="shared" si="2"/>
        <v/>
      </c>
      <c r="P5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Yes</v>
      </c>
      <c r="Q55" s="63"/>
    </row>
    <row r="56" spans="1:17" ht="15.5" x14ac:dyDescent="0.35">
      <c r="A56" s="158" t="s">
        <v>44</v>
      </c>
      <c r="B56" s="55" t="s">
        <v>150</v>
      </c>
      <c r="C56" s="56"/>
      <c r="D56" s="56"/>
      <c r="E56" s="13">
        <v>44780.955555555556</v>
      </c>
      <c r="F56" s="55">
        <v>4.2</v>
      </c>
      <c r="G56" s="55" t="s">
        <v>164</v>
      </c>
      <c r="H56" s="57" t="s">
        <v>699</v>
      </c>
      <c r="I56" s="18" t="s">
        <v>334</v>
      </c>
      <c r="J56" s="13">
        <v>44781.379861111112</v>
      </c>
      <c r="K56" s="60"/>
      <c r="L56" s="14">
        <f t="shared" si="0"/>
        <v>0.42430555555620231</v>
      </c>
      <c r="M56" s="59">
        <f t="shared" si="3"/>
        <v>1.7820833333360497</v>
      </c>
      <c r="N56" s="61" t="str">
        <f>IF(Table2683260[[#This Row],[Fault Type]]="PM",IF(L56&lt;=(D56-C56),"Yes","No"),"")</f>
        <v/>
      </c>
      <c r="O56" s="62" t="str">
        <f t="shared" si="2"/>
        <v/>
      </c>
      <c r="P5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No</v>
      </c>
      <c r="Q56" s="63"/>
    </row>
    <row r="57" spans="1:17" ht="15.5" x14ac:dyDescent="0.35">
      <c r="A57" s="158"/>
      <c r="B57" s="55"/>
      <c r="C57" s="56"/>
      <c r="D57" s="56"/>
      <c r="E57" s="13"/>
      <c r="F57" s="55"/>
      <c r="G57" s="55"/>
      <c r="H57" s="57"/>
      <c r="I57" s="18"/>
      <c r="J57" s="13"/>
      <c r="K57" s="60"/>
      <c r="L57" s="14">
        <f t="shared" si="0"/>
        <v>0</v>
      </c>
      <c r="M57" s="59">
        <f t="shared" si="3"/>
        <v>0</v>
      </c>
      <c r="N57" s="61" t="str">
        <f>IF(Table2683260[[#This Row],[Fault Type]]="PM",IF(L57&lt;=(D57-C57),"Yes","No"),"")</f>
        <v/>
      </c>
      <c r="O57" s="62" t="str">
        <f t="shared" si="2"/>
        <v/>
      </c>
      <c r="P5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57" s="63"/>
    </row>
    <row r="58" spans="1:17" ht="15.5" x14ac:dyDescent="0.35">
      <c r="A58" s="158"/>
      <c r="B58" s="55"/>
      <c r="C58" s="56"/>
      <c r="D58" s="56"/>
      <c r="E58" s="13"/>
      <c r="F58" s="55"/>
      <c r="G58" s="55"/>
      <c r="H58" s="57"/>
      <c r="I58" s="18"/>
      <c r="J58" s="13"/>
      <c r="K58" s="60"/>
      <c r="L58" s="14">
        <f t="shared" si="0"/>
        <v>0</v>
      </c>
      <c r="M58" s="59">
        <f t="shared" si="3"/>
        <v>0</v>
      </c>
      <c r="N58" s="61" t="str">
        <f>IF(Table2683260[[#This Row],[Fault Type]]="PM",IF(L58&lt;=(D58-C58),"Yes","No"),"")</f>
        <v/>
      </c>
      <c r="O58" s="62" t="str">
        <f t="shared" si="2"/>
        <v/>
      </c>
      <c r="P5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58" s="63"/>
    </row>
    <row r="59" spans="1:17" ht="15.5" x14ac:dyDescent="0.35">
      <c r="A59" s="158"/>
      <c r="B59" s="55"/>
      <c r="C59" s="56"/>
      <c r="D59" s="56"/>
      <c r="E59" s="13"/>
      <c r="F59" s="55"/>
      <c r="G59" s="55"/>
      <c r="H59" s="57"/>
      <c r="I59" s="18"/>
      <c r="J59" s="13"/>
      <c r="K59" s="60"/>
      <c r="L59" s="14">
        <f t="shared" si="0"/>
        <v>0</v>
      </c>
      <c r="M59" s="59">
        <f t="shared" si="3"/>
        <v>0</v>
      </c>
      <c r="N59" s="61" t="str">
        <f>IF(Table2683260[[#This Row],[Fault Type]]="PM",IF(L59&lt;=(D59-C59),"Yes","No"),"")</f>
        <v/>
      </c>
      <c r="O59" s="62" t="str">
        <f t="shared" si="2"/>
        <v/>
      </c>
      <c r="P5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59" s="63"/>
    </row>
    <row r="60" spans="1:17" ht="15.5" x14ac:dyDescent="0.35">
      <c r="A60" s="158"/>
      <c r="B60" s="55"/>
      <c r="C60" s="56"/>
      <c r="D60" s="56"/>
      <c r="E60" s="13"/>
      <c r="F60" s="55"/>
      <c r="G60" s="55"/>
      <c r="H60" s="57"/>
      <c r="I60" s="18"/>
      <c r="J60" s="13"/>
      <c r="K60" s="60"/>
      <c r="L60" s="14">
        <f t="shared" si="0"/>
        <v>0</v>
      </c>
      <c r="M60" s="59">
        <f t="shared" si="3"/>
        <v>0</v>
      </c>
      <c r="N60" s="61" t="str">
        <f>IF(Table2683260[[#This Row],[Fault Type]]="PM",IF(L60&lt;=(D60-C60),"Yes","No"),"")</f>
        <v/>
      </c>
      <c r="O60" s="62" t="str">
        <f t="shared" si="2"/>
        <v/>
      </c>
      <c r="P60"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0" s="63"/>
    </row>
    <row r="61" spans="1:17" ht="15.5" x14ac:dyDescent="0.35">
      <c r="A61" s="158"/>
      <c r="B61" s="55"/>
      <c r="C61" s="56"/>
      <c r="D61" s="56"/>
      <c r="E61" s="13"/>
      <c r="F61" s="55"/>
      <c r="G61" s="55"/>
      <c r="H61" s="57"/>
      <c r="I61" s="18"/>
      <c r="J61" s="13"/>
      <c r="K61" s="60"/>
      <c r="L61" s="14">
        <f t="shared" si="0"/>
        <v>0</v>
      </c>
      <c r="M61" s="59">
        <f t="shared" si="3"/>
        <v>0</v>
      </c>
      <c r="N61" s="61" t="str">
        <f>IF(Table2683260[[#This Row],[Fault Type]]="PM",IF(L61&lt;=(D61-C61),"Yes","No"),"")</f>
        <v/>
      </c>
      <c r="O61" s="62" t="str">
        <f t="shared" si="2"/>
        <v/>
      </c>
      <c r="P6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1" s="63"/>
    </row>
    <row r="62" spans="1:17" ht="15.5" x14ac:dyDescent="0.35">
      <c r="A62" s="158"/>
      <c r="B62" s="55"/>
      <c r="C62" s="56"/>
      <c r="D62" s="56"/>
      <c r="E62" s="13"/>
      <c r="F62" s="55"/>
      <c r="G62" s="55"/>
      <c r="H62" s="57"/>
      <c r="I62" s="18"/>
      <c r="J62" s="13"/>
      <c r="K62" s="60"/>
      <c r="L62" s="14">
        <f t="shared" si="0"/>
        <v>0</v>
      </c>
      <c r="M62" s="59">
        <f t="shared" si="3"/>
        <v>0</v>
      </c>
      <c r="N62" s="61" t="str">
        <f>IF(Table2683260[[#This Row],[Fault Type]]="PM",IF(L62&lt;=(D62-C62),"Yes","No"),"")</f>
        <v/>
      </c>
      <c r="O62" s="62" t="str">
        <f t="shared" si="2"/>
        <v/>
      </c>
      <c r="P6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2" s="63"/>
    </row>
    <row r="63" spans="1:17" ht="15.5" x14ac:dyDescent="0.35">
      <c r="A63" s="158"/>
      <c r="B63" s="55"/>
      <c r="C63" s="56"/>
      <c r="D63" s="56"/>
      <c r="E63" s="13"/>
      <c r="F63" s="55"/>
      <c r="G63" s="55"/>
      <c r="H63" s="57"/>
      <c r="I63" s="18"/>
      <c r="J63" s="13"/>
      <c r="K63" s="60"/>
      <c r="L63" s="14">
        <f t="shared" si="0"/>
        <v>0</v>
      </c>
      <c r="M63" s="59">
        <f t="shared" si="3"/>
        <v>0</v>
      </c>
      <c r="N63" s="61" t="str">
        <f>IF(Table2683260[[#This Row],[Fault Type]]="PM",IF(L63&lt;=(D63-C63),"Yes","No"),"")</f>
        <v/>
      </c>
      <c r="O63" s="62" t="str">
        <f t="shared" si="2"/>
        <v/>
      </c>
      <c r="P6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3" s="63"/>
    </row>
    <row r="64" spans="1:17" ht="15.5" x14ac:dyDescent="0.35">
      <c r="A64" s="158"/>
      <c r="B64" s="55"/>
      <c r="C64" s="56"/>
      <c r="D64" s="56"/>
      <c r="E64" s="13"/>
      <c r="F64" s="55"/>
      <c r="G64" s="55"/>
      <c r="H64" s="57"/>
      <c r="I64" s="18"/>
      <c r="J64" s="13"/>
      <c r="K64" s="60"/>
      <c r="L64" s="14">
        <f t="shared" ref="L64:L77" si="4">J64-E64</f>
        <v>0</v>
      </c>
      <c r="M64" s="59">
        <f t="shared" si="3"/>
        <v>0</v>
      </c>
      <c r="N64" s="61" t="str">
        <f>IF(Table2683260[[#This Row],[Fault Type]]="PM",IF(L64&lt;=(D64-C64),"Yes","No"),"")</f>
        <v/>
      </c>
      <c r="O64" s="62" t="str">
        <f t="shared" ref="O64:O77" si="5">IF(N64="No",(L64-(D64-C64)),"")</f>
        <v/>
      </c>
      <c r="P6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4" s="63"/>
    </row>
    <row r="65" spans="1:17" ht="15.5" x14ac:dyDescent="0.35">
      <c r="A65" s="158"/>
      <c r="B65" s="55"/>
      <c r="C65" s="56"/>
      <c r="D65" s="56"/>
      <c r="E65" s="13"/>
      <c r="F65" s="55"/>
      <c r="G65" s="55"/>
      <c r="H65" s="57"/>
      <c r="I65" s="18"/>
      <c r="J65" s="13"/>
      <c r="K65" s="60"/>
      <c r="L65" s="14">
        <f t="shared" si="4"/>
        <v>0</v>
      </c>
      <c r="M65" s="59">
        <f t="shared" si="3"/>
        <v>0</v>
      </c>
      <c r="N65" s="61" t="str">
        <f>IF(Table2683260[[#This Row],[Fault Type]]="PM",IF(L65&lt;=(D65-C65),"Yes","No"),"")</f>
        <v/>
      </c>
      <c r="O65" s="62" t="str">
        <f t="shared" si="5"/>
        <v/>
      </c>
      <c r="P6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5" s="63"/>
    </row>
    <row r="66" spans="1:17" ht="15.5" x14ac:dyDescent="0.35">
      <c r="A66" s="58"/>
      <c r="B66" s="55"/>
      <c r="C66" s="56"/>
      <c r="D66" s="56"/>
      <c r="E66" s="13"/>
      <c r="F66" s="55"/>
      <c r="G66" s="55"/>
      <c r="H66" s="57"/>
      <c r="I66" s="18"/>
      <c r="J66" s="13"/>
      <c r="K66" s="60"/>
      <c r="L66" s="14">
        <f t="shared" si="4"/>
        <v>0</v>
      </c>
      <c r="M66" s="59">
        <f t="shared" si="3"/>
        <v>0</v>
      </c>
      <c r="N66" s="61" t="str">
        <f>IF(Table2683260[[#This Row],[Fault Type]]="PM",IF(L66&lt;=(D66-C66),"Yes","No"),"")</f>
        <v/>
      </c>
      <c r="O66" s="62" t="str">
        <f t="shared" si="5"/>
        <v/>
      </c>
      <c r="P6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IF(Table2683260[[#This Row],[Fault Type]]="PM",IF(L67&lt;=(D67-C67),"Yes","No"),"")</f>
        <v/>
      </c>
      <c r="O67" s="62" t="str">
        <f t="shared" si="5"/>
        <v/>
      </c>
      <c r="P6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IF(Table2683260[[#This Row],[Fault Type]]="PM",IF(L68&lt;=(D68-C68),"Yes","No"),"")</f>
        <v/>
      </c>
      <c r="O68" s="62" t="str">
        <f t="shared" si="5"/>
        <v/>
      </c>
      <c r="P68"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IF(Table2683260[[#This Row],[Fault Type]]="PM",IF(L69&lt;=(D69-C69),"Yes","No"),"")</f>
        <v/>
      </c>
      <c r="O69" s="62" t="str">
        <f t="shared" si="5"/>
        <v/>
      </c>
      <c r="P69"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IF(Table2683260[[#This Row],[Fault Type]]="PM",IF(L70&lt;=(D70-C70),"Yes","No"),"")</f>
        <v/>
      </c>
      <c r="O70" s="62" t="str">
        <f t="shared" si="5"/>
        <v/>
      </c>
      <c r="P70"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IF(Table2683260[[#This Row],[Fault Type]]="PM",IF(L71&lt;=(D71-C71),"Yes","No"),"")</f>
        <v/>
      </c>
      <c r="O71" s="62" t="str">
        <f t="shared" si="5"/>
        <v/>
      </c>
      <c r="P71"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IF(Table2683260[[#This Row],[Fault Type]]="PM",IF(L72&lt;=(D72-C72),"Yes","No"),"")</f>
        <v/>
      </c>
      <c r="O72" s="62" t="str">
        <f t="shared" si="5"/>
        <v/>
      </c>
      <c r="P72"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IF(Table2683260[[#This Row],[Fault Type]]="PM",IF(L73&lt;=(D73-C73),"Yes","No"),"")</f>
        <v/>
      </c>
      <c r="O73" s="62" t="str">
        <f t="shared" si="5"/>
        <v/>
      </c>
      <c r="P73"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IF(Table2683260[[#This Row],[Fault Type]]="PM",IF(L74&lt;=(D74-C74),"Yes","No"),"")</f>
        <v/>
      </c>
      <c r="O74" s="62" t="str">
        <f t="shared" si="5"/>
        <v/>
      </c>
      <c r="P74"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IF(Table2683260[[#This Row],[Fault Type]]="PM",IF(L75&lt;=(D75-C75),"Yes","No"),"")</f>
        <v/>
      </c>
      <c r="O75" s="62" t="str">
        <f t="shared" si="5"/>
        <v/>
      </c>
      <c r="P75"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IF(Table2683260[[#This Row],[Fault Type]]="PM",IF(L76&lt;=(D76-C76),"Yes","No"),"")</f>
        <v/>
      </c>
      <c r="O76" s="62" t="str">
        <f t="shared" si="5"/>
        <v/>
      </c>
      <c r="P76"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6" s="63"/>
    </row>
    <row r="77" spans="1:17" ht="15.5" x14ac:dyDescent="0.35">
      <c r="A77" s="58"/>
      <c r="B77" s="55"/>
      <c r="C77" s="56"/>
      <c r="D77" s="56"/>
      <c r="E77" s="160"/>
      <c r="F77" s="55"/>
      <c r="G77" s="55"/>
      <c r="H77" s="57"/>
      <c r="I77" s="18"/>
      <c r="J77" s="13"/>
      <c r="K77" s="60"/>
      <c r="L77" s="14">
        <f t="shared" si="4"/>
        <v>0</v>
      </c>
      <c r="M77" s="59">
        <f t="shared" si="3"/>
        <v>0</v>
      </c>
      <c r="N77" s="61" t="str">
        <f>IF(Table2683260[[#This Row],[Fault Type]]="PM",IF(L77&lt;=(D77-C77),"Yes","No"),"")</f>
        <v/>
      </c>
      <c r="O77" s="62" t="str">
        <f t="shared" si="5"/>
        <v/>
      </c>
      <c r="P77" s="154"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7" s="63"/>
    </row>
    <row r="78" spans="1:17" ht="15.5" x14ac:dyDescent="0.35">
      <c r="A78" s="203"/>
      <c r="B78" s="204"/>
      <c r="C78" s="205"/>
      <c r="D78" s="205"/>
      <c r="E78" s="205"/>
      <c r="F78" s="159"/>
      <c r="G78" s="204"/>
      <c r="H78" s="206"/>
      <c r="I78" s="206"/>
      <c r="J78" s="205"/>
      <c r="K78" s="207"/>
      <c r="L78" s="208">
        <f>J78-E78</f>
        <v>0</v>
      </c>
      <c r="M78" s="209">
        <f>L78*F78</f>
        <v>0</v>
      </c>
      <c r="N78" s="210" t="str">
        <f>IF(Table2683260[[#This Row],[Fault Type]]="PM",IF(L78&lt;=(D78-C78),"Yes","No"),"")</f>
        <v/>
      </c>
      <c r="O78" s="211" t="str">
        <f>IF(N78="No",(L78-(D78-C78)),"")</f>
        <v/>
      </c>
      <c r="P78" s="212"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8" s="91"/>
    </row>
    <row r="79" spans="1:17" ht="15.5" x14ac:dyDescent="0.35">
      <c r="A79" s="203"/>
      <c r="B79" s="204"/>
      <c r="C79" s="205"/>
      <c r="D79" s="205"/>
      <c r="E79" s="205"/>
      <c r="F79" s="159"/>
      <c r="G79" s="204"/>
      <c r="H79" s="206"/>
      <c r="I79" s="206"/>
      <c r="J79" s="205"/>
      <c r="K79" s="207"/>
      <c r="L79" s="208">
        <f>J79-E79</f>
        <v>0</v>
      </c>
      <c r="M79" s="209">
        <f>L79*F79</f>
        <v>0</v>
      </c>
      <c r="N79" s="210" t="str">
        <f>IF(Table2683260[[#This Row],[Fault Type]]="PM",IF(L79&lt;=(D79-C79),"Yes","No"),"")</f>
        <v/>
      </c>
      <c r="O79" s="211" t="str">
        <f>IF(N79="No",(L79-(D79-C79)),"")</f>
        <v/>
      </c>
      <c r="P79" s="212"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79" s="91"/>
    </row>
    <row r="80" spans="1:17" ht="15.5" x14ac:dyDescent="0.35">
      <c r="A80" s="58"/>
      <c r="B80" s="204"/>
      <c r="C80" s="205"/>
      <c r="D80" s="205"/>
      <c r="E80" s="205"/>
      <c r="F80" s="159"/>
      <c r="G80" s="204"/>
      <c r="H80" s="206"/>
      <c r="I80" s="206"/>
      <c r="J80" s="205"/>
      <c r="K80" s="207"/>
      <c r="L80" s="208">
        <f>J80-E80</f>
        <v>0</v>
      </c>
      <c r="M80" s="209">
        <f>L80*F80</f>
        <v>0</v>
      </c>
      <c r="N80" s="210" t="str">
        <f>IF(Table2683260[[#This Row],[Fault Type]]="PM",IF(L80&lt;=(D80-C80),"Yes","No"),"")</f>
        <v/>
      </c>
      <c r="O80" s="211" t="str">
        <f>IF(N80="No",(L80-(D80-C80)),"")</f>
        <v/>
      </c>
      <c r="P80" s="212"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80" s="91"/>
    </row>
    <row r="81" spans="1:17" ht="15.5" x14ac:dyDescent="0.35">
      <c r="A81" s="203"/>
      <c r="B81" s="204"/>
      <c r="C81" s="205"/>
      <c r="D81" s="205"/>
      <c r="E81" s="205"/>
      <c r="F81" s="159"/>
      <c r="G81" s="204"/>
      <c r="H81" s="206"/>
      <c r="I81" s="206"/>
      <c r="J81" s="205"/>
      <c r="K81" s="207"/>
      <c r="L81" s="208">
        <f>J81-E81</f>
        <v>0</v>
      </c>
      <c r="M81" s="209">
        <f>L81*F81</f>
        <v>0</v>
      </c>
      <c r="N81" s="210" t="str">
        <f>IF(Table2683260[[#This Row],[Fault Type]]="PM",IF(L81&lt;=(D81-C81),"Yes","No"),"")</f>
        <v/>
      </c>
      <c r="O81" s="211" t="str">
        <f>IF(N81="No",(L81-(D81-C81)),"")</f>
        <v/>
      </c>
      <c r="P81" s="212" t="str">
        <f>IF(AND(Table2683260[[#This Row],[Name of Feeder]]&lt;&gt;"",OR(Table2683260[[#This Row],[Fault Type]]="TL",Table2683260[[#This Row],[Fault Type]]="TS",Table2683260[[#This Row],[Fault Type]]="UF",Table2683260[[#This Row],[Fault Type]]="SE")),(IF(AND(VLOOKUP(Table2683260[[#This Row],[Name of Feeder]],Main!D:E,2,0)="URBAN",ISNUMBER(SEARCH("33KV",Table2683260[[#This Row],[Name of Feeder]]))),IF(AND(Table2683260[[#This Row],[Outage Duration]]&gt;0,Table2683260[[#This Row],[Outage Duration]]&lt;=0.25),"Yes","No"),IF(AND(VLOOKUP(Table2683260[[#This Row],[Name of Feeder]],Main!D:E,2,0)="RURAL",ISNUMBER(SEARCH("33KV",Table2683260[[#This Row],[Name of Feeder]]))),IF(AND(Table2683260[[#This Row],[Outage Duration]]&gt;0,Table2683260[[#This Row],[Outage Duration]]&lt;=0.33),"Yes","No"),IF(AND(VLOOKUP(Table2683260[[#This Row],[Name of Feeder]],Main!D:E,2,0)="RURAL",ISNUMBER(SEARCH("11KV",Table2683260[[#This Row],[Name of Feeder]]))),IF(AND(Table2683260[[#This Row],[Outage Duration]]&gt;0,Table2683260[[#This Row],[Outage Duration]]&lt;=0.17),"Yes","No"),IF(AND(VLOOKUP(Table2683260[[#This Row],[Name of Feeder]],Main!D:E,2,0)="URBAN",ISNUMBER(SEARCH("11KV",Table2683260[[#This Row],[Name of Feeder]]))),IF(AND(Table2683260[[#This Row],[Outage Duration]]&gt;0,Table2683260[[#This Row],[Outage Duration]]&lt;=0.17),"Yes","No"),""))))),"")</f>
        <v/>
      </c>
      <c r="Q81"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Main!$F$226:$F$228</xm:f>
          </x14:formula1>
          <xm:sqref>I2:I81</xm:sqref>
        </x14:dataValidation>
        <x14:dataValidation type="list" allowBlank="1" showInputMessage="1" showErrorMessage="1" xr:uid="{00000000-0002-0000-0A00-000001000000}">
          <x14:formula1>
            <xm:f>Main!$D$2:$D$196</xm:f>
          </x14:formula1>
          <xm:sqref>A2:A81</xm:sqref>
        </x14:dataValidation>
        <x14:dataValidation type="list" allowBlank="1" showInputMessage="1" showErrorMessage="1" xr:uid="{00000000-0002-0000-0A00-000002000000}">
          <x14:formula1>
            <xm:f>Main!F$222:F$225</xm:f>
          </x14:formula1>
          <xm:sqref>G2:G81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18"/>
  <sheetViews>
    <sheetView zoomScale="70" zoomScaleNormal="70" workbookViewId="0">
      <selection activeCell="A2" sqref="A2:J118"/>
    </sheetView>
  </sheetViews>
  <sheetFormatPr defaultRowHeight="14.5" x14ac:dyDescent="0.35"/>
  <cols>
    <col min="1" max="1" width="27.26953125" customWidth="1"/>
    <col min="2" max="2" width="8.26953125" customWidth="1"/>
    <col min="3" max="3" width="17.26953125" customWidth="1"/>
    <col min="4" max="4" width="21.26953125"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23</v>
      </c>
      <c r="B2" s="12" t="s">
        <v>150</v>
      </c>
      <c r="C2" s="13"/>
      <c r="D2" s="13"/>
      <c r="E2" s="13">
        <v>44781.005555555559</v>
      </c>
      <c r="F2" s="12">
        <v>2.4</v>
      </c>
      <c r="G2" s="12" t="s">
        <v>164</v>
      </c>
      <c r="H2" s="27" t="s">
        <v>831</v>
      </c>
      <c r="I2" s="27" t="s">
        <v>333</v>
      </c>
      <c r="J2" s="133">
        <v>44781.313194444447</v>
      </c>
      <c r="K2" s="32"/>
      <c r="L2" s="14">
        <f t="shared" ref="L2:L67" si="0">J2-E2</f>
        <v>0.30763888888759539</v>
      </c>
      <c r="M2" s="31">
        <f t="shared" ref="M2:M19" si="1">L2*F2</f>
        <v>0.73833333333022888</v>
      </c>
      <c r="N2" s="15" t="str">
        <f>IF(Table2683259[[#This Row],[Fault Type]]="PM",IF(L2&lt;=(D2-C2),"Yes","No"),"")</f>
        <v/>
      </c>
      <c r="O2" s="16" t="str">
        <f t="shared" ref="O2:O67" si="2">IF(N2="No",(L2-(D2-C2)),"")</f>
        <v/>
      </c>
      <c r="P2" s="30"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 s="17"/>
    </row>
    <row r="3" spans="1:17" ht="15.5" x14ac:dyDescent="0.35">
      <c r="A3" s="4" t="s">
        <v>308</v>
      </c>
      <c r="B3" s="12" t="s">
        <v>150</v>
      </c>
      <c r="C3" s="13"/>
      <c r="D3" s="13"/>
      <c r="E3" s="13">
        <v>44781.029861111114</v>
      </c>
      <c r="F3" s="12">
        <v>0.3</v>
      </c>
      <c r="G3" s="159" t="s">
        <v>164</v>
      </c>
      <c r="H3" s="27" t="s">
        <v>832</v>
      </c>
      <c r="I3" s="27" t="s">
        <v>334</v>
      </c>
      <c r="J3" s="13">
        <v>44781.497916666667</v>
      </c>
      <c r="K3" s="32"/>
      <c r="L3" s="14">
        <f t="shared" si="0"/>
        <v>0.46805555555329192</v>
      </c>
      <c r="M3" s="31">
        <f t="shared" si="1"/>
        <v>0.14041666666598757</v>
      </c>
      <c r="N3" s="15" t="str">
        <f>IF(Table2683259[[#This Row],[Fault Type]]="PM",IF(L3&lt;=(D3-C3),"Yes","No"),"")</f>
        <v/>
      </c>
      <c r="O3" s="16" t="str">
        <f t="shared" si="2"/>
        <v/>
      </c>
      <c r="P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 s="17"/>
    </row>
    <row r="4" spans="1:17" ht="15.5" x14ac:dyDescent="0.35">
      <c r="A4" s="4" t="s">
        <v>48</v>
      </c>
      <c r="B4" s="12" t="s">
        <v>150</v>
      </c>
      <c r="C4" s="13"/>
      <c r="D4" s="13"/>
      <c r="E4" s="13">
        <v>44781.033333333333</v>
      </c>
      <c r="F4" s="12">
        <v>0.9</v>
      </c>
      <c r="G4" s="159" t="s">
        <v>164</v>
      </c>
      <c r="H4" s="12" t="s">
        <v>833</v>
      </c>
      <c r="I4" s="12" t="s">
        <v>333</v>
      </c>
      <c r="J4" s="13">
        <v>44781.551388888889</v>
      </c>
      <c r="K4" s="32"/>
      <c r="L4" s="14">
        <f t="shared" si="0"/>
        <v>0.51805555555620231</v>
      </c>
      <c r="M4" s="31">
        <f t="shared" si="1"/>
        <v>0.46625000000058209</v>
      </c>
      <c r="N4" s="15" t="str">
        <f>IF(Table2683259[[#This Row],[Fault Type]]="PM",IF(L4&lt;=(D4-C4),"Yes","No"),"")</f>
        <v/>
      </c>
      <c r="O4" s="16" t="str">
        <f t="shared" si="2"/>
        <v/>
      </c>
      <c r="P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4" s="17"/>
    </row>
    <row r="5" spans="1:17" ht="15.5" x14ac:dyDescent="0.35">
      <c r="A5" s="4" t="s">
        <v>49</v>
      </c>
      <c r="B5" s="12" t="s">
        <v>150</v>
      </c>
      <c r="C5" s="13"/>
      <c r="D5" s="13"/>
      <c r="E5" s="13">
        <v>44781.038194444445</v>
      </c>
      <c r="F5" s="12">
        <v>2.2000000000000002</v>
      </c>
      <c r="G5" s="159" t="s">
        <v>164</v>
      </c>
      <c r="H5" s="12" t="s">
        <v>834</v>
      </c>
      <c r="I5" s="12" t="s">
        <v>334</v>
      </c>
      <c r="J5" s="13">
        <v>44781.445138888892</v>
      </c>
      <c r="K5" s="32"/>
      <c r="L5" s="14">
        <f t="shared" si="0"/>
        <v>0.40694444444670808</v>
      </c>
      <c r="M5" s="31">
        <f t="shared" si="1"/>
        <v>0.89527777778275786</v>
      </c>
      <c r="N5" s="15" t="str">
        <f>IF(Table2683259[[#This Row],[Fault Type]]="PM",IF(L5&lt;=(D5-C5),"Yes","No"),"")</f>
        <v/>
      </c>
      <c r="O5" s="16" t="str">
        <f t="shared" si="2"/>
        <v/>
      </c>
      <c r="P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5" s="17"/>
    </row>
    <row r="6" spans="1:17" ht="15.5" x14ac:dyDescent="0.35">
      <c r="A6" s="4" t="s">
        <v>47</v>
      </c>
      <c r="B6" s="12" t="s">
        <v>150</v>
      </c>
      <c r="C6" s="13"/>
      <c r="D6" s="13"/>
      <c r="E6" s="13">
        <v>44781.040972222225</v>
      </c>
      <c r="F6" s="12">
        <v>3.3</v>
      </c>
      <c r="G6" s="159" t="s">
        <v>164</v>
      </c>
      <c r="H6" s="12" t="s">
        <v>835</v>
      </c>
      <c r="I6" s="12" t="s">
        <v>334</v>
      </c>
      <c r="J6" s="13">
        <v>44781.369444444441</v>
      </c>
      <c r="K6" s="32"/>
      <c r="L6" s="14">
        <f t="shared" si="0"/>
        <v>0.32847222221607808</v>
      </c>
      <c r="M6" s="31">
        <f t="shared" si="1"/>
        <v>1.0839583333130576</v>
      </c>
      <c r="N6" s="15" t="str">
        <f>IF(Table2683259[[#This Row],[Fault Type]]="PM",IF(L6&lt;=(D6-C6),"Yes","No"),"")</f>
        <v/>
      </c>
      <c r="O6" s="16" t="str">
        <f t="shared" si="2"/>
        <v/>
      </c>
      <c r="P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 s="17"/>
    </row>
    <row r="7" spans="1:17" ht="15.5" x14ac:dyDescent="0.35">
      <c r="A7" s="4" t="s">
        <v>85</v>
      </c>
      <c r="B7" s="12" t="s">
        <v>150</v>
      </c>
      <c r="C7" s="13"/>
      <c r="D7" s="13"/>
      <c r="E7" s="13">
        <v>44781.040277777778</v>
      </c>
      <c r="F7" s="12">
        <v>3.5</v>
      </c>
      <c r="G7" s="159"/>
      <c r="H7" s="12"/>
      <c r="I7" s="12"/>
      <c r="J7" s="13"/>
      <c r="K7" s="32"/>
      <c r="L7" s="14">
        <f t="shared" si="0"/>
        <v>-44781.040277777778</v>
      </c>
      <c r="M7" s="31">
        <f t="shared" si="1"/>
        <v>-156733.64097222223</v>
      </c>
      <c r="N7" s="15" t="str">
        <f>IF(Table2683259[[#This Row],[Fault Type]]="PM",IF(L7&lt;=(D7-C7),"Yes","No"),"")</f>
        <v/>
      </c>
      <c r="O7" s="16" t="str">
        <f t="shared" si="2"/>
        <v/>
      </c>
      <c r="P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7" s="17"/>
    </row>
    <row r="8" spans="1:17" ht="15.5" x14ac:dyDescent="0.35">
      <c r="A8" s="4" t="s">
        <v>546</v>
      </c>
      <c r="B8" s="12" t="s">
        <v>150</v>
      </c>
      <c r="C8" s="13"/>
      <c r="D8" s="13"/>
      <c r="E8" s="13">
        <v>44781.113194444442</v>
      </c>
      <c r="F8" s="12">
        <v>1.9</v>
      </c>
      <c r="G8" s="159" t="s">
        <v>163</v>
      </c>
      <c r="H8" s="12" t="s">
        <v>836</v>
      </c>
      <c r="I8" s="12"/>
      <c r="J8" s="13">
        <v>44781.130555555559</v>
      </c>
      <c r="K8" s="32"/>
      <c r="L8" s="14">
        <f t="shared" si="0"/>
        <v>1.7361111116770189E-2</v>
      </c>
      <c r="M8" s="31">
        <f t="shared" si="1"/>
        <v>3.2986111121863358E-2</v>
      </c>
      <c r="N8" s="15" t="str">
        <f>IF(Table2683259[[#This Row],[Fault Type]]="PM",IF(L8&lt;=(D8-C8),"Yes","No"),"")</f>
        <v/>
      </c>
      <c r="O8" s="16" t="str">
        <f t="shared" si="2"/>
        <v/>
      </c>
      <c r="P8"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8" s="17"/>
    </row>
    <row r="9" spans="1:17" ht="15.5" x14ac:dyDescent="0.35">
      <c r="A9" s="4" t="s">
        <v>551</v>
      </c>
      <c r="B9" s="12" t="s">
        <v>150</v>
      </c>
      <c r="C9" s="13"/>
      <c r="D9" s="13"/>
      <c r="E9" s="13">
        <v>44781.113194444442</v>
      </c>
      <c r="F9" s="12">
        <v>1.9</v>
      </c>
      <c r="G9" s="159"/>
      <c r="H9" s="12" t="s">
        <v>508</v>
      </c>
      <c r="I9" s="12"/>
      <c r="J9" s="13">
        <v>44781.145833333336</v>
      </c>
      <c r="K9" s="32"/>
      <c r="L9" s="14">
        <f t="shared" si="0"/>
        <v>3.2638888893416151E-2</v>
      </c>
      <c r="M9" s="31">
        <f t="shared" si="1"/>
        <v>6.2013888897490682E-2</v>
      </c>
      <c r="N9" s="15" t="str">
        <f>IF(Table2683259[[#This Row],[Fault Type]]="PM",IF(L9&lt;=(D9-C9),"Yes","No"),"")</f>
        <v/>
      </c>
      <c r="O9" s="16" t="str">
        <f t="shared" si="2"/>
        <v/>
      </c>
      <c r="P9"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9" s="17"/>
    </row>
    <row r="10" spans="1:17" ht="15.5" x14ac:dyDescent="0.35">
      <c r="A10" s="4" t="s">
        <v>27</v>
      </c>
      <c r="B10" s="12" t="s">
        <v>150</v>
      </c>
      <c r="C10" s="13"/>
      <c r="D10" s="13"/>
      <c r="E10" s="13">
        <v>44781.117361111108</v>
      </c>
      <c r="F10" s="12">
        <v>3.8</v>
      </c>
      <c r="G10" s="159" t="s">
        <v>163</v>
      </c>
      <c r="H10" s="12" t="s">
        <v>613</v>
      </c>
      <c r="I10" s="12" t="s">
        <v>334</v>
      </c>
      <c r="J10" s="13">
        <v>44781.439583333333</v>
      </c>
      <c r="K10" s="32"/>
      <c r="L10" s="14">
        <f t="shared" si="0"/>
        <v>0.32222222222480923</v>
      </c>
      <c r="M10" s="31">
        <f t="shared" si="1"/>
        <v>1.224444444454275</v>
      </c>
      <c r="N10" s="15" t="str">
        <f>IF(Table2683259[[#This Row],[Fault Type]]="PM",IF(L10&lt;=(D10-C10),"Yes","No"),"")</f>
        <v/>
      </c>
      <c r="O10" s="16" t="str">
        <f t="shared" si="2"/>
        <v/>
      </c>
      <c r="P1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 s="17"/>
    </row>
    <row r="11" spans="1:17" ht="15.5" x14ac:dyDescent="0.35">
      <c r="A11" s="4" t="s">
        <v>102</v>
      </c>
      <c r="B11" s="12" t="s">
        <v>150</v>
      </c>
      <c r="C11" s="13"/>
      <c r="D11" s="13"/>
      <c r="E11" s="13">
        <v>44781.136111111111</v>
      </c>
      <c r="F11" s="12">
        <v>1.1000000000000001</v>
      </c>
      <c r="G11" s="159" t="s">
        <v>163</v>
      </c>
      <c r="H11" s="12" t="s">
        <v>837</v>
      </c>
      <c r="I11" s="12" t="s">
        <v>334</v>
      </c>
      <c r="J11" s="13">
        <v>44781.503472222219</v>
      </c>
      <c r="K11" s="32"/>
      <c r="L11" s="14">
        <f t="shared" si="0"/>
        <v>0.36736111110803904</v>
      </c>
      <c r="M11" s="31">
        <f t="shared" si="1"/>
        <v>0.40409722221884298</v>
      </c>
      <c r="N11" s="15" t="str">
        <f>IF(Table2683259[[#This Row],[Fault Type]]="PM",IF(L11&lt;=(D11-C11),"Yes","No"),"")</f>
        <v/>
      </c>
      <c r="O11" s="16" t="str">
        <f t="shared" si="2"/>
        <v/>
      </c>
      <c r="P1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 s="17"/>
    </row>
    <row r="12" spans="1:17" ht="15.5" x14ac:dyDescent="0.35">
      <c r="A12" s="4" t="s">
        <v>42</v>
      </c>
      <c r="B12" s="12" t="s">
        <v>150</v>
      </c>
      <c r="C12" s="13"/>
      <c r="D12" s="13"/>
      <c r="E12" s="13">
        <v>44781.136111111111</v>
      </c>
      <c r="F12" s="12">
        <v>1.8</v>
      </c>
      <c r="G12" s="159" t="s">
        <v>162</v>
      </c>
      <c r="H12" s="12" t="s">
        <v>838</v>
      </c>
      <c r="I12" s="12" t="s">
        <v>333</v>
      </c>
      <c r="J12" s="13">
        <v>44781.430555555555</v>
      </c>
      <c r="K12" s="32"/>
      <c r="L12" s="14">
        <f t="shared" si="0"/>
        <v>0.29444444444379769</v>
      </c>
      <c r="M12" s="31">
        <f t="shared" si="1"/>
        <v>0.52999999999883585</v>
      </c>
      <c r="N12" s="15" t="str">
        <f>IF(Table2683259[[#This Row],[Fault Type]]="PM",IF(L12&lt;=(D12-C12),"Yes","No"),"")</f>
        <v/>
      </c>
      <c r="O12" s="16" t="str">
        <f t="shared" si="2"/>
        <v/>
      </c>
      <c r="P1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2" s="17"/>
    </row>
    <row r="13" spans="1:17" ht="15.5" x14ac:dyDescent="0.35">
      <c r="A13" s="4" t="s">
        <v>370</v>
      </c>
      <c r="B13" s="12" t="s">
        <v>150</v>
      </c>
      <c r="C13" s="13"/>
      <c r="D13" s="13"/>
      <c r="E13" s="13">
        <v>44781.138888888891</v>
      </c>
      <c r="F13" s="12">
        <v>5.0999999999999996</v>
      </c>
      <c r="G13" s="159" t="s">
        <v>164</v>
      </c>
      <c r="H13" s="12" t="s">
        <v>839</v>
      </c>
      <c r="I13" s="12" t="s">
        <v>334</v>
      </c>
      <c r="J13" s="13">
        <v>44781.451388888891</v>
      </c>
      <c r="K13" s="32"/>
      <c r="L13" s="14">
        <f t="shared" si="0"/>
        <v>0.3125</v>
      </c>
      <c r="M13" s="31">
        <f t="shared" si="1"/>
        <v>1.59375</v>
      </c>
      <c r="N13" s="15" t="str">
        <f>IF(Table2683259[[#This Row],[Fault Type]]="PM",IF(L13&lt;=(D13-C13),"Yes","No"),"")</f>
        <v/>
      </c>
      <c r="O13" s="16" t="str">
        <f t="shared" si="2"/>
        <v/>
      </c>
      <c r="P1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3" s="17"/>
    </row>
    <row r="14" spans="1:17" ht="15.5" x14ac:dyDescent="0.35">
      <c r="A14" s="4" t="s">
        <v>40</v>
      </c>
      <c r="B14" s="12" t="s">
        <v>150</v>
      </c>
      <c r="C14" s="13"/>
      <c r="D14" s="13"/>
      <c r="E14" s="13">
        <v>44781.146527777775</v>
      </c>
      <c r="F14" s="12">
        <v>10</v>
      </c>
      <c r="G14" s="159" t="s">
        <v>162</v>
      </c>
      <c r="H14" s="12"/>
      <c r="I14" s="12"/>
      <c r="J14" s="13"/>
      <c r="K14" s="32"/>
      <c r="L14" s="14">
        <f t="shared" si="0"/>
        <v>-44781.146527777775</v>
      </c>
      <c r="M14" s="31">
        <f t="shared" si="1"/>
        <v>-447811.46527777775</v>
      </c>
      <c r="N14" s="15" t="str">
        <f>IF(Table2683259[[#This Row],[Fault Type]]="PM",IF(L14&lt;=(D14-C14),"Yes","No"),"")</f>
        <v/>
      </c>
      <c r="O14" s="16" t="str">
        <f t="shared" si="2"/>
        <v/>
      </c>
      <c r="P1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4" s="17"/>
    </row>
    <row r="15" spans="1:17" ht="15.5" x14ac:dyDescent="0.35">
      <c r="A15" s="4" t="s">
        <v>38</v>
      </c>
      <c r="B15" s="12" t="s">
        <v>150</v>
      </c>
      <c r="C15" s="13"/>
      <c r="D15" s="13"/>
      <c r="E15" s="13">
        <v>44781.147916666669</v>
      </c>
      <c r="F15" s="12">
        <v>15</v>
      </c>
      <c r="G15" s="159" t="s">
        <v>162</v>
      </c>
      <c r="H15" s="12" t="s">
        <v>526</v>
      </c>
      <c r="I15" s="12" t="s">
        <v>526</v>
      </c>
      <c r="J15" s="13">
        <v>44781.154861111114</v>
      </c>
      <c r="K15" s="32"/>
      <c r="L15" s="14">
        <f t="shared" si="0"/>
        <v>6.9444444452528842E-3</v>
      </c>
      <c r="M15" s="31">
        <f t="shared" si="1"/>
        <v>0.10416666667879326</v>
      </c>
      <c r="N15" s="15" t="str">
        <f>IF(Table2683259[[#This Row],[Fault Type]]="PM",IF(L15&lt;=(D15-C15),"Yes","No"),"")</f>
        <v/>
      </c>
      <c r="O15" s="16" t="str">
        <f t="shared" si="2"/>
        <v/>
      </c>
      <c r="P1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5" s="17"/>
    </row>
    <row r="16" spans="1:17" ht="15.5" x14ac:dyDescent="0.35">
      <c r="A16" s="4" t="s">
        <v>41</v>
      </c>
      <c r="B16" s="12" t="s">
        <v>150</v>
      </c>
      <c r="C16" s="13"/>
      <c r="D16" s="13"/>
      <c r="E16" s="13">
        <v>44781.147916666669</v>
      </c>
      <c r="F16" s="18">
        <v>8</v>
      </c>
      <c r="G16" s="159" t="s">
        <v>162</v>
      </c>
      <c r="H16" s="18" t="s">
        <v>526</v>
      </c>
      <c r="I16" s="18" t="s">
        <v>526</v>
      </c>
      <c r="J16" s="13">
        <v>44781.288888888892</v>
      </c>
      <c r="K16" s="32"/>
      <c r="L16" s="14">
        <f t="shared" si="0"/>
        <v>0.14097222222335404</v>
      </c>
      <c r="M16" s="31">
        <f t="shared" si="1"/>
        <v>1.1277777777868323</v>
      </c>
      <c r="N16" s="15" t="str">
        <f>IF(Table2683259[[#This Row],[Fault Type]]="PM",IF(L16&lt;=(D16-C16),"Yes","No"),"")</f>
        <v/>
      </c>
      <c r="O16" s="16" t="str">
        <f t="shared" si="2"/>
        <v/>
      </c>
      <c r="P1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6" s="17"/>
    </row>
    <row r="17" spans="1:17" ht="15.5" x14ac:dyDescent="0.35">
      <c r="A17" s="4" t="s">
        <v>354</v>
      </c>
      <c r="B17" s="12" t="s">
        <v>150</v>
      </c>
      <c r="C17" s="13"/>
      <c r="D17" s="13"/>
      <c r="E17" s="13">
        <v>44781.161805555559</v>
      </c>
      <c r="F17" s="12">
        <v>2.5</v>
      </c>
      <c r="G17" s="159" t="s">
        <v>162</v>
      </c>
      <c r="H17" s="12" t="s">
        <v>526</v>
      </c>
      <c r="I17" s="12" t="s">
        <v>526</v>
      </c>
      <c r="J17" s="13">
        <v>44781.232638888891</v>
      </c>
      <c r="K17" s="32"/>
      <c r="L17" s="14">
        <f t="shared" si="0"/>
        <v>7.0833333331393078E-2</v>
      </c>
      <c r="M17" s="31">
        <f t="shared" si="1"/>
        <v>0.17708333332848269</v>
      </c>
      <c r="N17" s="15" t="str">
        <f>IF(Table2683259[[#This Row],[Fault Type]]="PM",IF(L17&lt;=(D17-C17),"Yes","No"),"")</f>
        <v/>
      </c>
      <c r="O17" s="16" t="str">
        <f t="shared" si="2"/>
        <v/>
      </c>
      <c r="P1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7" s="17"/>
    </row>
    <row r="18" spans="1:17" ht="15.5" x14ac:dyDescent="0.35">
      <c r="A18" s="4" t="s">
        <v>37</v>
      </c>
      <c r="B18" s="12" t="s">
        <v>150</v>
      </c>
      <c r="C18" s="13"/>
      <c r="D18" s="13"/>
      <c r="E18" s="13">
        <v>44781.163888888892</v>
      </c>
      <c r="F18" s="18">
        <v>7</v>
      </c>
      <c r="G18" s="159" t="s">
        <v>162</v>
      </c>
      <c r="H18" s="18" t="s">
        <v>840</v>
      </c>
      <c r="I18" s="18" t="s">
        <v>334</v>
      </c>
      <c r="J18" s="13">
        <v>44781.621527777781</v>
      </c>
      <c r="K18" s="32"/>
      <c r="L18" s="14">
        <f t="shared" si="0"/>
        <v>0.45763888888905058</v>
      </c>
      <c r="M18" s="31">
        <f t="shared" si="1"/>
        <v>3.203472222223354</v>
      </c>
      <c r="N18" s="15" t="str">
        <f>IF(Table2683259[[#This Row],[Fault Type]]="PM",IF(L18&lt;=(D18-C18),"Yes","No"),"")</f>
        <v/>
      </c>
      <c r="O18" s="16" t="str">
        <f t="shared" si="2"/>
        <v/>
      </c>
      <c r="P1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8" s="17"/>
    </row>
    <row r="19" spans="1:17" ht="15.5" x14ac:dyDescent="0.35">
      <c r="A19" s="4" t="s">
        <v>368</v>
      </c>
      <c r="B19" s="12" t="s">
        <v>150</v>
      </c>
      <c r="C19" s="13"/>
      <c r="D19" s="13"/>
      <c r="E19" s="13">
        <v>44781.149305555555</v>
      </c>
      <c r="F19" s="18">
        <v>2.6</v>
      </c>
      <c r="G19" s="159" t="s">
        <v>162</v>
      </c>
      <c r="H19" s="18" t="s">
        <v>526</v>
      </c>
      <c r="I19" s="18" t="s">
        <v>526</v>
      </c>
      <c r="J19" s="13">
        <v>44781.240972222222</v>
      </c>
      <c r="K19" s="32"/>
      <c r="L19" s="14">
        <f t="shared" si="0"/>
        <v>9.1666666667151731E-2</v>
      </c>
      <c r="M19" s="31">
        <f t="shared" si="1"/>
        <v>0.2383333333345945</v>
      </c>
      <c r="N19" s="15" t="str">
        <f>IF(Table2683259[[#This Row],[Fault Type]]="PM",IF(L19&lt;=(D19-C19),"Yes","No"),"")</f>
        <v/>
      </c>
      <c r="O19" s="16" t="str">
        <f t="shared" si="2"/>
        <v/>
      </c>
      <c r="P1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9" s="17"/>
    </row>
    <row r="20" spans="1:17" ht="15.5" x14ac:dyDescent="0.35">
      <c r="A20" s="4" t="s">
        <v>367</v>
      </c>
      <c r="B20" s="12" t="s">
        <v>150</v>
      </c>
      <c r="C20" s="13"/>
      <c r="D20" s="13"/>
      <c r="E20" s="13">
        <v>44781.152777777781</v>
      </c>
      <c r="F20" s="165">
        <v>1.2</v>
      </c>
      <c r="G20" s="159" t="s">
        <v>163</v>
      </c>
      <c r="H20" s="54" t="s">
        <v>508</v>
      </c>
      <c r="I20" s="54" t="s">
        <v>334</v>
      </c>
      <c r="J20" s="133">
        <v>44781.628472222219</v>
      </c>
      <c r="K20" s="32"/>
      <c r="L20" s="14">
        <f t="shared" si="0"/>
        <v>0.47569444443797693</v>
      </c>
      <c r="M20" s="31">
        <f>L20*F20</f>
        <v>0.57083333332557229</v>
      </c>
      <c r="N20" s="15" t="str">
        <f>IF(Table2683259[[#This Row],[Fault Type]]="PM",IF(L20&lt;=(D20-C20),"Yes","No"),"")</f>
        <v/>
      </c>
      <c r="O20" s="16" t="str">
        <f t="shared" si="2"/>
        <v/>
      </c>
      <c r="P2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0" s="17"/>
    </row>
    <row r="21" spans="1:17" s="116" customFormat="1" ht="15.5" x14ac:dyDescent="0.35">
      <c r="A21" s="131" t="s">
        <v>546</v>
      </c>
      <c r="B21" s="132" t="s">
        <v>150</v>
      </c>
      <c r="C21" s="133"/>
      <c r="D21" s="133"/>
      <c r="E21" s="133">
        <v>44781.15625</v>
      </c>
      <c r="F21" s="165">
        <v>1.9</v>
      </c>
      <c r="G21" s="159" t="s">
        <v>163</v>
      </c>
      <c r="H21" s="138" t="s">
        <v>841</v>
      </c>
      <c r="I21" s="138" t="s">
        <v>334</v>
      </c>
      <c r="J21" s="133">
        <v>44781.319444444445</v>
      </c>
      <c r="K21" s="136"/>
      <c r="L21" s="14">
        <f>J21-E21</f>
        <v>0.16319444444525288</v>
      </c>
      <c r="M21" s="31">
        <f>L21*F21</f>
        <v>0.31006944444598045</v>
      </c>
      <c r="N21" s="15" t="str">
        <f>IF(Table2683259[[#This Row],[Fault Type]]="PM",IF(L21&lt;=(D21-C21),"Yes","No"),"")</f>
        <v/>
      </c>
      <c r="O21" s="16" t="str">
        <f>IF(N21="No",(L21-(D21-C21)),"")</f>
        <v/>
      </c>
      <c r="P21"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21" s="144"/>
    </row>
    <row r="22" spans="1:17" ht="15.5" x14ac:dyDescent="0.35">
      <c r="A22" s="4" t="s">
        <v>191</v>
      </c>
      <c r="B22" s="12" t="s">
        <v>150</v>
      </c>
      <c r="C22" s="13"/>
      <c r="D22" s="13"/>
      <c r="E22" s="13">
        <v>44781.156944444447</v>
      </c>
      <c r="F22" s="18">
        <v>3</v>
      </c>
      <c r="G22" s="159" t="s">
        <v>163</v>
      </c>
      <c r="H22" s="18" t="s">
        <v>842</v>
      </c>
      <c r="I22" s="18" t="s">
        <v>333</v>
      </c>
      <c r="J22" s="13">
        <v>44781.386805555558</v>
      </c>
      <c r="K22" s="32"/>
      <c r="L22" s="14">
        <f t="shared" si="0"/>
        <v>0.22986111111094942</v>
      </c>
      <c r="M22" s="31">
        <f>L22*F22</f>
        <v>0.68958333333284827</v>
      </c>
      <c r="N22" s="15" t="str">
        <f>IF(Table2683259[[#This Row],[Fault Type]]="PM",IF(L22&lt;=(D22-C22),"Yes","No"),"")</f>
        <v/>
      </c>
      <c r="O22" s="16" t="str">
        <f t="shared" si="2"/>
        <v/>
      </c>
      <c r="P2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2" s="17"/>
    </row>
    <row r="23" spans="1:17" ht="15.5" x14ac:dyDescent="0.35">
      <c r="A23" s="4" t="s">
        <v>29</v>
      </c>
      <c r="B23" s="12" t="s">
        <v>150</v>
      </c>
      <c r="C23" s="13"/>
      <c r="D23" s="13"/>
      <c r="E23" s="13">
        <v>44781.156944444447</v>
      </c>
      <c r="F23" s="18">
        <v>16.600000000000001</v>
      </c>
      <c r="G23" s="159" t="s">
        <v>162</v>
      </c>
      <c r="H23" s="18" t="s">
        <v>526</v>
      </c>
      <c r="I23" s="18" t="s">
        <v>526</v>
      </c>
      <c r="J23" s="13">
        <v>44781.293055555558</v>
      </c>
      <c r="K23" s="32"/>
      <c r="L23" s="14">
        <f t="shared" si="0"/>
        <v>0.13611111111094942</v>
      </c>
      <c r="M23" s="31">
        <f>L23*F23</f>
        <v>2.2594444444417605</v>
      </c>
      <c r="N23" s="15" t="str">
        <f>IF(Table2683259[[#This Row],[Fault Type]]="PM",IF(L23&lt;=(D23-C23),"Yes","No"),"")</f>
        <v/>
      </c>
      <c r="O23" s="16" t="str">
        <f t="shared" si="2"/>
        <v/>
      </c>
      <c r="P2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23" s="17"/>
    </row>
    <row r="24" spans="1:17" ht="15.5" x14ac:dyDescent="0.35">
      <c r="A24" s="4" t="s">
        <v>30</v>
      </c>
      <c r="B24" s="12" t="s">
        <v>150</v>
      </c>
      <c r="C24" s="13"/>
      <c r="D24" s="13"/>
      <c r="E24" s="13">
        <v>44781.157638888886</v>
      </c>
      <c r="F24" s="18">
        <v>5.6</v>
      </c>
      <c r="G24" s="159" t="s">
        <v>162</v>
      </c>
      <c r="H24" s="18" t="s">
        <v>843</v>
      </c>
      <c r="I24" s="18" t="s">
        <v>333</v>
      </c>
      <c r="J24" s="13">
        <v>44781.361111111109</v>
      </c>
      <c r="K24" s="32"/>
      <c r="L24" s="14">
        <f t="shared" si="0"/>
        <v>0.20347222222335404</v>
      </c>
      <c r="M24" s="31">
        <f t="shared" ref="M24:M81" si="3">L24*F24</f>
        <v>1.1394444444507825</v>
      </c>
      <c r="N24" s="15" t="str">
        <f>IF(Table2683259[[#This Row],[Fault Type]]="PM",IF(L24&lt;=(D24-C24),"Yes","No"),"")</f>
        <v/>
      </c>
      <c r="O24" s="16" t="str">
        <f t="shared" si="2"/>
        <v/>
      </c>
      <c r="P2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24" s="17"/>
    </row>
    <row r="25" spans="1:17" ht="15.5" x14ac:dyDescent="0.35">
      <c r="A25" s="4" t="s">
        <v>64</v>
      </c>
      <c r="B25" s="12" t="s">
        <v>150</v>
      </c>
      <c r="C25" s="13"/>
      <c r="D25" s="13"/>
      <c r="E25" s="13">
        <v>44781.152777777781</v>
      </c>
      <c r="F25" s="18">
        <v>2.7</v>
      </c>
      <c r="G25" s="159" t="s">
        <v>162</v>
      </c>
      <c r="H25" s="18" t="s">
        <v>844</v>
      </c>
      <c r="I25" s="18" t="s">
        <v>334</v>
      </c>
      <c r="J25" s="13">
        <v>44781.513888888891</v>
      </c>
      <c r="K25" s="32"/>
      <c r="L25" s="14">
        <f t="shared" si="0"/>
        <v>0.36111111110949423</v>
      </c>
      <c r="M25" s="31">
        <f t="shared" si="3"/>
        <v>0.97499999999563447</v>
      </c>
      <c r="N25" s="15" t="str">
        <f>IF(Table2683259[[#This Row],[Fault Type]]="PM",IF(L25&lt;=(D25-C25),"Yes","No"),"")</f>
        <v/>
      </c>
      <c r="O25" s="16" t="str">
        <f t="shared" si="2"/>
        <v/>
      </c>
      <c r="P2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5" s="17"/>
    </row>
    <row r="26" spans="1:17" ht="15.5" x14ac:dyDescent="0.35">
      <c r="A26" s="4" t="s">
        <v>60</v>
      </c>
      <c r="B26" s="12" t="s">
        <v>150</v>
      </c>
      <c r="C26" s="13"/>
      <c r="D26" s="13"/>
      <c r="E26" s="13">
        <v>44781.154166666667</v>
      </c>
      <c r="F26" s="18">
        <v>2.5</v>
      </c>
      <c r="G26" s="159" t="s">
        <v>162</v>
      </c>
      <c r="H26" s="18" t="s">
        <v>845</v>
      </c>
      <c r="I26" s="18" t="s">
        <v>334</v>
      </c>
      <c r="J26" s="13">
        <v>44781.198611111111</v>
      </c>
      <c r="K26" s="32"/>
      <c r="L26" s="14">
        <f t="shared" si="0"/>
        <v>4.4444444443797693E-2</v>
      </c>
      <c r="M26" s="31">
        <f t="shared" si="3"/>
        <v>0.11111111110949423</v>
      </c>
      <c r="N26" s="15" t="str">
        <f>IF(Table2683259[[#This Row],[Fault Type]]="PM",IF(L26&lt;=(D26-C26),"Yes","No"),"")</f>
        <v/>
      </c>
      <c r="O26" s="16" t="str">
        <f t="shared" si="2"/>
        <v/>
      </c>
      <c r="P2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26" s="17"/>
    </row>
    <row r="27" spans="1:17" ht="15.5" x14ac:dyDescent="0.35">
      <c r="A27" s="4" t="s">
        <v>846</v>
      </c>
      <c r="B27" s="12" t="s">
        <v>150</v>
      </c>
      <c r="C27" s="13"/>
      <c r="D27" s="13"/>
      <c r="E27" s="13">
        <v>44781.154861111114</v>
      </c>
      <c r="F27" s="12">
        <v>1.5</v>
      </c>
      <c r="G27" s="159" t="s">
        <v>162</v>
      </c>
      <c r="H27" s="12" t="s">
        <v>508</v>
      </c>
      <c r="I27" s="12" t="s">
        <v>334</v>
      </c>
      <c r="J27" s="13">
        <v>44781.590277777781</v>
      </c>
      <c r="K27" s="32"/>
      <c r="L27" s="14">
        <f t="shared" si="0"/>
        <v>0.43541666666715173</v>
      </c>
      <c r="M27" s="31">
        <f t="shared" si="3"/>
        <v>0.6531250000007276</v>
      </c>
      <c r="N27" s="15" t="str">
        <f>IF(Table2683259[[#This Row],[Fault Type]]="PM",IF(L27&lt;=(D27-C27),"Yes","No"),"")</f>
        <v/>
      </c>
      <c r="O27" s="16" t="str">
        <f t="shared" si="2"/>
        <v/>
      </c>
      <c r="P27"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27" s="17"/>
    </row>
    <row r="28" spans="1:17" ht="15.5" x14ac:dyDescent="0.35">
      <c r="A28" s="4" t="s">
        <v>96</v>
      </c>
      <c r="B28" s="12" t="s">
        <v>150</v>
      </c>
      <c r="C28" s="13"/>
      <c r="D28" s="13"/>
      <c r="E28" s="13">
        <v>44781.159722222219</v>
      </c>
      <c r="F28" s="18">
        <v>2</v>
      </c>
      <c r="G28" s="159" t="s">
        <v>164</v>
      </c>
      <c r="H28" s="18" t="s">
        <v>847</v>
      </c>
      <c r="I28" s="18" t="s">
        <v>334</v>
      </c>
      <c r="J28" s="13">
        <v>44781.62777777778</v>
      </c>
      <c r="K28" s="32"/>
      <c r="L28" s="14">
        <f t="shared" si="0"/>
        <v>0.46805555556056788</v>
      </c>
      <c r="M28" s="31">
        <f t="shared" si="3"/>
        <v>0.93611111112113576</v>
      </c>
      <c r="N28" s="15" t="str">
        <f>IF(Table2683259[[#This Row],[Fault Type]]="PM",IF(L28&lt;=(D28-C28),"Yes","No"),"")</f>
        <v/>
      </c>
      <c r="O28" s="16" t="str">
        <f t="shared" si="2"/>
        <v/>
      </c>
      <c r="P2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8" s="17"/>
    </row>
    <row r="29" spans="1:17" ht="15.5" x14ac:dyDescent="0.35">
      <c r="A29" s="4" t="s">
        <v>89</v>
      </c>
      <c r="B29" s="12" t="s">
        <v>150</v>
      </c>
      <c r="C29" s="13"/>
      <c r="D29" s="13"/>
      <c r="E29" s="13">
        <v>44781.159722222219</v>
      </c>
      <c r="F29" s="18">
        <v>2</v>
      </c>
      <c r="G29" s="159" t="s">
        <v>162</v>
      </c>
      <c r="H29" s="18" t="s">
        <v>508</v>
      </c>
      <c r="I29" s="18" t="s">
        <v>334</v>
      </c>
      <c r="J29" s="13">
        <v>44781.368750000001</v>
      </c>
      <c r="K29" s="32"/>
      <c r="L29" s="14">
        <f t="shared" si="0"/>
        <v>0.20902777778246673</v>
      </c>
      <c r="M29" s="31">
        <f t="shared" si="3"/>
        <v>0.41805555556493346</v>
      </c>
      <c r="N29" s="15" t="str">
        <f>IF(Table2683259[[#This Row],[Fault Type]]="PM",IF(L29&lt;=(D29-C29),"Yes","No"),"")</f>
        <v/>
      </c>
      <c r="O29" s="16" t="str">
        <f t="shared" si="2"/>
        <v/>
      </c>
      <c r="P2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29" s="17"/>
    </row>
    <row r="30" spans="1:17" ht="15.5" x14ac:dyDescent="0.35">
      <c r="A30" s="4" t="s">
        <v>145</v>
      </c>
      <c r="B30" s="12" t="s">
        <v>150</v>
      </c>
      <c r="C30" s="13"/>
      <c r="D30" s="13"/>
      <c r="E30" s="13">
        <v>44781.161111111112</v>
      </c>
      <c r="F30" s="12">
        <v>2.5</v>
      </c>
      <c r="G30" s="159" t="s">
        <v>162</v>
      </c>
      <c r="H30" s="12" t="s">
        <v>848</v>
      </c>
      <c r="I30" s="12" t="s">
        <v>333</v>
      </c>
      <c r="J30" s="13">
        <v>44781.756249999999</v>
      </c>
      <c r="K30" s="32"/>
      <c r="L30" s="14">
        <f t="shared" si="0"/>
        <v>0.59513888888614019</v>
      </c>
      <c r="M30" s="31">
        <f t="shared" si="3"/>
        <v>1.4878472222153505</v>
      </c>
      <c r="N30" s="15" t="str">
        <f>IF(Table2683259[[#This Row],[Fault Type]]="PM",IF(L30&lt;=(D30-C30),"Yes","No"),"")</f>
        <v/>
      </c>
      <c r="O30" s="16" t="str">
        <f t="shared" si="2"/>
        <v/>
      </c>
      <c r="P3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0" s="17"/>
    </row>
    <row r="31" spans="1:17" s="116" customFormat="1" ht="15.5" x14ac:dyDescent="0.35">
      <c r="A31" s="131" t="s">
        <v>91</v>
      </c>
      <c r="B31" s="132" t="s">
        <v>150</v>
      </c>
      <c r="C31" s="133"/>
      <c r="D31" s="133"/>
      <c r="E31" s="133">
        <v>44781.161111111112</v>
      </c>
      <c r="F31" s="132">
        <v>2.2000000000000002</v>
      </c>
      <c r="G31" s="159" t="s">
        <v>162</v>
      </c>
      <c r="H31" s="132" t="s">
        <v>508</v>
      </c>
      <c r="I31" s="132" t="s">
        <v>333</v>
      </c>
      <c r="J31" s="133">
        <v>44781.34375</v>
      </c>
      <c r="K31" s="136"/>
      <c r="L31" s="14">
        <f>J31-E31</f>
        <v>0.18263888888759539</v>
      </c>
      <c r="M31" s="31">
        <f>L31*F31</f>
        <v>0.40180555555270986</v>
      </c>
      <c r="N31" s="15" t="str">
        <f>IF(Table2683259[[#This Row],[Fault Type]]="PM",IF(L31&lt;=(D31-C31),"Yes","No"),"")</f>
        <v/>
      </c>
      <c r="O31" s="16" t="str">
        <f>IF(N31="No",(L31-(D31-C31)),"")</f>
        <v/>
      </c>
      <c r="P3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1" s="144"/>
    </row>
    <row r="32" spans="1:17" ht="15.5" x14ac:dyDescent="0.35">
      <c r="A32" s="4" t="s">
        <v>97</v>
      </c>
      <c r="B32" s="12" t="s">
        <v>150</v>
      </c>
      <c r="C32" s="13"/>
      <c r="D32" s="13"/>
      <c r="E32" s="13">
        <v>44781.161805555559</v>
      </c>
      <c r="F32" s="18">
        <v>1.7</v>
      </c>
      <c r="G32" s="159" t="s">
        <v>162</v>
      </c>
      <c r="H32" s="18" t="s">
        <v>849</v>
      </c>
      <c r="I32" s="18" t="s">
        <v>333</v>
      </c>
      <c r="J32" s="13">
        <v>44781.586805555555</v>
      </c>
      <c r="K32" s="32"/>
      <c r="L32" s="14">
        <f t="shared" si="0"/>
        <v>0.42499999999563443</v>
      </c>
      <c r="M32" s="31">
        <f t="shared" si="3"/>
        <v>0.72249999999257852</v>
      </c>
      <c r="N32" s="15" t="str">
        <f>IF(Table2683259[[#This Row],[Fault Type]]="PM",IF(L32&lt;=(D32-C32),"Yes","No"),"")</f>
        <v/>
      </c>
      <c r="O32" s="16" t="str">
        <f t="shared" si="2"/>
        <v/>
      </c>
      <c r="P3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2" s="17"/>
    </row>
    <row r="33" spans="1:17" ht="15.5" x14ac:dyDescent="0.35">
      <c r="A33" s="4" t="s">
        <v>361</v>
      </c>
      <c r="B33" s="12" t="s">
        <v>150</v>
      </c>
      <c r="C33" s="13"/>
      <c r="D33" s="13"/>
      <c r="E33" s="13">
        <v>44781.161805555559</v>
      </c>
      <c r="F33" s="18">
        <v>2.5</v>
      </c>
      <c r="G33" s="159" t="s">
        <v>162</v>
      </c>
      <c r="H33" s="18" t="s">
        <v>850</v>
      </c>
      <c r="I33" s="18" t="s">
        <v>334</v>
      </c>
      <c r="J33" s="13">
        <v>44781.628472222219</v>
      </c>
      <c r="K33" s="32"/>
      <c r="L33" s="14">
        <f t="shared" si="0"/>
        <v>0.46666666665987577</v>
      </c>
      <c r="M33" s="31">
        <f t="shared" si="3"/>
        <v>1.1666666666496894</v>
      </c>
      <c r="N33" s="15" t="str">
        <f>IF(Table2683259[[#This Row],[Fault Type]]="PM",IF(L33&lt;=(D33-C33),"Yes","No"),"")</f>
        <v/>
      </c>
      <c r="O33" s="16" t="str">
        <f t="shared" si="2"/>
        <v/>
      </c>
      <c r="P3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3" s="17"/>
    </row>
    <row r="34" spans="1:17" ht="15.5" x14ac:dyDescent="0.35">
      <c r="A34" s="4" t="s">
        <v>98</v>
      </c>
      <c r="B34" s="159" t="s">
        <v>150</v>
      </c>
      <c r="C34" s="13"/>
      <c r="D34" s="13"/>
      <c r="E34" s="13">
        <v>44781.161111111112</v>
      </c>
      <c r="F34" s="18">
        <v>2.5</v>
      </c>
      <c r="G34" s="159" t="s">
        <v>162</v>
      </c>
      <c r="H34" s="18" t="s">
        <v>851</v>
      </c>
      <c r="I34" s="18" t="s">
        <v>333</v>
      </c>
      <c r="J34" s="13">
        <v>44781.750694444447</v>
      </c>
      <c r="K34" s="32"/>
      <c r="L34" s="14">
        <f t="shared" si="0"/>
        <v>0.58958333333430346</v>
      </c>
      <c r="M34" s="31">
        <f t="shared" si="3"/>
        <v>1.4739583333357587</v>
      </c>
      <c r="N34" s="15" t="str">
        <f>IF(Table2683259[[#This Row],[Fault Type]]="PM",IF(L34&lt;=(D34-C34),"Yes","No"),"")</f>
        <v/>
      </c>
      <c r="O34" s="16" t="str">
        <f t="shared" si="2"/>
        <v/>
      </c>
      <c r="P3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4" s="17"/>
    </row>
    <row r="35" spans="1:17" ht="15.5" x14ac:dyDescent="0.35">
      <c r="A35" s="4" t="s">
        <v>31</v>
      </c>
      <c r="B35" s="12" t="s">
        <v>150</v>
      </c>
      <c r="C35" s="13"/>
      <c r="D35" s="13"/>
      <c r="E35" s="13">
        <v>44781.163888888892</v>
      </c>
      <c r="F35" s="18">
        <v>10.5</v>
      </c>
      <c r="G35" s="159" t="s">
        <v>163</v>
      </c>
      <c r="H35" s="18" t="s">
        <v>633</v>
      </c>
      <c r="I35" s="18" t="s">
        <v>334</v>
      </c>
      <c r="J35" s="13">
        <v>44781.44027777778</v>
      </c>
      <c r="K35" s="32"/>
      <c r="L35" s="14">
        <f t="shared" si="0"/>
        <v>0.27638888888759539</v>
      </c>
      <c r="M35" s="31">
        <f t="shared" si="3"/>
        <v>2.9020833333197515</v>
      </c>
      <c r="N35" s="15" t="str">
        <f>IF(Table2683259[[#This Row],[Fault Type]]="PM",IF(L35&lt;=(D35-C35),"Yes","No"),"")</f>
        <v/>
      </c>
      <c r="O35" s="16" t="str">
        <f t="shared" si="2"/>
        <v/>
      </c>
      <c r="P3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5" s="17"/>
    </row>
    <row r="36" spans="1:17" ht="15.5" x14ac:dyDescent="0.35">
      <c r="A36" s="4" t="s">
        <v>61</v>
      </c>
      <c r="B36" s="12" t="s">
        <v>150</v>
      </c>
      <c r="C36" s="13"/>
      <c r="D36" s="13"/>
      <c r="E36" s="13">
        <v>44781.164583333331</v>
      </c>
      <c r="F36" s="18">
        <v>1.5</v>
      </c>
      <c r="G36" s="159" t="s">
        <v>162</v>
      </c>
      <c r="H36" s="18" t="s">
        <v>852</v>
      </c>
      <c r="I36" s="18" t="s">
        <v>334</v>
      </c>
      <c r="J36" s="13">
        <v>44781.586805555555</v>
      </c>
      <c r="K36" s="32"/>
      <c r="L36" s="14">
        <f t="shared" si="0"/>
        <v>0.42222222222335404</v>
      </c>
      <c r="M36" s="31">
        <f t="shared" si="3"/>
        <v>0.63333333333503106</v>
      </c>
      <c r="N36" s="15" t="str">
        <f>IF(Table2683259[[#This Row],[Fault Type]]="PM",IF(L36&lt;=(D36-C36),"Yes","No"),"")</f>
        <v/>
      </c>
      <c r="O36" s="16" t="str">
        <f t="shared" si="2"/>
        <v/>
      </c>
      <c r="P3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36" s="17"/>
    </row>
    <row r="37" spans="1:17" ht="15.5" x14ac:dyDescent="0.35">
      <c r="A37" s="4" t="s">
        <v>62</v>
      </c>
      <c r="B37" s="12" t="s">
        <v>150</v>
      </c>
      <c r="C37" s="13"/>
      <c r="D37" s="13"/>
      <c r="E37" s="13">
        <v>44781.165277777778</v>
      </c>
      <c r="F37" s="18">
        <v>2</v>
      </c>
      <c r="G37" s="159" t="s">
        <v>162</v>
      </c>
      <c r="H37" s="18" t="s">
        <v>526</v>
      </c>
      <c r="I37" s="18" t="s">
        <v>526</v>
      </c>
      <c r="J37" s="13">
        <v>44781.277777777781</v>
      </c>
      <c r="K37" s="32"/>
      <c r="L37" s="14">
        <f t="shared" si="0"/>
        <v>0.11250000000291038</v>
      </c>
      <c r="M37" s="31">
        <f t="shared" si="3"/>
        <v>0.22500000000582077</v>
      </c>
      <c r="N37" s="15" t="str">
        <f>IF(Table2683259[[#This Row],[Fault Type]]="PM",IF(L37&lt;=(D37-C37),"Yes","No"),"")</f>
        <v/>
      </c>
      <c r="O37" s="16" t="str">
        <f t="shared" si="2"/>
        <v/>
      </c>
      <c r="P3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37" s="17"/>
    </row>
    <row r="38" spans="1:17" ht="15.5" x14ac:dyDescent="0.35">
      <c r="A38" s="4" t="s">
        <v>580</v>
      </c>
      <c r="B38" s="12" t="s">
        <v>150</v>
      </c>
      <c r="C38" s="13"/>
      <c r="D38" s="13"/>
      <c r="E38" s="13">
        <v>44781.159722222219</v>
      </c>
      <c r="F38" s="18">
        <v>2.9</v>
      </c>
      <c r="G38" s="159" t="s">
        <v>162</v>
      </c>
      <c r="H38" s="18" t="s">
        <v>508</v>
      </c>
      <c r="I38" s="18" t="s">
        <v>334</v>
      </c>
      <c r="J38" s="13">
        <v>44781.427083333336</v>
      </c>
      <c r="K38" s="32"/>
      <c r="L38" s="14">
        <f t="shared" si="0"/>
        <v>0.26736111111677019</v>
      </c>
      <c r="M38" s="31">
        <f t="shared" si="3"/>
        <v>0.7753472222386335</v>
      </c>
      <c r="N38" s="15" t="str">
        <f>IF(Table2683259[[#This Row],[Fault Type]]="PM",IF(L38&lt;=(D38-C38),"Yes","No"),"")</f>
        <v/>
      </c>
      <c r="O38" s="16" t="str">
        <f t="shared" si="2"/>
        <v/>
      </c>
      <c r="P38"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38" s="17"/>
    </row>
    <row r="39" spans="1:17" ht="15.5" x14ac:dyDescent="0.35">
      <c r="A39" s="4" t="s">
        <v>17</v>
      </c>
      <c r="B39" s="12" t="s">
        <v>150</v>
      </c>
      <c r="C39" s="13"/>
      <c r="D39" s="13"/>
      <c r="E39" s="13">
        <v>44781.161111111112</v>
      </c>
      <c r="F39" s="18">
        <v>6</v>
      </c>
      <c r="G39" s="159" t="s">
        <v>162</v>
      </c>
      <c r="H39" s="18" t="s">
        <v>853</v>
      </c>
      <c r="I39" s="18" t="s">
        <v>334</v>
      </c>
      <c r="J39" s="13">
        <v>44781.333333333336</v>
      </c>
      <c r="K39" s="32"/>
      <c r="L39" s="14">
        <f t="shared" si="0"/>
        <v>0.17222222222335404</v>
      </c>
      <c r="M39" s="31">
        <f t="shared" si="3"/>
        <v>1.0333333333401242</v>
      </c>
      <c r="N39" s="15" t="str">
        <f>IF(Table2683259[[#This Row],[Fault Type]]="PM",IF(L39&lt;=(D39-C39),"Yes","No"),"")</f>
        <v/>
      </c>
      <c r="O39" s="16" t="str">
        <f t="shared" si="2"/>
        <v/>
      </c>
      <c r="P3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39" s="17"/>
    </row>
    <row r="40" spans="1:17" ht="15.5" x14ac:dyDescent="0.35">
      <c r="A40" s="4" t="s">
        <v>90</v>
      </c>
      <c r="B40" s="12" t="s">
        <v>150</v>
      </c>
      <c r="C40" s="13"/>
      <c r="D40" s="13"/>
      <c r="E40" s="13">
        <v>44781.161805555559</v>
      </c>
      <c r="F40" s="18">
        <v>1.9</v>
      </c>
      <c r="G40" s="159" t="s">
        <v>162</v>
      </c>
      <c r="H40" s="18" t="s">
        <v>854</v>
      </c>
      <c r="I40" s="18" t="s">
        <v>333</v>
      </c>
      <c r="J40" s="13">
        <v>44781.4375</v>
      </c>
      <c r="K40" s="32"/>
      <c r="L40" s="14">
        <f t="shared" si="0"/>
        <v>0.27569444444088731</v>
      </c>
      <c r="M40" s="31">
        <f t="shared" si="3"/>
        <v>0.52381944443768591</v>
      </c>
      <c r="N40" s="15" t="str">
        <f>IF(Table2683259[[#This Row],[Fault Type]]="PM",IF(L40&lt;=(D40-C40),"Yes","No"),"")</f>
        <v/>
      </c>
      <c r="O40" s="16" t="str">
        <f t="shared" si="2"/>
        <v/>
      </c>
      <c r="P4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40" s="17"/>
    </row>
    <row r="41" spans="1:17" ht="15.5" x14ac:dyDescent="0.35">
      <c r="A41" s="4" t="s">
        <v>95</v>
      </c>
      <c r="B41" s="12" t="s">
        <v>150</v>
      </c>
      <c r="C41" s="13"/>
      <c r="D41" s="13"/>
      <c r="E41" s="13">
        <v>44781.161111111112</v>
      </c>
      <c r="F41" s="18">
        <v>1.9</v>
      </c>
      <c r="G41" s="159" t="s">
        <v>162</v>
      </c>
      <c r="H41" s="18" t="s">
        <v>526</v>
      </c>
      <c r="I41" s="18" t="s">
        <v>526</v>
      </c>
      <c r="J41" s="13">
        <v>44781.203472222223</v>
      </c>
      <c r="K41" s="32"/>
      <c r="L41" s="14">
        <f t="shared" si="0"/>
        <v>4.2361111110949423E-2</v>
      </c>
      <c r="M41" s="31">
        <f t="shared" si="3"/>
        <v>8.0486111110803907E-2</v>
      </c>
      <c r="N41" s="15" t="str">
        <f>IF(Table2683259[[#This Row],[Fault Type]]="PM",IF(L41&lt;=(D41-C41),"Yes","No"),"")</f>
        <v/>
      </c>
      <c r="O41" s="16" t="str">
        <f t="shared" si="2"/>
        <v/>
      </c>
      <c r="P4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41" s="17"/>
    </row>
    <row r="42" spans="1:17" ht="15.5" x14ac:dyDescent="0.35">
      <c r="A42" s="4" t="s">
        <v>94</v>
      </c>
      <c r="B42" s="12" t="s">
        <v>150</v>
      </c>
      <c r="C42" s="13"/>
      <c r="D42" s="13"/>
      <c r="E42" s="13">
        <v>44781.161111111112</v>
      </c>
      <c r="F42" s="18">
        <v>1.5</v>
      </c>
      <c r="G42" s="159" t="s">
        <v>162</v>
      </c>
      <c r="H42" s="18" t="s">
        <v>526</v>
      </c>
      <c r="I42" s="18" t="s">
        <v>526</v>
      </c>
      <c r="J42" s="13">
        <v>44781.203472222223</v>
      </c>
      <c r="K42" s="32"/>
      <c r="L42" s="14">
        <f t="shared" si="0"/>
        <v>4.2361111110949423E-2</v>
      </c>
      <c r="M42" s="31">
        <f t="shared" si="3"/>
        <v>6.3541666666424135E-2</v>
      </c>
      <c r="N42" s="15" t="str">
        <f>IF(Table2683259[[#This Row],[Fault Type]]="PM",IF(L42&lt;=(D42-C42),"Yes","No"),"")</f>
        <v/>
      </c>
      <c r="O42" s="16" t="str">
        <f t="shared" si="2"/>
        <v/>
      </c>
      <c r="P4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42" s="17"/>
    </row>
    <row r="43" spans="1:17" ht="15.5" x14ac:dyDescent="0.35">
      <c r="A43" s="4" t="s">
        <v>92</v>
      </c>
      <c r="B43" s="12" t="s">
        <v>150</v>
      </c>
      <c r="C43" s="13"/>
      <c r="D43" s="13"/>
      <c r="E43" s="13">
        <v>44781.161111111112</v>
      </c>
      <c r="F43" s="18">
        <v>2.1</v>
      </c>
      <c r="G43" s="159" t="s">
        <v>162</v>
      </c>
      <c r="H43" s="18" t="s">
        <v>526</v>
      </c>
      <c r="I43" s="18" t="s">
        <v>526</v>
      </c>
      <c r="J43" s="13">
        <v>44781.203472222223</v>
      </c>
      <c r="K43" s="32"/>
      <c r="L43" s="14">
        <f t="shared" si="0"/>
        <v>4.2361111110949423E-2</v>
      </c>
      <c r="M43" s="31">
        <f t="shared" si="3"/>
        <v>8.8958333332993786E-2</v>
      </c>
      <c r="N43" s="15" t="str">
        <f>IF(Table2683259[[#This Row],[Fault Type]]="PM",IF(L43&lt;=(D43-C43),"Yes","No"),"")</f>
        <v/>
      </c>
      <c r="O43" s="16" t="str">
        <f t="shared" si="2"/>
        <v/>
      </c>
      <c r="P4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43" s="17"/>
    </row>
    <row r="44" spans="1:17" ht="15.5" x14ac:dyDescent="0.35">
      <c r="A44" s="4" t="s">
        <v>103</v>
      </c>
      <c r="B44" s="12" t="s">
        <v>150</v>
      </c>
      <c r="C44" s="13"/>
      <c r="D44" s="13"/>
      <c r="E44" s="13">
        <v>44781.159722222219</v>
      </c>
      <c r="F44" s="18">
        <v>2</v>
      </c>
      <c r="G44" s="159" t="s">
        <v>162</v>
      </c>
      <c r="H44" s="18" t="s">
        <v>508</v>
      </c>
      <c r="I44" s="18" t="s">
        <v>334</v>
      </c>
      <c r="J44" s="13">
        <v>44781.451388888891</v>
      </c>
      <c r="K44" s="32"/>
      <c r="L44" s="14">
        <f t="shared" si="0"/>
        <v>0.29166666667151731</v>
      </c>
      <c r="M44" s="31">
        <f t="shared" si="3"/>
        <v>0.58333333334303461</v>
      </c>
      <c r="N44" s="15" t="str">
        <f>IF(Table2683259[[#This Row],[Fault Type]]="PM",IF(L44&lt;=(D44-C44),"Yes","No"),"")</f>
        <v/>
      </c>
      <c r="O44" s="16" t="str">
        <f t="shared" si="2"/>
        <v/>
      </c>
      <c r="P4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44" s="17"/>
    </row>
    <row r="45" spans="1:17" ht="15.5" x14ac:dyDescent="0.35">
      <c r="A45" s="4" t="s">
        <v>22</v>
      </c>
      <c r="B45" s="12" t="s">
        <v>150</v>
      </c>
      <c r="C45" s="13"/>
      <c r="D45" s="13"/>
      <c r="E45" s="13">
        <v>44781.161111111112</v>
      </c>
      <c r="F45" s="18">
        <v>2.5</v>
      </c>
      <c r="G45" s="159" t="s">
        <v>162</v>
      </c>
      <c r="H45" s="18" t="s">
        <v>526</v>
      </c>
      <c r="I45" s="18" t="s">
        <v>526</v>
      </c>
      <c r="J45" s="13">
        <v>44781.283333333333</v>
      </c>
      <c r="K45" s="32"/>
      <c r="L45" s="14">
        <f t="shared" si="0"/>
        <v>0.12222222222044365</v>
      </c>
      <c r="M45" s="31">
        <f t="shared" si="3"/>
        <v>0.30555555555110914</v>
      </c>
      <c r="N45" s="15" t="str">
        <f>IF(Table2683259[[#This Row],[Fault Type]]="PM",IF(L45&lt;=(D45-C45),"Yes","No"),"")</f>
        <v/>
      </c>
      <c r="O45" s="16" t="str">
        <f t="shared" si="2"/>
        <v/>
      </c>
      <c r="P4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45" s="17"/>
    </row>
    <row r="46" spans="1:17" ht="15.5" x14ac:dyDescent="0.35">
      <c r="A46" s="4" t="s">
        <v>784</v>
      </c>
      <c r="B46" s="12" t="s">
        <v>150</v>
      </c>
      <c r="C46" s="13"/>
      <c r="D46" s="13"/>
      <c r="E46" s="13">
        <v>44781.162499999999</v>
      </c>
      <c r="F46" s="18">
        <v>2</v>
      </c>
      <c r="G46" s="159" t="s">
        <v>164</v>
      </c>
      <c r="H46" s="18" t="s">
        <v>508</v>
      </c>
      <c r="I46" s="18" t="s">
        <v>334</v>
      </c>
      <c r="J46" s="13">
        <v>44781.548611111109</v>
      </c>
      <c r="K46" s="32"/>
      <c r="L46" s="14">
        <f t="shared" si="0"/>
        <v>0.38611111111094942</v>
      </c>
      <c r="M46" s="31">
        <f t="shared" si="3"/>
        <v>0.77222222222189885</v>
      </c>
      <c r="N46" s="15" t="str">
        <f>IF(Table2683259[[#This Row],[Fault Type]]="PM",IF(L46&lt;=(D46-C46),"Yes","No"),"")</f>
        <v/>
      </c>
      <c r="O46" s="16" t="str">
        <f t="shared" si="2"/>
        <v/>
      </c>
      <c r="P46"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46" s="17"/>
    </row>
    <row r="47" spans="1:17" ht="15.75" customHeight="1" x14ac:dyDescent="0.35">
      <c r="A47" s="4" t="s">
        <v>84</v>
      </c>
      <c r="B47" s="12" t="s">
        <v>150</v>
      </c>
      <c r="C47" s="13"/>
      <c r="D47" s="13"/>
      <c r="E47" s="13">
        <v>44781.163194444445</v>
      </c>
      <c r="F47" s="12">
        <v>1.9</v>
      </c>
      <c r="G47" s="159" t="s">
        <v>164</v>
      </c>
      <c r="H47" s="12" t="s">
        <v>855</v>
      </c>
      <c r="I47" s="12" t="s">
        <v>334</v>
      </c>
      <c r="J47" s="13">
        <v>44781.535416666666</v>
      </c>
      <c r="K47" s="32"/>
      <c r="L47" s="14">
        <f t="shared" si="0"/>
        <v>0.37222222222044365</v>
      </c>
      <c r="M47" s="31">
        <f t="shared" si="3"/>
        <v>0.7072222222188429</v>
      </c>
      <c r="N47" s="15" t="str">
        <f>IF(Table2683259[[#This Row],[Fault Type]]="PM",IF(L47&lt;=(D47-C47),"Yes","No"),"")</f>
        <v/>
      </c>
      <c r="O47" s="16" t="str">
        <f t="shared" si="2"/>
        <v/>
      </c>
      <c r="P4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47" s="17"/>
    </row>
    <row r="48" spans="1:17" ht="15.5" x14ac:dyDescent="0.35">
      <c r="A48" s="4" t="s">
        <v>21</v>
      </c>
      <c r="B48" s="12" t="s">
        <v>150</v>
      </c>
      <c r="C48" s="13"/>
      <c r="D48" s="13"/>
      <c r="E48" s="13">
        <v>44781.163194444445</v>
      </c>
      <c r="F48" s="18">
        <v>9.5</v>
      </c>
      <c r="G48" s="159" t="s">
        <v>164</v>
      </c>
      <c r="H48" s="18" t="s">
        <v>856</v>
      </c>
      <c r="I48" s="18" t="s">
        <v>333</v>
      </c>
      <c r="J48" s="13">
        <v>44781.331944444442</v>
      </c>
      <c r="K48" s="32"/>
      <c r="L48" s="14">
        <f t="shared" si="0"/>
        <v>0.16874999999708962</v>
      </c>
      <c r="M48" s="31">
        <f t="shared" si="3"/>
        <v>1.6031249999723514</v>
      </c>
      <c r="N48" s="15" t="str">
        <f>IF(Table2683259[[#This Row],[Fault Type]]="PM",IF(L48&lt;=(D48-C48),"Yes","No"),"")</f>
        <v/>
      </c>
      <c r="O48" s="16" t="str">
        <f t="shared" si="2"/>
        <v/>
      </c>
      <c r="P4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48" s="17"/>
    </row>
    <row r="49" spans="1:17" ht="15.5" x14ac:dyDescent="0.35">
      <c r="A49" s="4" t="s">
        <v>104</v>
      </c>
      <c r="B49" s="49" t="s">
        <v>150</v>
      </c>
      <c r="C49" s="49"/>
      <c r="D49" s="49"/>
      <c r="E49" s="13">
        <v>44781.163194444445</v>
      </c>
      <c r="F49" s="64">
        <v>3</v>
      </c>
      <c r="G49" s="159" t="s">
        <v>164</v>
      </c>
      <c r="H49" s="54"/>
      <c r="I49" s="54"/>
      <c r="J49" s="13"/>
      <c r="K49" s="32"/>
      <c r="L49" s="14">
        <f t="shared" si="0"/>
        <v>-44781.163194444445</v>
      </c>
      <c r="M49" s="53">
        <f t="shared" si="3"/>
        <v>-134343.48958333334</v>
      </c>
      <c r="N49" s="50" t="str">
        <f>IF(Table2683259[[#This Row],[Fault Type]]="PM",IF(L49&lt;=(D49-C49),"Yes","No"),"")</f>
        <v/>
      </c>
      <c r="O49" s="51" t="str">
        <f t="shared" si="2"/>
        <v/>
      </c>
      <c r="P4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row>
    <row r="50" spans="1:17" ht="15.5" x14ac:dyDescent="0.35">
      <c r="A50" s="58" t="s">
        <v>32</v>
      </c>
      <c r="B50" s="55" t="s">
        <v>150</v>
      </c>
      <c r="C50" s="56"/>
      <c r="D50" s="56"/>
      <c r="E50" s="13">
        <v>44781.163194444445</v>
      </c>
      <c r="F50" s="55">
        <v>15.3</v>
      </c>
      <c r="G50" s="159" t="s">
        <v>164</v>
      </c>
      <c r="H50" s="57" t="s">
        <v>857</v>
      </c>
      <c r="I50" s="18" t="s">
        <v>333</v>
      </c>
      <c r="J50" s="13">
        <v>44781.361805555556</v>
      </c>
      <c r="K50" s="32"/>
      <c r="L50" s="14">
        <f t="shared" si="0"/>
        <v>0.19861111111094942</v>
      </c>
      <c r="M50" s="59">
        <f t="shared" si="3"/>
        <v>3.0387499999975263</v>
      </c>
      <c r="N50" s="61" t="str">
        <f>IF(Table2683259[[#This Row],[Fault Type]]="PM",IF(L50&lt;=(D50-C50),"Yes","No"),"")</f>
        <v/>
      </c>
      <c r="O50" s="62" t="str">
        <f t="shared" si="2"/>
        <v/>
      </c>
      <c r="P5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0" s="63"/>
    </row>
    <row r="51" spans="1:17" ht="15.5" x14ac:dyDescent="0.35">
      <c r="A51" s="58" t="s">
        <v>195</v>
      </c>
      <c r="B51" s="55" t="s">
        <v>150</v>
      </c>
      <c r="C51" s="56"/>
      <c r="D51" s="56"/>
      <c r="E51" s="13">
        <v>44781.163888888892</v>
      </c>
      <c r="F51" s="55">
        <v>2.6</v>
      </c>
      <c r="G51" s="159" t="s">
        <v>164</v>
      </c>
      <c r="H51" s="57" t="s">
        <v>858</v>
      </c>
      <c r="I51" s="18" t="s">
        <v>334</v>
      </c>
      <c r="J51" s="13">
        <v>44781.304861111108</v>
      </c>
      <c r="K51" s="32"/>
      <c r="L51" s="14">
        <f t="shared" si="0"/>
        <v>0.14097222221607808</v>
      </c>
      <c r="M51" s="59">
        <f t="shared" si="3"/>
        <v>0.36652777776180301</v>
      </c>
      <c r="N51" s="61" t="str">
        <f>IF(Table2683259[[#This Row],[Fault Type]]="PM",IF(L51&lt;=(D51-C51),"Yes","No"),"")</f>
        <v/>
      </c>
      <c r="O51" s="62" t="str">
        <f t="shared" si="2"/>
        <v/>
      </c>
      <c r="P5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1" s="63"/>
    </row>
    <row r="52" spans="1:17" ht="15.5" x14ac:dyDescent="0.35">
      <c r="A52" s="58" t="s">
        <v>39</v>
      </c>
      <c r="B52" s="55" t="s">
        <v>150</v>
      </c>
      <c r="C52" s="56"/>
      <c r="D52" s="56"/>
      <c r="E52" s="13">
        <v>44781.167361111111</v>
      </c>
      <c r="F52" s="55">
        <v>10</v>
      </c>
      <c r="G52" s="159" t="s">
        <v>162</v>
      </c>
      <c r="H52" s="57" t="s">
        <v>859</v>
      </c>
      <c r="I52" s="18" t="s">
        <v>333</v>
      </c>
      <c r="J52" s="13">
        <v>44781.384722222225</v>
      </c>
      <c r="K52" s="32"/>
      <c r="L52" s="14">
        <f t="shared" si="0"/>
        <v>0.21736111111385981</v>
      </c>
      <c r="M52" s="59">
        <f t="shared" si="3"/>
        <v>2.1736111111385981</v>
      </c>
      <c r="N52" s="61" t="str">
        <f>IF(Table2683259[[#This Row],[Fault Type]]="PM",IF(L52&lt;=(D52-C52),"Yes","No"),"")</f>
        <v/>
      </c>
      <c r="O52" s="62" t="str">
        <f t="shared" si="2"/>
        <v/>
      </c>
      <c r="P5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2" s="63"/>
    </row>
    <row r="53" spans="1:17" ht="15.5" x14ac:dyDescent="0.35">
      <c r="A53" s="58" t="s">
        <v>449</v>
      </c>
      <c r="B53" s="55" t="s">
        <v>150</v>
      </c>
      <c r="C53" s="56"/>
      <c r="D53" s="56"/>
      <c r="E53" s="13">
        <v>44781.168055555558</v>
      </c>
      <c r="F53" s="55">
        <v>2.7</v>
      </c>
      <c r="G53" s="159" t="s">
        <v>162</v>
      </c>
      <c r="H53" s="57" t="s">
        <v>860</v>
      </c>
      <c r="I53" s="18" t="s">
        <v>334</v>
      </c>
      <c r="J53" s="13">
        <v>44781.503472222219</v>
      </c>
      <c r="K53" s="83"/>
      <c r="L53" s="14">
        <f t="shared" si="0"/>
        <v>0.33541666666133096</v>
      </c>
      <c r="M53" s="59">
        <f t="shared" si="3"/>
        <v>0.90562499998559365</v>
      </c>
      <c r="N53" s="61" t="str">
        <f>IF(Table2683259[[#This Row],[Fault Type]]="PM",IF(L53&lt;=(D53-C53),"Yes","No"),"")</f>
        <v/>
      </c>
      <c r="O53" s="62" t="str">
        <f t="shared" si="2"/>
        <v/>
      </c>
      <c r="P5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53" s="63"/>
    </row>
    <row r="54" spans="1:17" ht="15.5" x14ac:dyDescent="0.35">
      <c r="A54" s="58" t="s">
        <v>20</v>
      </c>
      <c r="B54" s="55" t="s">
        <v>150</v>
      </c>
      <c r="C54" s="56"/>
      <c r="D54" s="56"/>
      <c r="E54" s="13">
        <v>44781.168055555558</v>
      </c>
      <c r="F54" s="55">
        <v>14</v>
      </c>
      <c r="G54" s="159" t="s">
        <v>162</v>
      </c>
      <c r="H54" s="57" t="s">
        <v>526</v>
      </c>
      <c r="I54" s="18" t="s">
        <v>526</v>
      </c>
      <c r="J54" s="13">
        <v>44781.304861111108</v>
      </c>
      <c r="K54" s="83"/>
      <c r="L54" s="14">
        <f t="shared" si="0"/>
        <v>0.13680555555038154</v>
      </c>
      <c r="M54" s="59">
        <f t="shared" si="3"/>
        <v>1.9152777777053416</v>
      </c>
      <c r="N54" s="61" t="str">
        <f>IF(Table2683259[[#This Row],[Fault Type]]="PM",IF(L54&lt;=(D54-C54),"Yes","No"),"")</f>
        <v/>
      </c>
      <c r="O54" s="62" t="str">
        <f t="shared" si="2"/>
        <v/>
      </c>
      <c r="P5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4" s="63"/>
    </row>
    <row r="55" spans="1:17" ht="15.5" x14ac:dyDescent="0.35">
      <c r="A55" s="58" t="s">
        <v>861</v>
      </c>
      <c r="B55" s="55" t="s">
        <v>150</v>
      </c>
      <c r="C55" s="56"/>
      <c r="D55" s="56"/>
      <c r="E55" s="13">
        <v>44781.169444444444</v>
      </c>
      <c r="F55" s="55">
        <v>3.4</v>
      </c>
      <c r="G55" s="159" t="s">
        <v>162</v>
      </c>
      <c r="H55" s="57"/>
      <c r="I55" s="18"/>
      <c r="J55" s="13"/>
      <c r="K55" s="83"/>
      <c r="L55" s="14">
        <f t="shared" si="0"/>
        <v>-44781.169444444444</v>
      </c>
      <c r="M55" s="59">
        <f t="shared" si="3"/>
        <v>-152255.97611111111</v>
      </c>
      <c r="N55" s="61" t="str">
        <f>IF(Table2683259[[#This Row],[Fault Type]]="PM",IF(L55&lt;=(D55-C55),"Yes","No"),"")</f>
        <v/>
      </c>
      <c r="O55" s="62" t="str">
        <f t="shared" si="2"/>
        <v/>
      </c>
      <c r="P55"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55" s="63"/>
    </row>
    <row r="56" spans="1:17" ht="15.5" x14ac:dyDescent="0.35">
      <c r="A56" s="58" t="s">
        <v>18</v>
      </c>
      <c r="B56" s="55" t="s">
        <v>150</v>
      </c>
      <c r="C56" s="56"/>
      <c r="D56" s="56"/>
      <c r="E56" s="13">
        <v>44781.176388888889</v>
      </c>
      <c r="F56" s="55">
        <v>8.4</v>
      </c>
      <c r="G56" s="159" t="s">
        <v>162</v>
      </c>
      <c r="H56" s="57" t="s">
        <v>526</v>
      </c>
      <c r="I56" s="18" t="s">
        <v>526</v>
      </c>
      <c r="J56" s="13">
        <v>44781.283333333333</v>
      </c>
      <c r="K56" s="83"/>
      <c r="L56" s="14">
        <f t="shared" si="0"/>
        <v>0.10694444444379769</v>
      </c>
      <c r="M56" s="59">
        <f t="shared" si="3"/>
        <v>0.89833333332790066</v>
      </c>
      <c r="N56" s="61" t="str">
        <f>IF(Table2683259[[#This Row],[Fault Type]]="PM",IF(L56&lt;=(D56-C56),"Yes","No"),"")</f>
        <v/>
      </c>
      <c r="O56" s="62" t="str">
        <f t="shared" si="2"/>
        <v/>
      </c>
      <c r="P5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6" s="63"/>
    </row>
    <row r="57" spans="1:17" ht="15.5" x14ac:dyDescent="0.35">
      <c r="A57" s="58" t="s">
        <v>26</v>
      </c>
      <c r="B57" s="55" t="s">
        <v>150</v>
      </c>
      <c r="C57" s="56"/>
      <c r="D57" s="56"/>
      <c r="E57" s="13">
        <v>44781.19027777778</v>
      </c>
      <c r="F57" s="55">
        <v>0.19027777777777777</v>
      </c>
      <c r="G57" s="159" t="s">
        <v>164</v>
      </c>
      <c r="H57" s="57" t="s">
        <v>862</v>
      </c>
      <c r="I57" s="18" t="s">
        <v>333</v>
      </c>
      <c r="J57" s="13">
        <v>44781.305555555555</v>
      </c>
      <c r="K57" s="83"/>
      <c r="L57" s="14">
        <f t="shared" si="0"/>
        <v>0.11527777777519077</v>
      </c>
      <c r="M57" s="59">
        <f t="shared" si="3"/>
        <v>2.1934799382223799E-2</v>
      </c>
      <c r="N57" s="61" t="str">
        <f>IF(Table2683259[[#This Row],[Fault Type]]="PM",IF(L57&lt;=(D57-C57),"Yes","No"),"")</f>
        <v/>
      </c>
      <c r="O57" s="62" t="str">
        <f t="shared" si="2"/>
        <v/>
      </c>
      <c r="P5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57" s="63"/>
    </row>
    <row r="58" spans="1:17" ht="15.5" x14ac:dyDescent="0.35">
      <c r="A58" s="58" t="s">
        <v>315</v>
      </c>
      <c r="B58" s="55" t="s">
        <v>150</v>
      </c>
      <c r="C58" s="56"/>
      <c r="D58" s="56"/>
      <c r="E58" s="13">
        <v>44781.038194444445</v>
      </c>
      <c r="F58" s="55">
        <v>1.9</v>
      </c>
      <c r="G58" s="159" t="s">
        <v>162</v>
      </c>
      <c r="H58" s="57" t="s">
        <v>863</v>
      </c>
      <c r="I58" s="18" t="s">
        <v>334</v>
      </c>
      <c r="J58" s="13">
        <v>44781.415972222225</v>
      </c>
      <c r="K58" s="83"/>
      <c r="L58" s="14">
        <f t="shared" si="0"/>
        <v>0.37777777777955635</v>
      </c>
      <c r="M58" s="59">
        <f t="shared" si="3"/>
        <v>0.71777777778115703</v>
      </c>
      <c r="N58" s="61" t="str">
        <f>IF(Table2683259[[#This Row],[Fault Type]]="PM",IF(L58&lt;=(D58-C58),"Yes","No"),"")</f>
        <v/>
      </c>
      <c r="O58" s="62" t="str">
        <f t="shared" si="2"/>
        <v/>
      </c>
      <c r="P5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58" s="63"/>
    </row>
    <row r="59" spans="1:17" ht="15.5" x14ac:dyDescent="0.35">
      <c r="A59" s="58" t="s">
        <v>442</v>
      </c>
      <c r="B59" s="55" t="s">
        <v>150</v>
      </c>
      <c r="C59" s="56"/>
      <c r="D59" s="56"/>
      <c r="E59" s="13">
        <v>44781.061805555553</v>
      </c>
      <c r="F59" s="55">
        <v>6.1805555555555558E-2</v>
      </c>
      <c r="G59" s="159" t="s">
        <v>164</v>
      </c>
      <c r="H59" s="57" t="s">
        <v>864</v>
      </c>
      <c r="I59" s="18" t="s">
        <v>333</v>
      </c>
      <c r="J59" s="13">
        <v>44781.456250000003</v>
      </c>
      <c r="K59" s="83"/>
      <c r="L59" s="14">
        <f t="shared" si="0"/>
        <v>0.39444444444961846</v>
      </c>
      <c r="M59" s="59">
        <f t="shared" si="3"/>
        <v>2.4378858025011142E-2</v>
      </c>
      <c r="N59" s="61" t="str">
        <f>IF(Table2683259[[#This Row],[Fault Type]]="PM",IF(L59&lt;=(D59-C59),"Yes","No"),"")</f>
        <v/>
      </c>
      <c r="O59" s="62" t="str">
        <f t="shared" si="2"/>
        <v/>
      </c>
      <c r="P5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59" s="63"/>
    </row>
    <row r="60" spans="1:17" ht="15.5" x14ac:dyDescent="0.35">
      <c r="A60" s="58" t="s">
        <v>45</v>
      </c>
      <c r="B60" s="55" t="s">
        <v>150</v>
      </c>
      <c r="C60" s="56"/>
      <c r="D60" s="56"/>
      <c r="E60" s="13">
        <v>44781.099305555559</v>
      </c>
      <c r="F60" s="55">
        <v>0.5</v>
      </c>
      <c r="G60" s="159" t="s">
        <v>164</v>
      </c>
      <c r="H60" s="57" t="s">
        <v>865</v>
      </c>
      <c r="I60" s="18" t="s">
        <v>333</v>
      </c>
      <c r="J60" s="13">
        <v>44781.564583333333</v>
      </c>
      <c r="K60" s="83"/>
      <c r="L60" s="14">
        <f t="shared" si="0"/>
        <v>0.46527777777373558</v>
      </c>
      <c r="M60" s="59">
        <f t="shared" si="3"/>
        <v>0.23263888888686779</v>
      </c>
      <c r="N60" s="61" t="str">
        <f>IF(Table2683259[[#This Row],[Fault Type]]="PM",IF(L60&lt;=(D60-C60),"Yes","No"),"")</f>
        <v/>
      </c>
      <c r="O60" s="62" t="str">
        <f t="shared" si="2"/>
        <v/>
      </c>
      <c r="P6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0" s="63"/>
    </row>
    <row r="61" spans="1:17" ht="15.5" x14ac:dyDescent="0.35">
      <c r="A61" s="58" t="s">
        <v>123</v>
      </c>
      <c r="B61" s="55" t="s">
        <v>150</v>
      </c>
      <c r="C61" s="56"/>
      <c r="D61" s="56"/>
      <c r="E61" s="13">
        <v>44781.203472222223</v>
      </c>
      <c r="F61" s="55">
        <v>2</v>
      </c>
      <c r="G61" s="159" t="s">
        <v>164</v>
      </c>
      <c r="H61" s="57" t="s">
        <v>866</v>
      </c>
      <c r="I61" s="18" t="s">
        <v>333</v>
      </c>
      <c r="J61" s="13">
        <v>44781.296527777777</v>
      </c>
      <c r="K61" s="83"/>
      <c r="L61" s="14">
        <f t="shared" si="0"/>
        <v>9.3055555553291924E-2</v>
      </c>
      <c r="M61" s="59">
        <f t="shared" si="3"/>
        <v>0.18611111110658385</v>
      </c>
      <c r="N61" s="61" t="str">
        <f>IF(Table2683259[[#This Row],[Fault Type]]="PM",IF(L61&lt;=(D61-C61),"Yes","No"),"")</f>
        <v/>
      </c>
      <c r="O61" s="62" t="str">
        <f t="shared" si="2"/>
        <v/>
      </c>
      <c r="P6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61" s="63"/>
    </row>
    <row r="62" spans="1:17" ht="15.5" x14ac:dyDescent="0.35">
      <c r="A62" s="58" t="s">
        <v>93</v>
      </c>
      <c r="B62" s="55" t="s">
        <v>150</v>
      </c>
      <c r="C62" s="56"/>
      <c r="D62" s="56"/>
      <c r="E62" s="13">
        <v>44781.247916666667</v>
      </c>
      <c r="F62" s="55">
        <v>2.1</v>
      </c>
      <c r="G62" s="159" t="s">
        <v>164</v>
      </c>
      <c r="H62" s="57" t="s">
        <v>867</v>
      </c>
      <c r="I62" s="18" t="s">
        <v>334</v>
      </c>
      <c r="J62" s="13">
        <v>44781.628472222219</v>
      </c>
      <c r="K62" s="83"/>
      <c r="L62" s="14">
        <f t="shared" si="0"/>
        <v>0.38055555555183673</v>
      </c>
      <c r="M62" s="59">
        <f t="shared" si="3"/>
        <v>0.79916666665885716</v>
      </c>
      <c r="N62" s="61" t="str">
        <f>IF(Table2683259[[#This Row],[Fault Type]]="PM",IF(L62&lt;=(D62-C62),"Yes","No"),"")</f>
        <v/>
      </c>
      <c r="O62" s="62" t="str">
        <f t="shared" si="2"/>
        <v/>
      </c>
      <c r="P6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2" s="63"/>
    </row>
    <row r="63" spans="1:17" ht="15.5" x14ac:dyDescent="0.35">
      <c r="A63" s="58" t="s">
        <v>316</v>
      </c>
      <c r="B63" s="55" t="s">
        <v>150</v>
      </c>
      <c r="C63" s="56"/>
      <c r="D63" s="56"/>
      <c r="E63" s="13">
        <v>44781.253472222219</v>
      </c>
      <c r="F63" s="55">
        <v>2.4</v>
      </c>
      <c r="G63" s="159" t="s">
        <v>162</v>
      </c>
      <c r="H63" s="57"/>
      <c r="I63" s="18"/>
      <c r="J63" s="13"/>
      <c r="K63" s="83"/>
      <c r="L63" s="14">
        <f t="shared" si="0"/>
        <v>-44781.253472222219</v>
      </c>
      <c r="M63" s="59">
        <f t="shared" si="3"/>
        <v>-107475.00833333332</v>
      </c>
      <c r="N63" s="61" t="str">
        <f>IF(Table2683259[[#This Row],[Fault Type]]="PM",IF(L63&lt;=(D63-C63),"Yes","No"),"")</f>
        <v/>
      </c>
      <c r="O63" s="62" t="str">
        <f t="shared" si="2"/>
        <v/>
      </c>
      <c r="P6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3" s="63"/>
    </row>
    <row r="64" spans="1:17" ht="15.5" x14ac:dyDescent="0.35">
      <c r="A64" s="58" t="s">
        <v>142</v>
      </c>
      <c r="B64" s="55" t="s">
        <v>150</v>
      </c>
      <c r="C64" s="56"/>
      <c r="D64" s="56"/>
      <c r="E64" s="13">
        <v>44781.163194444445</v>
      </c>
      <c r="F64" s="55">
        <v>1</v>
      </c>
      <c r="G64" s="159" t="s">
        <v>162</v>
      </c>
      <c r="H64" s="57" t="s">
        <v>508</v>
      </c>
      <c r="I64" s="18" t="s">
        <v>334</v>
      </c>
      <c r="J64" s="13">
        <v>44781.628472222219</v>
      </c>
      <c r="K64" s="83"/>
      <c r="L64" s="14">
        <f t="shared" si="0"/>
        <v>0.46527777777373558</v>
      </c>
      <c r="M64" s="59">
        <f t="shared" si="3"/>
        <v>0.46527777777373558</v>
      </c>
      <c r="N64" s="61" t="str">
        <f>IF(Table2683259[[#This Row],[Fault Type]]="PM",IF(L64&lt;=(D64-C64),"Yes","No"),"")</f>
        <v/>
      </c>
      <c r="O64" s="62" t="str">
        <f t="shared" si="2"/>
        <v/>
      </c>
      <c r="P64"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4" s="63"/>
    </row>
    <row r="65" spans="1:17" ht="15.5" x14ac:dyDescent="0.35">
      <c r="A65" s="58" t="s">
        <v>62</v>
      </c>
      <c r="B65" s="55" t="s">
        <v>150</v>
      </c>
      <c r="C65" s="56"/>
      <c r="D65" s="56"/>
      <c r="E65" s="13">
        <v>44781.28125</v>
      </c>
      <c r="F65" s="55">
        <v>1.5</v>
      </c>
      <c r="G65" s="159" t="s">
        <v>162</v>
      </c>
      <c r="H65" s="57" t="s">
        <v>868</v>
      </c>
      <c r="I65" s="18" t="s">
        <v>333</v>
      </c>
      <c r="J65" s="13">
        <v>44781.336111111108</v>
      </c>
      <c r="K65" s="83"/>
      <c r="L65" s="14">
        <f t="shared" si="0"/>
        <v>5.486111110803904E-2</v>
      </c>
      <c r="M65" s="59">
        <f t="shared" si="3"/>
        <v>8.229166666205856E-2</v>
      </c>
      <c r="N65" s="61" t="str">
        <f>IF(Table2683259[[#This Row],[Fault Type]]="PM",IF(L65&lt;=(D65-C65),"Yes","No"),"")</f>
        <v/>
      </c>
      <c r="O65" s="62" t="str">
        <f t="shared" si="2"/>
        <v/>
      </c>
      <c r="P6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65" s="63"/>
    </row>
    <row r="66" spans="1:17" ht="15.5" x14ac:dyDescent="0.35">
      <c r="A66" s="58" t="s">
        <v>500</v>
      </c>
      <c r="B66" s="55" t="s">
        <v>150</v>
      </c>
      <c r="C66" s="56"/>
      <c r="D66" s="56"/>
      <c r="E66" s="13">
        <v>44781.273611111108</v>
      </c>
      <c r="F66" s="55">
        <v>0.1</v>
      </c>
      <c r="G66" s="159" t="s">
        <v>162</v>
      </c>
      <c r="H66" s="57"/>
      <c r="I66" s="18"/>
      <c r="J66" s="13"/>
      <c r="K66" s="83"/>
      <c r="L66" s="14">
        <f t="shared" si="0"/>
        <v>-44781.273611111108</v>
      </c>
      <c r="M66" s="59">
        <f t="shared" si="3"/>
        <v>-4478.127361111111</v>
      </c>
      <c r="N66" s="61" t="str">
        <f>IF(Table2683259[[#This Row],[Fault Type]]="PM",IF(L66&lt;=(D66-C66),"Yes","No"),"")</f>
        <v/>
      </c>
      <c r="O66" s="62" t="str">
        <f t="shared" si="2"/>
        <v/>
      </c>
      <c r="P6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6" s="63"/>
    </row>
    <row r="67" spans="1:17" ht="15.5" x14ac:dyDescent="0.35">
      <c r="A67" s="58" t="s">
        <v>65</v>
      </c>
      <c r="B67" s="55" t="s">
        <v>150</v>
      </c>
      <c r="C67" s="56"/>
      <c r="D67" s="56"/>
      <c r="E67" s="13">
        <v>44781.286111111112</v>
      </c>
      <c r="F67" s="55"/>
      <c r="G67" s="159" t="s">
        <v>162</v>
      </c>
      <c r="H67" s="57" t="s">
        <v>869</v>
      </c>
      <c r="I67" s="18" t="s">
        <v>334</v>
      </c>
      <c r="J67" s="13">
        <v>44781.454861111109</v>
      </c>
      <c r="K67" s="83"/>
      <c r="L67" s="14">
        <f t="shared" si="0"/>
        <v>0.16874999999708962</v>
      </c>
      <c r="M67" s="59">
        <f t="shared" si="3"/>
        <v>0</v>
      </c>
      <c r="N67" s="61" t="str">
        <f>IF(Table2683259[[#This Row],[Fault Type]]="PM",IF(L67&lt;=(D67-C67),"Yes","No"),"")</f>
        <v/>
      </c>
      <c r="O67" s="62" t="str">
        <f t="shared" si="2"/>
        <v/>
      </c>
      <c r="P6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67" s="63"/>
    </row>
    <row r="68" spans="1:17" ht="15.5" x14ac:dyDescent="0.35">
      <c r="A68" s="58" t="s">
        <v>113</v>
      </c>
      <c r="B68" s="55" t="s">
        <v>150</v>
      </c>
      <c r="C68" s="56"/>
      <c r="D68" s="56"/>
      <c r="E68" s="13">
        <v>44781.288888888892</v>
      </c>
      <c r="F68" s="55"/>
      <c r="G68" s="159" t="s">
        <v>439</v>
      </c>
      <c r="H68" s="57" t="s">
        <v>632</v>
      </c>
      <c r="I68" s="18" t="s">
        <v>333</v>
      </c>
      <c r="J68" s="13">
        <v>44781.555555555555</v>
      </c>
      <c r="K68" s="83"/>
      <c r="L68" s="14">
        <f t="shared" ref="L68:L81" si="4">J68-E68</f>
        <v>0.26666666666278616</v>
      </c>
      <c r="M68" s="59">
        <f t="shared" si="3"/>
        <v>0</v>
      </c>
      <c r="N68" s="61" t="str">
        <f>IF(Table2683259[[#This Row],[Fault Type]]="PM",IF(L68&lt;=(D68-C68),"Yes","No"),"")</f>
        <v/>
      </c>
      <c r="O68" s="62" t="str">
        <f t="shared" ref="O68:O81" si="5">IF(N68="No",(L68-(D68-C68)),"")</f>
        <v/>
      </c>
      <c r="P6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68" s="63"/>
    </row>
    <row r="69" spans="1:17" ht="15.5" x14ac:dyDescent="0.35">
      <c r="A69" s="58" t="s">
        <v>112</v>
      </c>
      <c r="B69" s="55" t="s">
        <v>150</v>
      </c>
      <c r="C69" s="56"/>
      <c r="D69" s="56"/>
      <c r="E69" s="13">
        <v>44781.293055555558</v>
      </c>
      <c r="F69" s="55"/>
      <c r="G69" s="159" t="s">
        <v>162</v>
      </c>
      <c r="H69" s="57" t="s">
        <v>567</v>
      </c>
      <c r="I69" s="18" t="s">
        <v>334</v>
      </c>
      <c r="J69" s="13">
        <v>44781.425694444442</v>
      </c>
      <c r="K69" s="83"/>
      <c r="L69" s="14">
        <f t="shared" si="4"/>
        <v>0.132638888884685</v>
      </c>
      <c r="M69" s="59">
        <f t="shared" si="3"/>
        <v>0</v>
      </c>
      <c r="N69" s="61" t="str">
        <f>IF(Table2683259[[#This Row],[Fault Type]]="PM",IF(L69&lt;=(D69-C69),"Yes","No"),"")</f>
        <v/>
      </c>
      <c r="O69" s="62" t="str">
        <f t="shared" si="5"/>
        <v/>
      </c>
      <c r="P6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69" s="63"/>
    </row>
    <row r="70" spans="1:17" ht="15.5" x14ac:dyDescent="0.35">
      <c r="A70" s="58" t="s">
        <v>68</v>
      </c>
      <c r="B70" s="55" t="s">
        <v>150</v>
      </c>
      <c r="C70" s="56"/>
      <c r="D70" s="56"/>
      <c r="E70" s="13">
        <v>44781.293055555558</v>
      </c>
      <c r="F70" s="55"/>
      <c r="G70" s="159" t="s">
        <v>164</v>
      </c>
      <c r="H70" s="57" t="s">
        <v>870</v>
      </c>
      <c r="I70" s="18" t="s">
        <v>333</v>
      </c>
      <c r="J70" s="13">
        <v>44781.390277777777</v>
      </c>
      <c r="K70" s="83"/>
      <c r="L70" s="14">
        <f t="shared" si="4"/>
        <v>9.7222222218988463E-2</v>
      </c>
      <c r="M70" s="59">
        <f t="shared" si="3"/>
        <v>0</v>
      </c>
      <c r="N70" s="61" t="str">
        <f>IF(Table2683259[[#This Row],[Fault Type]]="PM",IF(L70&lt;=(D70-C70),"Yes","No"),"")</f>
        <v/>
      </c>
      <c r="O70" s="62" t="str">
        <f t="shared" si="5"/>
        <v/>
      </c>
      <c r="P7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70" s="63"/>
    </row>
    <row r="71" spans="1:17" ht="15.5" x14ac:dyDescent="0.35">
      <c r="A71" s="58" t="s">
        <v>871</v>
      </c>
      <c r="B71" s="55" t="s">
        <v>150</v>
      </c>
      <c r="C71" s="56"/>
      <c r="D71" s="56"/>
      <c r="E71" s="13">
        <v>44781.302777777775</v>
      </c>
      <c r="F71" s="55"/>
      <c r="G71" s="159" t="s">
        <v>164</v>
      </c>
      <c r="H71" s="57" t="s">
        <v>508</v>
      </c>
      <c r="I71" s="18" t="s">
        <v>334</v>
      </c>
      <c r="J71" s="13">
        <v>44781.472916666666</v>
      </c>
      <c r="K71" s="83"/>
      <c r="L71" s="14">
        <f t="shared" si="4"/>
        <v>0.17013888889050577</v>
      </c>
      <c r="M71" s="59">
        <f t="shared" si="3"/>
        <v>0</v>
      </c>
      <c r="N71" s="61" t="str">
        <f>IF(Table2683259[[#This Row],[Fault Type]]="PM",IF(L71&lt;=(D71-C71),"Yes","No"),"")</f>
        <v/>
      </c>
      <c r="O71" s="62" t="str">
        <f t="shared" si="5"/>
        <v/>
      </c>
      <c r="P71"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71" s="63"/>
    </row>
    <row r="72" spans="1:17" ht="15.5" x14ac:dyDescent="0.35">
      <c r="A72" s="58" t="s">
        <v>137</v>
      </c>
      <c r="B72" s="55" t="s">
        <v>150</v>
      </c>
      <c r="C72" s="56"/>
      <c r="D72" s="56"/>
      <c r="E72" s="13">
        <v>44781.104861111111</v>
      </c>
      <c r="F72" s="55">
        <v>0.8</v>
      </c>
      <c r="G72" s="159" t="s">
        <v>164</v>
      </c>
      <c r="H72" s="57" t="s">
        <v>872</v>
      </c>
      <c r="I72" s="18" t="s">
        <v>333</v>
      </c>
      <c r="J72" s="13">
        <v>44781.395833333336</v>
      </c>
      <c r="K72" s="83"/>
      <c r="L72" s="14">
        <f t="shared" si="4"/>
        <v>0.29097222222480923</v>
      </c>
      <c r="M72" s="59">
        <f t="shared" si="3"/>
        <v>0.2327777777798474</v>
      </c>
      <c r="N72" s="61" t="str">
        <f>IF(Table2683259[[#This Row],[Fault Type]]="PM",IF(L72&lt;=(D72-C72),"Yes","No"),"")</f>
        <v/>
      </c>
      <c r="O72" s="62" t="str">
        <f t="shared" si="5"/>
        <v/>
      </c>
      <c r="P72"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72" s="63"/>
    </row>
    <row r="73" spans="1:17" ht="15.5" x14ac:dyDescent="0.35">
      <c r="A73" s="58" t="s">
        <v>450</v>
      </c>
      <c r="B73" s="55" t="s">
        <v>150</v>
      </c>
      <c r="C73" s="56"/>
      <c r="D73" s="56"/>
      <c r="E73" s="13">
        <v>44781.329861111109</v>
      </c>
      <c r="F73" s="55">
        <v>1</v>
      </c>
      <c r="G73" s="159" t="s">
        <v>164</v>
      </c>
      <c r="H73" s="57" t="s">
        <v>873</v>
      </c>
      <c r="I73" s="18" t="s">
        <v>333</v>
      </c>
      <c r="J73" s="13">
        <v>44781.638194444444</v>
      </c>
      <c r="K73" s="83"/>
      <c r="L73" s="14">
        <f t="shared" si="4"/>
        <v>0.30833333333430346</v>
      </c>
      <c r="M73" s="59">
        <f t="shared" si="3"/>
        <v>0.30833333333430346</v>
      </c>
      <c r="N73" s="61" t="str">
        <f>IF(Table2683259[[#This Row],[Fault Type]]="PM",IF(L73&lt;=(D73-C73),"Yes","No"),"")</f>
        <v/>
      </c>
      <c r="O73" s="62" t="str">
        <f t="shared" si="5"/>
        <v/>
      </c>
      <c r="P73"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73" s="63"/>
    </row>
    <row r="74" spans="1:17" ht="15.5" x14ac:dyDescent="0.35">
      <c r="A74" s="58" t="s">
        <v>737</v>
      </c>
      <c r="B74" s="55" t="s">
        <v>150</v>
      </c>
      <c r="C74" s="56"/>
      <c r="D74" s="56"/>
      <c r="E74" s="13">
        <v>44781.329861111109</v>
      </c>
      <c r="F74" s="55">
        <v>3</v>
      </c>
      <c r="G74" s="159" t="s">
        <v>162</v>
      </c>
      <c r="H74" s="57" t="s">
        <v>874</v>
      </c>
      <c r="I74" s="18" t="s">
        <v>333</v>
      </c>
      <c r="J74" s="13">
        <v>44781.767361111109</v>
      </c>
      <c r="K74" s="83"/>
      <c r="L74" s="14">
        <f t="shared" si="4"/>
        <v>0.4375</v>
      </c>
      <c r="M74" s="59">
        <f t="shared" si="3"/>
        <v>1.3125</v>
      </c>
      <c r="N74" s="61" t="str">
        <f>IF(Table2683259[[#This Row],[Fault Type]]="PM",IF(L74&lt;=(D74-C74),"Yes","No"),"")</f>
        <v/>
      </c>
      <c r="O74" s="62" t="str">
        <f t="shared" si="5"/>
        <v/>
      </c>
      <c r="P74" s="166"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74" s="63"/>
    </row>
    <row r="75" spans="1:17" ht="15.5" x14ac:dyDescent="0.35">
      <c r="A75" s="58" t="s">
        <v>29</v>
      </c>
      <c r="B75" s="55" t="s">
        <v>150</v>
      </c>
      <c r="C75" s="56"/>
      <c r="D75" s="56"/>
      <c r="E75" s="13">
        <v>44781.325694444444</v>
      </c>
      <c r="F75" s="55">
        <v>19.3</v>
      </c>
      <c r="G75" s="159" t="s">
        <v>162</v>
      </c>
      <c r="H75" s="57" t="s">
        <v>875</v>
      </c>
      <c r="I75" s="18" t="s">
        <v>333</v>
      </c>
      <c r="J75" s="13">
        <v>44781.329861111109</v>
      </c>
      <c r="K75" s="83"/>
      <c r="L75" s="14">
        <f t="shared" si="4"/>
        <v>4.166666665696539E-3</v>
      </c>
      <c r="M75" s="59">
        <f t="shared" si="3"/>
        <v>8.0416666647943211E-2</v>
      </c>
      <c r="N75" s="61" t="str">
        <f>IF(Table2683259[[#This Row],[Fault Type]]="PM",IF(L75&lt;=(D75-C75),"Yes","No"),"")</f>
        <v/>
      </c>
      <c r="O75" s="62" t="str">
        <f t="shared" si="5"/>
        <v/>
      </c>
      <c r="P75"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75" s="63"/>
    </row>
    <row r="76" spans="1:17" ht="15.5" x14ac:dyDescent="0.35">
      <c r="A76" s="58" t="s">
        <v>40</v>
      </c>
      <c r="B76" s="55" t="s">
        <v>150</v>
      </c>
      <c r="C76" s="56"/>
      <c r="D76" s="56"/>
      <c r="E76" s="13">
        <v>44781.345833333333</v>
      </c>
      <c r="F76" s="55">
        <v>9</v>
      </c>
      <c r="G76" s="159" t="s">
        <v>162</v>
      </c>
      <c r="H76" s="57" t="s">
        <v>526</v>
      </c>
      <c r="I76" s="18" t="s">
        <v>526</v>
      </c>
      <c r="J76" s="13">
        <v>44781.350694444445</v>
      </c>
      <c r="K76" s="83"/>
      <c r="L76" s="14">
        <f t="shared" si="4"/>
        <v>4.8611111124046147E-3</v>
      </c>
      <c r="M76" s="59">
        <f t="shared" si="3"/>
        <v>4.3750000011641532E-2</v>
      </c>
      <c r="N76" s="61" t="str">
        <f>IF(Table2683259[[#This Row],[Fault Type]]="PM",IF(L76&lt;=(D76-C76),"Yes","No"),"")</f>
        <v/>
      </c>
      <c r="O76" s="62" t="str">
        <f t="shared" si="5"/>
        <v/>
      </c>
      <c r="P76"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76" s="63"/>
    </row>
    <row r="77" spans="1:17" ht="15.5" x14ac:dyDescent="0.35">
      <c r="A77" s="58" t="s">
        <v>38</v>
      </c>
      <c r="B77" s="55" t="s">
        <v>150</v>
      </c>
      <c r="C77" s="56"/>
      <c r="D77" s="56"/>
      <c r="E77" s="13">
        <v>44781.354166666664</v>
      </c>
      <c r="F77" s="55">
        <v>9.5</v>
      </c>
      <c r="G77" s="159" t="s">
        <v>162</v>
      </c>
      <c r="H77" s="57" t="s">
        <v>526</v>
      </c>
      <c r="I77" s="18" t="s">
        <v>526</v>
      </c>
      <c r="J77" s="13">
        <v>44781.354166666664</v>
      </c>
      <c r="K77" s="83"/>
      <c r="L77" s="14">
        <f t="shared" si="4"/>
        <v>0</v>
      </c>
      <c r="M77" s="59">
        <f t="shared" si="3"/>
        <v>0</v>
      </c>
      <c r="N77" s="61" t="str">
        <f>IF(Table2683259[[#This Row],[Fault Type]]="PM",IF(L77&lt;=(D77-C77),"Yes","No"),"")</f>
        <v/>
      </c>
      <c r="O77" s="62" t="str">
        <f t="shared" si="5"/>
        <v/>
      </c>
      <c r="P77"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77" s="63"/>
    </row>
    <row r="78" spans="1:17" ht="15.5" x14ac:dyDescent="0.35">
      <c r="A78" s="58" t="s">
        <v>107</v>
      </c>
      <c r="B78" s="55" t="s">
        <v>158</v>
      </c>
      <c r="C78" s="56"/>
      <c r="D78" s="56"/>
      <c r="E78" s="13">
        <v>44781.370138888888</v>
      </c>
      <c r="F78" s="55"/>
      <c r="G78" s="159"/>
      <c r="H78" s="57" t="s">
        <v>876</v>
      </c>
      <c r="I78" s="18" t="s">
        <v>333</v>
      </c>
      <c r="J78" s="13">
        <v>44781.482638888891</v>
      </c>
      <c r="K78" s="83"/>
      <c r="L78" s="14">
        <f t="shared" si="4"/>
        <v>0.11250000000291038</v>
      </c>
      <c r="M78" s="59">
        <f t="shared" si="3"/>
        <v>0</v>
      </c>
      <c r="N78" s="61" t="str">
        <f>IF(Table2683259[[#This Row],[Fault Type]]="PM",IF(L78&lt;=(D78-C78),"Yes","No"),"")</f>
        <v/>
      </c>
      <c r="O78" s="62" t="str">
        <f t="shared" si="5"/>
        <v/>
      </c>
      <c r="P78"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78" s="63"/>
    </row>
    <row r="79" spans="1:17" ht="15.5" x14ac:dyDescent="0.35">
      <c r="A79" s="58" t="s">
        <v>17</v>
      </c>
      <c r="B79" s="55" t="s">
        <v>150</v>
      </c>
      <c r="C79" s="56"/>
      <c r="D79" s="56"/>
      <c r="E79" s="13">
        <v>44781.405555555553</v>
      </c>
      <c r="F79" s="55">
        <v>7</v>
      </c>
      <c r="G79" s="159" t="s">
        <v>163</v>
      </c>
      <c r="H79" s="57" t="s">
        <v>877</v>
      </c>
      <c r="I79" s="18" t="s">
        <v>334</v>
      </c>
      <c r="J79" s="13">
        <v>44781.430555555555</v>
      </c>
      <c r="K79" s="83"/>
      <c r="L79" s="14">
        <f t="shared" si="4"/>
        <v>2.5000000001455192E-2</v>
      </c>
      <c r="M79" s="59">
        <f t="shared" si="3"/>
        <v>0.17500000001018634</v>
      </c>
      <c r="N79" s="61" t="str">
        <f>IF(Table2683259[[#This Row],[Fault Type]]="PM",IF(L79&lt;=(D79-C79),"Yes","No"),"")</f>
        <v/>
      </c>
      <c r="O79" s="62" t="str">
        <f t="shared" si="5"/>
        <v/>
      </c>
      <c r="P79"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79" s="63"/>
    </row>
    <row r="80" spans="1:17" ht="15.5" x14ac:dyDescent="0.35">
      <c r="A80" s="58" t="s">
        <v>40</v>
      </c>
      <c r="B80" s="55" t="s">
        <v>150</v>
      </c>
      <c r="C80" s="56"/>
      <c r="D80" s="56"/>
      <c r="E80" s="13">
        <v>44781.418749999997</v>
      </c>
      <c r="F80" s="55">
        <v>10.5</v>
      </c>
      <c r="G80" s="159" t="s">
        <v>163</v>
      </c>
      <c r="H80" s="57" t="s">
        <v>878</v>
      </c>
      <c r="I80" s="18" t="s">
        <v>334</v>
      </c>
      <c r="J80" s="13">
        <v>44781.495833333334</v>
      </c>
      <c r="K80" s="83"/>
      <c r="L80" s="14">
        <f t="shared" si="4"/>
        <v>7.7083333337213844E-2</v>
      </c>
      <c r="M80" s="59">
        <f t="shared" si="3"/>
        <v>0.80937500004074536</v>
      </c>
      <c r="N80" s="61" t="str">
        <f>IF(Table2683259[[#This Row],[Fault Type]]="PM",IF(L80&lt;=(D80-C80),"Yes","No"),"")</f>
        <v/>
      </c>
      <c r="O80" s="62" t="str">
        <f t="shared" si="5"/>
        <v/>
      </c>
      <c r="P80"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0" s="63"/>
    </row>
    <row r="81" spans="1:17" ht="15.5" x14ac:dyDescent="0.35">
      <c r="A81" s="58" t="s">
        <v>41</v>
      </c>
      <c r="B81" s="55" t="s">
        <v>150</v>
      </c>
      <c r="C81" s="56"/>
      <c r="D81" s="56" t="s">
        <v>879</v>
      </c>
      <c r="E81" s="13">
        <v>44781.458333333336</v>
      </c>
      <c r="F81" s="55">
        <v>7.5</v>
      </c>
      <c r="G81" s="159" t="s">
        <v>162</v>
      </c>
      <c r="H81" s="57" t="s">
        <v>526</v>
      </c>
      <c r="I81" s="18" t="s">
        <v>526</v>
      </c>
      <c r="J81" s="13">
        <v>44781.465277777781</v>
      </c>
      <c r="K81" s="83"/>
      <c r="L81" s="14">
        <f t="shared" si="4"/>
        <v>6.9444444452528842E-3</v>
      </c>
      <c r="M81" s="59">
        <f t="shared" si="3"/>
        <v>5.2083333339396631E-2</v>
      </c>
      <c r="N81" s="61" t="str">
        <f>IF(Table2683259[[#This Row],[Fault Type]]="PM",IF(L81&lt;=(D81-C81),"Yes","No"),"")</f>
        <v/>
      </c>
      <c r="O81" s="62" t="str">
        <f t="shared" si="5"/>
        <v/>
      </c>
      <c r="P81" s="166"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1" s="63"/>
    </row>
    <row r="82" spans="1:17" ht="15.5" x14ac:dyDescent="0.35">
      <c r="A82" s="203" t="s">
        <v>23</v>
      </c>
      <c r="B82" s="204" t="s">
        <v>150</v>
      </c>
      <c r="C82" s="205"/>
      <c r="D82" s="205"/>
      <c r="E82" s="205">
        <v>44781.467361111114</v>
      </c>
      <c r="F82" s="159">
        <v>0.8</v>
      </c>
      <c r="G82" s="204" t="s">
        <v>164</v>
      </c>
      <c r="H82" s="206" t="s">
        <v>880</v>
      </c>
      <c r="I82" s="206" t="s">
        <v>333</v>
      </c>
      <c r="J82" s="205">
        <v>44781.495833333334</v>
      </c>
      <c r="K82" s="222"/>
      <c r="L82" s="208">
        <f t="shared" ref="L82:L118" si="6">J82-E82</f>
        <v>2.8472222220443655E-2</v>
      </c>
      <c r="M82" s="209">
        <f t="shared" ref="M82:M118" si="7">L82*F82</f>
        <v>2.2777777776354924E-2</v>
      </c>
      <c r="N82" s="210" t="str">
        <f>IF(Table2683259[[#This Row],[Fault Type]]="PM",IF(L82&lt;=(D82-C82),"Yes","No"),"")</f>
        <v/>
      </c>
      <c r="O82" s="211" t="str">
        <f t="shared" ref="O82:O118" si="8">IF(N82="No",(L82-(D82-C82)),"")</f>
        <v/>
      </c>
      <c r="P82"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2" s="91"/>
    </row>
    <row r="83" spans="1:17" ht="15.5" x14ac:dyDescent="0.35">
      <c r="A83" s="203" t="s">
        <v>41</v>
      </c>
      <c r="B83" s="204" t="s">
        <v>150</v>
      </c>
      <c r="C83" s="205"/>
      <c r="D83" s="205"/>
      <c r="E83" s="205">
        <v>44781.482638888891</v>
      </c>
      <c r="F83" s="159">
        <v>7.5</v>
      </c>
      <c r="G83" s="204" t="s">
        <v>163</v>
      </c>
      <c r="H83" s="206" t="s">
        <v>567</v>
      </c>
      <c r="I83" s="206" t="s">
        <v>334</v>
      </c>
      <c r="J83" s="205">
        <v>44781.536805555559</v>
      </c>
      <c r="K83" s="222"/>
      <c r="L83" s="208">
        <f t="shared" si="6"/>
        <v>5.4166666668606922E-2</v>
      </c>
      <c r="M83" s="209">
        <f t="shared" si="7"/>
        <v>0.40625000001455192</v>
      </c>
      <c r="N83" s="210" t="str">
        <f>IF(Table2683259[[#This Row],[Fault Type]]="PM",IF(L83&lt;=(D83-C83),"Yes","No"),"")</f>
        <v/>
      </c>
      <c r="O83" s="211" t="str">
        <f t="shared" si="8"/>
        <v/>
      </c>
      <c r="P83"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3" s="91"/>
    </row>
    <row r="84" spans="1:17" ht="15.5" x14ac:dyDescent="0.35">
      <c r="A84" s="203" t="s">
        <v>38</v>
      </c>
      <c r="B84" s="204" t="s">
        <v>150</v>
      </c>
      <c r="C84" s="205"/>
      <c r="D84" s="205"/>
      <c r="E84" s="205">
        <v>44781.490277777775</v>
      </c>
      <c r="F84" s="159">
        <v>18.5</v>
      </c>
      <c r="G84" s="204" t="s">
        <v>162</v>
      </c>
      <c r="H84" s="206" t="s">
        <v>526</v>
      </c>
      <c r="I84" s="206" t="s">
        <v>526</v>
      </c>
      <c r="J84" s="205">
        <v>44781.496527777781</v>
      </c>
      <c r="K84" s="222"/>
      <c r="L84" s="208">
        <f t="shared" si="6"/>
        <v>6.2500000058207661E-3</v>
      </c>
      <c r="M84" s="209">
        <f t="shared" si="7"/>
        <v>0.11562500010768417</v>
      </c>
      <c r="N84" s="210" t="str">
        <f>IF(Table2683259[[#This Row],[Fault Type]]="PM",IF(L84&lt;=(D84-C84),"Yes","No"),"")</f>
        <v/>
      </c>
      <c r="O84" s="211" t="str">
        <f t="shared" si="8"/>
        <v/>
      </c>
      <c r="P84"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4" s="91"/>
    </row>
    <row r="85" spans="1:17" ht="15.5" x14ac:dyDescent="0.35">
      <c r="A85" s="203" t="s">
        <v>861</v>
      </c>
      <c r="B85" s="204" t="s">
        <v>150</v>
      </c>
      <c r="C85" s="205"/>
      <c r="D85" s="205"/>
      <c r="E85" s="205">
        <v>44781.486805555556</v>
      </c>
      <c r="F85" s="159">
        <v>1.4</v>
      </c>
      <c r="G85" s="204" t="s">
        <v>162</v>
      </c>
      <c r="H85" s="206" t="s">
        <v>526</v>
      </c>
      <c r="I85" s="206" t="s">
        <v>526</v>
      </c>
      <c r="J85" s="205">
        <v>44781.493750000001</v>
      </c>
      <c r="K85" s="222"/>
      <c r="L85" s="208">
        <f t="shared" si="6"/>
        <v>6.9444444452528842E-3</v>
      </c>
      <c r="M85" s="209">
        <f t="shared" si="7"/>
        <v>9.7222222233540375E-3</v>
      </c>
      <c r="N85" s="210" t="str">
        <f>IF(Table2683259[[#This Row],[Fault Type]]="PM",IF(L85&lt;=(D85-C85),"Yes","No"),"")</f>
        <v/>
      </c>
      <c r="O85" s="211" t="str">
        <f t="shared" si="8"/>
        <v/>
      </c>
      <c r="P85"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85" s="91"/>
    </row>
    <row r="86" spans="1:17" ht="15.5" x14ac:dyDescent="0.35">
      <c r="A86" s="203" t="s">
        <v>29</v>
      </c>
      <c r="B86" s="204" t="s">
        <v>150</v>
      </c>
      <c r="C86" s="205"/>
      <c r="D86" s="205"/>
      <c r="E86" s="205">
        <v>44781.508333333331</v>
      </c>
      <c r="F86" s="159">
        <v>24.8</v>
      </c>
      <c r="G86" s="204" t="s">
        <v>163</v>
      </c>
      <c r="H86" s="206" t="s">
        <v>881</v>
      </c>
      <c r="I86" s="206" t="s">
        <v>334</v>
      </c>
      <c r="J86" s="205">
        <v>44781.611805555556</v>
      </c>
      <c r="K86" s="222"/>
      <c r="L86" s="208">
        <f t="shared" si="6"/>
        <v>0.10347222222480923</v>
      </c>
      <c r="M86" s="209">
        <f t="shared" si="7"/>
        <v>2.5661111111752688</v>
      </c>
      <c r="N86" s="210" t="str">
        <f>IF(Table2683259[[#This Row],[Fault Type]]="PM",IF(L86&lt;=(D86-C86),"Yes","No"),"")</f>
        <v/>
      </c>
      <c r="O86" s="211" t="str">
        <f t="shared" si="8"/>
        <v/>
      </c>
      <c r="P86"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6" s="91"/>
    </row>
    <row r="87" spans="1:17" ht="15.5" x14ac:dyDescent="0.35">
      <c r="A87" s="203" t="s">
        <v>56</v>
      </c>
      <c r="B87" s="204" t="s">
        <v>150</v>
      </c>
      <c r="C87" s="205"/>
      <c r="D87" s="205"/>
      <c r="E87" s="205">
        <v>44781.520833333336</v>
      </c>
      <c r="F87" s="159">
        <v>4.0999999999999996</v>
      </c>
      <c r="G87" s="204" t="s">
        <v>164</v>
      </c>
      <c r="H87" s="206" t="s">
        <v>882</v>
      </c>
      <c r="I87" s="206" t="s">
        <v>334</v>
      </c>
      <c r="J87" s="205">
        <v>44781.561111111114</v>
      </c>
      <c r="K87" s="222"/>
      <c r="L87" s="208">
        <f t="shared" si="6"/>
        <v>4.0277777778101154E-2</v>
      </c>
      <c r="M87" s="209">
        <f t="shared" si="7"/>
        <v>0.16513888889021472</v>
      </c>
      <c r="N87" s="210" t="str">
        <f>IF(Table2683259[[#This Row],[Fault Type]]="PM",IF(L87&lt;=(D87-C87),"Yes","No"),"")</f>
        <v/>
      </c>
      <c r="O87" s="211" t="str">
        <f t="shared" si="8"/>
        <v/>
      </c>
      <c r="P87"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7" s="91"/>
    </row>
    <row r="88" spans="1:17" ht="15.5" x14ac:dyDescent="0.35">
      <c r="A88" s="203" t="s">
        <v>32</v>
      </c>
      <c r="B88" s="204" t="s">
        <v>150</v>
      </c>
      <c r="C88" s="205"/>
      <c r="D88" s="205"/>
      <c r="E88" s="205">
        <v>44781.543749999997</v>
      </c>
      <c r="F88" s="159">
        <v>19</v>
      </c>
      <c r="G88" s="204" t="s">
        <v>163</v>
      </c>
      <c r="H88" s="206" t="s">
        <v>508</v>
      </c>
      <c r="I88" s="206" t="s">
        <v>334</v>
      </c>
      <c r="J88" s="205">
        <v>44781.586111111108</v>
      </c>
      <c r="K88" s="222"/>
      <c r="L88" s="208">
        <f t="shared" si="6"/>
        <v>4.2361111110949423E-2</v>
      </c>
      <c r="M88" s="209">
        <f t="shared" si="7"/>
        <v>0.80486111110803904</v>
      </c>
      <c r="N88" s="210" t="str">
        <f>IF(Table2683259[[#This Row],[Fault Type]]="PM",IF(L88&lt;=(D88-C88),"Yes","No"),"")</f>
        <v/>
      </c>
      <c r="O88" s="211" t="str">
        <f t="shared" si="8"/>
        <v/>
      </c>
      <c r="P88"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8" s="91"/>
    </row>
    <row r="89" spans="1:17" ht="15.5" x14ac:dyDescent="0.35">
      <c r="A89" s="203" t="s">
        <v>122</v>
      </c>
      <c r="B89" s="204" t="s">
        <v>150</v>
      </c>
      <c r="C89" s="205"/>
      <c r="D89" s="205"/>
      <c r="E89" s="205">
        <v>44781.570138888892</v>
      </c>
      <c r="F89" s="159">
        <v>4.5</v>
      </c>
      <c r="G89" s="204" t="s">
        <v>164</v>
      </c>
      <c r="H89" s="206" t="s">
        <v>883</v>
      </c>
      <c r="I89" s="206" t="s">
        <v>333</v>
      </c>
      <c r="J89" s="205">
        <v>44781.638888888891</v>
      </c>
      <c r="K89" s="222"/>
      <c r="L89" s="208">
        <f t="shared" si="6"/>
        <v>6.8749999998544808E-2</v>
      </c>
      <c r="M89" s="209">
        <f t="shared" si="7"/>
        <v>0.30937499999345164</v>
      </c>
      <c r="N89" s="210" t="str">
        <f>IF(Table2683259[[#This Row],[Fault Type]]="PM",IF(L89&lt;=(D89-C89),"Yes","No"),"")</f>
        <v/>
      </c>
      <c r="O89" s="211" t="str">
        <f t="shared" si="8"/>
        <v/>
      </c>
      <c r="P89"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89" s="91"/>
    </row>
    <row r="90" spans="1:17" ht="15.5" x14ac:dyDescent="0.35">
      <c r="A90" s="203" t="s">
        <v>30</v>
      </c>
      <c r="B90" s="204" t="s">
        <v>150</v>
      </c>
      <c r="C90" s="205"/>
      <c r="D90" s="205"/>
      <c r="E90" s="205">
        <v>44781.580555555556</v>
      </c>
      <c r="F90" s="159">
        <v>8.1999999999999993</v>
      </c>
      <c r="G90" s="204" t="s">
        <v>164</v>
      </c>
      <c r="H90" s="206" t="s">
        <v>884</v>
      </c>
      <c r="I90" s="206" t="s">
        <v>333</v>
      </c>
      <c r="J90" s="205">
        <v>44781.604166666664</v>
      </c>
      <c r="K90" s="222"/>
      <c r="L90" s="208">
        <f t="shared" si="6"/>
        <v>2.361111110803904E-2</v>
      </c>
      <c r="M90" s="209">
        <f t="shared" si="7"/>
        <v>0.19361111108592011</v>
      </c>
      <c r="N90" s="210" t="str">
        <f>IF(Table2683259[[#This Row],[Fault Type]]="PM",IF(L90&lt;=(D90-C90),"Yes","No"),"")</f>
        <v/>
      </c>
      <c r="O90" s="211" t="str">
        <f t="shared" si="8"/>
        <v/>
      </c>
      <c r="P90"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0" s="91"/>
    </row>
    <row r="91" spans="1:17" ht="15.5" x14ac:dyDescent="0.35">
      <c r="A91" s="203" t="s">
        <v>861</v>
      </c>
      <c r="B91" s="204" t="s">
        <v>150</v>
      </c>
      <c r="C91" s="205"/>
      <c r="D91" s="205"/>
      <c r="E91" s="205">
        <v>44781.588194444441</v>
      </c>
      <c r="F91" s="159">
        <v>3.9</v>
      </c>
      <c r="G91" s="204" t="s">
        <v>163</v>
      </c>
      <c r="H91" s="206" t="s">
        <v>885</v>
      </c>
      <c r="I91" s="206" t="s">
        <v>333</v>
      </c>
      <c r="J91" s="205">
        <v>44781.706250000003</v>
      </c>
      <c r="K91" s="222"/>
      <c r="L91" s="208">
        <f t="shared" si="6"/>
        <v>0.11805555556202307</v>
      </c>
      <c r="M91" s="209">
        <f t="shared" si="7"/>
        <v>0.46041666669188996</v>
      </c>
      <c r="N91" s="210" t="str">
        <f>IF(Table2683259[[#This Row],[Fault Type]]="PM",IF(L91&lt;=(D91-C91),"Yes","No"),"")</f>
        <v/>
      </c>
      <c r="O91" s="211" t="str">
        <f t="shared" si="8"/>
        <v/>
      </c>
      <c r="P91"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91" s="91"/>
    </row>
    <row r="92" spans="1:17" ht="15.5" x14ac:dyDescent="0.35">
      <c r="A92" s="203" t="s">
        <v>449</v>
      </c>
      <c r="B92" s="204" t="s">
        <v>150</v>
      </c>
      <c r="C92" s="205"/>
      <c r="D92" s="205"/>
      <c r="E92" s="205">
        <v>44781.592361111114</v>
      </c>
      <c r="F92" s="159">
        <v>5.3</v>
      </c>
      <c r="G92" s="204" t="s">
        <v>162</v>
      </c>
      <c r="H92" s="206" t="s">
        <v>886</v>
      </c>
      <c r="I92" s="206" t="s">
        <v>334</v>
      </c>
      <c r="J92" s="205">
        <v>44781.606944444444</v>
      </c>
      <c r="K92" s="222"/>
      <c r="L92" s="208">
        <f t="shared" si="6"/>
        <v>1.4583333329937886E-2</v>
      </c>
      <c r="M92" s="209">
        <f t="shared" si="7"/>
        <v>7.7291666648670793E-2</v>
      </c>
      <c r="N92" s="210" t="str">
        <f>IF(Table2683259[[#This Row],[Fault Type]]="PM",IF(L92&lt;=(D92-C92),"Yes","No"),"")</f>
        <v/>
      </c>
      <c r="O92" s="211" t="str">
        <f t="shared" si="8"/>
        <v/>
      </c>
      <c r="P92"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2" s="91"/>
    </row>
    <row r="93" spans="1:17" ht="15.5" x14ac:dyDescent="0.35">
      <c r="A93" s="203" t="s">
        <v>63</v>
      </c>
      <c r="B93" s="204" t="s">
        <v>150</v>
      </c>
      <c r="C93" s="205"/>
      <c r="D93" s="205"/>
      <c r="E93" s="205">
        <v>44781.597222222219</v>
      </c>
      <c r="F93" s="159">
        <v>2.2000000000000002</v>
      </c>
      <c r="G93" s="204" t="s">
        <v>162</v>
      </c>
      <c r="H93" s="206" t="s">
        <v>526</v>
      </c>
      <c r="I93" s="206" t="s">
        <v>526</v>
      </c>
      <c r="J93" s="205">
        <v>44781.604166666664</v>
      </c>
      <c r="K93" s="222"/>
      <c r="L93" s="208">
        <f t="shared" si="6"/>
        <v>6.9444444452528842E-3</v>
      </c>
      <c r="M93" s="209">
        <f t="shared" si="7"/>
        <v>1.5277777779556346E-2</v>
      </c>
      <c r="N93" s="210" t="str">
        <f>IF(Table2683259[[#This Row],[Fault Type]]="PM",IF(L93&lt;=(D93-C93),"Yes","No"),"")</f>
        <v/>
      </c>
      <c r="O93" s="211" t="str">
        <f t="shared" si="8"/>
        <v/>
      </c>
      <c r="P93"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3" s="91"/>
    </row>
    <row r="94" spans="1:17" ht="15.5" x14ac:dyDescent="0.35">
      <c r="A94" s="203" t="s">
        <v>29</v>
      </c>
      <c r="B94" s="204" t="s">
        <v>150</v>
      </c>
      <c r="C94" s="205"/>
      <c r="D94" s="205"/>
      <c r="E94" s="205">
        <v>44781.613194444442</v>
      </c>
      <c r="F94" s="159">
        <v>7</v>
      </c>
      <c r="G94" s="204" t="s">
        <v>162</v>
      </c>
      <c r="H94" s="206" t="s">
        <v>887</v>
      </c>
      <c r="I94" s="206" t="s">
        <v>334</v>
      </c>
      <c r="J94" s="205">
        <v>44781.619444444441</v>
      </c>
      <c r="K94" s="222"/>
      <c r="L94" s="208">
        <f t="shared" si="6"/>
        <v>6.2499999985448085E-3</v>
      </c>
      <c r="M94" s="209">
        <f t="shared" si="7"/>
        <v>4.3749999989813659E-2</v>
      </c>
      <c r="N94" s="210" t="str">
        <f>IF(Table2683259[[#This Row],[Fault Type]]="PM",IF(L94&lt;=(D94-C94),"Yes","No"),"")</f>
        <v/>
      </c>
      <c r="O94" s="211" t="str">
        <f t="shared" si="8"/>
        <v/>
      </c>
      <c r="P94"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4" s="91"/>
    </row>
    <row r="95" spans="1:17" ht="15.5" x14ac:dyDescent="0.35">
      <c r="A95" s="203" t="s">
        <v>27</v>
      </c>
      <c r="B95" s="204" t="s">
        <v>150</v>
      </c>
      <c r="C95" s="205"/>
      <c r="D95" s="205"/>
      <c r="E95" s="205">
        <v>44781.615277777775</v>
      </c>
      <c r="F95" s="159">
        <v>3</v>
      </c>
      <c r="G95" s="204" t="s">
        <v>163</v>
      </c>
      <c r="H95" s="206" t="s">
        <v>888</v>
      </c>
      <c r="I95" s="206" t="s">
        <v>334</v>
      </c>
      <c r="J95" s="205">
        <v>44781.668749999997</v>
      </c>
      <c r="K95" s="222"/>
      <c r="L95" s="208">
        <f t="shared" si="6"/>
        <v>5.3472222221898846E-2</v>
      </c>
      <c r="M95" s="209">
        <f t="shared" si="7"/>
        <v>0.16041666666569654</v>
      </c>
      <c r="N95" s="210" t="str">
        <f>IF(Table2683259[[#This Row],[Fault Type]]="PM",IF(L95&lt;=(D95-C95),"Yes","No"),"")</f>
        <v/>
      </c>
      <c r="O95" s="211" t="str">
        <f t="shared" si="8"/>
        <v/>
      </c>
      <c r="P95"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5" s="91"/>
    </row>
    <row r="96" spans="1:17" ht="15.5" x14ac:dyDescent="0.35">
      <c r="A96" s="203" t="s">
        <v>31</v>
      </c>
      <c r="B96" s="204" t="s">
        <v>150</v>
      </c>
      <c r="C96" s="205"/>
      <c r="D96" s="205"/>
      <c r="E96" s="205">
        <v>44781.629166666666</v>
      </c>
      <c r="F96" s="159">
        <v>1</v>
      </c>
      <c r="G96" s="204" t="s">
        <v>163</v>
      </c>
      <c r="H96" s="206" t="s">
        <v>889</v>
      </c>
      <c r="I96" s="206" t="s">
        <v>334</v>
      </c>
      <c r="J96" s="205">
        <v>44781.65902777778</v>
      </c>
      <c r="K96" s="222"/>
      <c r="L96" s="208">
        <f t="shared" si="6"/>
        <v>2.9861111113859806E-2</v>
      </c>
      <c r="M96" s="209">
        <f t="shared" si="7"/>
        <v>2.9861111113859806E-2</v>
      </c>
      <c r="N96" s="210" t="str">
        <f>IF(Table2683259[[#This Row],[Fault Type]]="PM",IF(L96&lt;=(D96-C96),"Yes","No"),"")</f>
        <v/>
      </c>
      <c r="O96" s="211" t="str">
        <f t="shared" si="8"/>
        <v/>
      </c>
      <c r="P96"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6" s="91"/>
    </row>
    <row r="97" spans="1:17" ht="15.5" x14ac:dyDescent="0.35">
      <c r="A97" s="203" t="s">
        <v>81</v>
      </c>
      <c r="B97" s="204" t="s">
        <v>150</v>
      </c>
      <c r="C97" s="205"/>
      <c r="D97" s="205"/>
      <c r="E97" s="205">
        <v>44781.631944444445</v>
      </c>
      <c r="F97" s="159">
        <v>1.5</v>
      </c>
      <c r="G97" s="204" t="s">
        <v>163</v>
      </c>
      <c r="H97" s="206" t="s">
        <v>890</v>
      </c>
      <c r="I97" s="206" t="s">
        <v>333</v>
      </c>
      <c r="J97" s="205">
        <v>44781.918055555558</v>
      </c>
      <c r="K97" s="222"/>
      <c r="L97" s="208">
        <f t="shared" si="6"/>
        <v>0.28611111111240461</v>
      </c>
      <c r="M97" s="209">
        <f t="shared" si="7"/>
        <v>0.42916666666860692</v>
      </c>
      <c r="N97" s="210" t="str">
        <f>IF(Table2683259[[#This Row],[Fault Type]]="PM",IF(L97&lt;=(D97-C97),"Yes","No"),"")</f>
        <v/>
      </c>
      <c r="O97" s="211" t="str">
        <f t="shared" si="8"/>
        <v/>
      </c>
      <c r="P97"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97" s="91"/>
    </row>
    <row r="98" spans="1:17" ht="15.5" x14ac:dyDescent="0.35">
      <c r="A98" s="203" t="s">
        <v>38</v>
      </c>
      <c r="B98" s="204" t="s">
        <v>150</v>
      </c>
      <c r="C98" s="205"/>
      <c r="D98" s="205"/>
      <c r="E98" s="205">
        <v>44781.642361111109</v>
      </c>
      <c r="F98" s="159">
        <v>20</v>
      </c>
      <c r="G98" s="204" t="s">
        <v>162</v>
      </c>
      <c r="H98" s="206" t="s">
        <v>526</v>
      </c>
      <c r="I98" s="206" t="s">
        <v>526</v>
      </c>
      <c r="J98" s="205">
        <v>44781.659722222219</v>
      </c>
      <c r="K98" s="222"/>
      <c r="L98" s="208">
        <f t="shared" si="6"/>
        <v>1.7361111109494232E-2</v>
      </c>
      <c r="M98" s="209">
        <f t="shared" si="7"/>
        <v>0.34722222218988463</v>
      </c>
      <c r="N98" s="210" t="str">
        <f>IF(Table2683259[[#This Row],[Fault Type]]="PM",IF(L98&lt;=(D98-C98),"Yes","No"),"")</f>
        <v/>
      </c>
      <c r="O98" s="211" t="str">
        <f t="shared" si="8"/>
        <v/>
      </c>
      <c r="P98"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98" s="91"/>
    </row>
    <row r="99" spans="1:17" ht="15.5" x14ac:dyDescent="0.35">
      <c r="A99" s="203" t="s">
        <v>546</v>
      </c>
      <c r="B99" s="204" t="s">
        <v>150</v>
      </c>
      <c r="C99" s="205"/>
      <c r="D99" s="205"/>
      <c r="E99" s="205">
        <v>44781.645138888889</v>
      </c>
      <c r="F99" s="159">
        <v>2.8</v>
      </c>
      <c r="G99" s="204" t="s">
        <v>163</v>
      </c>
      <c r="H99" s="206" t="s">
        <v>508</v>
      </c>
      <c r="I99" s="206" t="s">
        <v>334</v>
      </c>
      <c r="J99" s="205">
        <v>44781.671527777777</v>
      </c>
      <c r="K99" s="222"/>
      <c r="L99" s="208">
        <f t="shared" si="6"/>
        <v>2.6388888887595385E-2</v>
      </c>
      <c r="M99" s="209">
        <f t="shared" si="7"/>
        <v>7.3888888885267068E-2</v>
      </c>
      <c r="N99" s="210" t="str">
        <f>IF(Table2683259[[#This Row],[Fault Type]]="PM",IF(L99&lt;=(D99-C99),"Yes","No"),"")</f>
        <v/>
      </c>
      <c r="O99" s="211" t="str">
        <f t="shared" si="8"/>
        <v/>
      </c>
      <c r="P99"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99" s="91"/>
    </row>
    <row r="100" spans="1:17" ht="15.5" x14ac:dyDescent="0.35">
      <c r="A100" s="203" t="s">
        <v>563</v>
      </c>
      <c r="B100" s="204" t="s">
        <v>158</v>
      </c>
      <c r="C100" s="205"/>
      <c r="D100" s="205"/>
      <c r="E100" s="205">
        <v>44781.685416666667</v>
      </c>
      <c r="F100" s="159">
        <v>2</v>
      </c>
      <c r="G100" s="204"/>
      <c r="H100" s="206" t="s">
        <v>891</v>
      </c>
      <c r="I100" s="206" t="s">
        <v>334</v>
      </c>
      <c r="J100" s="205">
        <v>44781.722916666666</v>
      </c>
      <c r="K100" s="222"/>
      <c r="L100" s="208">
        <f t="shared" si="6"/>
        <v>3.7499999998544808E-2</v>
      </c>
      <c r="M100" s="209">
        <f t="shared" si="7"/>
        <v>7.4999999997089617E-2</v>
      </c>
      <c r="N100" s="210" t="str">
        <f>IF(Table2683259[[#This Row],[Fault Type]]="PM",IF(L100&lt;=(D100-C100),"Yes","No"),"")</f>
        <v/>
      </c>
      <c r="O100" s="211" t="str">
        <f t="shared" si="8"/>
        <v/>
      </c>
      <c r="P100"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100" s="91"/>
    </row>
    <row r="101" spans="1:17" ht="15.5" x14ac:dyDescent="0.35">
      <c r="A101" s="203" t="s">
        <v>38</v>
      </c>
      <c r="B101" s="204" t="s">
        <v>150</v>
      </c>
      <c r="C101" s="205"/>
      <c r="D101" s="205"/>
      <c r="E101" s="205">
        <v>44781.715277777781</v>
      </c>
      <c r="F101" s="159">
        <v>14.5</v>
      </c>
      <c r="G101" s="204" t="s">
        <v>162</v>
      </c>
      <c r="H101" s="206" t="s">
        <v>892</v>
      </c>
      <c r="I101" s="206" t="s">
        <v>334</v>
      </c>
      <c r="J101" s="205">
        <v>44781.724305555559</v>
      </c>
      <c r="K101" s="222"/>
      <c r="L101" s="208">
        <f t="shared" si="6"/>
        <v>9.0277777781011537E-3</v>
      </c>
      <c r="M101" s="209">
        <f t="shared" si="7"/>
        <v>0.13090277778246673</v>
      </c>
      <c r="N101" s="210" t="str">
        <f>IF(Table2683259[[#This Row],[Fault Type]]="PM",IF(L101&lt;=(D101-C101),"Yes","No"),"")</f>
        <v/>
      </c>
      <c r="O101" s="211" t="str">
        <f t="shared" si="8"/>
        <v/>
      </c>
      <c r="P101"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1" s="91"/>
    </row>
    <row r="102" spans="1:17" ht="15.5" x14ac:dyDescent="0.35">
      <c r="A102" s="203" t="s">
        <v>21</v>
      </c>
      <c r="B102" s="204" t="s">
        <v>150</v>
      </c>
      <c r="C102" s="205"/>
      <c r="D102" s="205"/>
      <c r="E102" s="205">
        <v>44781.719444444447</v>
      </c>
      <c r="F102" s="159">
        <v>16.2</v>
      </c>
      <c r="G102" s="204" t="s">
        <v>163</v>
      </c>
      <c r="H102" s="206" t="s">
        <v>893</v>
      </c>
      <c r="I102" s="206" t="s">
        <v>334</v>
      </c>
      <c r="J102" s="205">
        <v>44781.759027777778</v>
      </c>
      <c r="K102" s="222"/>
      <c r="L102" s="208">
        <f t="shared" si="6"/>
        <v>3.9583333331393078E-2</v>
      </c>
      <c r="M102" s="209">
        <f t="shared" si="7"/>
        <v>0.6412499999685678</v>
      </c>
      <c r="N102" s="210" t="str">
        <f>IF(Table2683259[[#This Row],[Fault Type]]="PM",IF(L102&lt;=(D102-C102),"Yes","No"),"")</f>
        <v/>
      </c>
      <c r="O102" s="211" t="str">
        <f t="shared" si="8"/>
        <v/>
      </c>
      <c r="P102"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2" s="91"/>
    </row>
    <row r="103" spans="1:17" ht="15.5" x14ac:dyDescent="0.35">
      <c r="A103" s="203" t="s">
        <v>546</v>
      </c>
      <c r="B103" s="204" t="s">
        <v>150</v>
      </c>
      <c r="C103" s="205"/>
      <c r="D103" s="205"/>
      <c r="E103" s="205">
        <v>44781.729166666664</v>
      </c>
      <c r="F103" s="159">
        <v>2.6</v>
      </c>
      <c r="G103" s="204" t="s">
        <v>163</v>
      </c>
      <c r="H103" s="206" t="s">
        <v>894</v>
      </c>
      <c r="I103" s="206" t="s">
        <v>333</v>
      </c>
      <c r="J103" s="205">
        <v>44785.909722222219</v>
      </c>
      <c r="K103" s="222"/>
      <c r="L103" s="208">
        <f t="shared" si="6"/>
        <v>4.1805555555547471</v>
      </c>
      <c r="M103" s="209">
        <f t="shared" si="7"/>
        <v>10.869444444442342</v>
      </c>
      <c r="N103" s="210" t="str">
        <f>IF(Table2683259[[#This Row],[Fault Type]]="PM",IF(L103&lt;=(D103-C103),"Yes","No"),"")</f>
        <v/>
      </c>
      <c r="O103" s="211" t="str">
        <f t="shared" si="8"/>
        <v/>
      </c>
      <c r="P103"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103" s="91"/>
    </row>
    <row r="104" spans="1:17" ht="15.5" x14ac:dyDescent="0.35">
      <c r="A104" s="203" t="s">
        <v>17</v>
      </c>
      <c r="B104" s="204" t="s">
        <v>150</v>
      </c>
      <c r="C104" s="205"/>
      <c r="D104" s="205"/>
      <c r="E104" s="205">
        <v>44781.729861111111</v>
      </c>
      <c r="F104" s="159">
        <v>16</v>
      </c>
      <c r="G104" s="204" t="s">
        <v>163</v>
      </c>
      <c r="H104" s="206" t="s">
        <v>895</v>
      </c>
      <c r="I104" s="206" t="s">
        <v>333</v>
      </c>
      <c r="J104" s="205">
        <v>44781.759027777778</v>
      </c>
      <c r="K104" s="222"/>
      <c r="L104" s="208">
        <f t="shared" si="6"/>
        <v>2.9166666667151731E-2</v>
      </c>
      <c r="M104" s="209">
        <f t="shared" si="7"/>
        <v>0.46666666667442769</v>
      </c>
      <c r="N104" s="210" t="str">
        <f>IF(Table2683259[[#This Row],[Fault Type]]="PM",IF(L104&lt;=(D104-C104),"Yes","No"),"")</f>
        <v/>
      </c>
      <c r="O104" s="211" t="str">
        <f t="shared" si="8"/>
        <v/>
      </c>
      <c r="P104"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4" s="91"/>
    </row>
    <row r="105" spans="1:17" ht="15.5" x14ac:dyDescent="0.35">
      <c r="A105" s="203" t="s">
        <v>39</v>
      </c>
      <c r="B105" s="204" t="s">
        <v>150</v>
      </c>
      <c r="C105" s="205"/>
      <c r="D105" s="205"/>
      <c r="E105" s="205">
        <v>44781.786805555559</v>
      </c>
      <c r="F105" s="159">
        <v>10.5</v>
      </c>
      <c r="G105" s="204" t="s">
        <v>163</v>
      </c>
      <c r="H105" s="206" t="s">
        <v>896</v>
      </c>
      <c r="I105" s="206" t="s">
        <v>333</v>
      </c>
      <c r="J105" s="205">
        <v>44781.35</v>
      </c>
      <c r="K105" s="222"/>
      <c r="L105" s="208">
        <f t="shared" si="6"/>
        <v>-0.43680555556056788</v>
      </c>
      <c r="M105" s="209">
        <f t="shared" si="7"/>
        <v>-4.5864583333859628</v>
      </c>
      <c r="N105" s="210" t="str">
        <f>IF(Table2683259[[#This Row],[Fault Type]]="PM",IF(L105&lt;=(D105-C105),"Yes","No"),"")</f>
        <v/>
      </c>
      <c r="O105" s="211" t="str">
        <f t="shared" si="8"/>
        <v/>
      </c>
      <c r="P105"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05" s="91"/>
    </row>
    <row r="106" spans="1:17" ht="15.5" x14ac:dyDescent="0.35">
      <c r="A106" s="203" t="s">
        <v>370</v>
      </c>
      <c r="B106" s="204" t="s">
        <v>158</v>
      </c>
      <c r="C106" s="205"/>
      <c r="D106" s="205"/>
      <c r="E106" s="205">
        <v>44781.799305555556</v>
      </c>
      <c r="F106" s="159">
        <v>1.8</v>
      </c>
      <c r="G106" s="204"/>
      <c r="H106" s="206" t="s">
        <v>897</v>
      </c>
      <c r="I106" s="206"/>
      <c r="J106" s="205">
        <v>44781.902777777781</v>
      </c>
      <c r="K106" s="222"/>
      <c r="L106" s="208">
        <f t="shared" si="6"/>
        <v>0.10347222222480923</v>
      </c>
      <c r="M106" s="209">
        <f t="shared" si="7"/>
        <v>0.18625000000465661</v>
      </c>
      <c r="N106" s="210" t="str">
        <f>IF(Table2683259[[#This Row],[Fault Type]]="PM",IF(L106&lt;=(D106-C106),"Yes","No"),"")</f>
        <v/>
      </c>
      <c r="O106" s="211" t="str">
        <f t="shared" si="8"/>
        <v/>
      </c>
      <c r="P106"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6" s="91"/>
    </row>
    <row r="107" spans="1:17" ht="15.5" x14ac:dyDescent="0.35">
      <c r="A107" s="203" t="s">
        <v>442</v>
      </c>
      <c r="B107" s="204" t="s">
        <v>150</v>
      </c>
      <c r="C107" s="205"/>
      <c r="D107" s="205"/>
      <c r="E107" s="205">
        <v>44781.804861111108</v>
      </c>
      <c r="F107" s="159"/>
      <c r="G107" s="204" t="s">
        <v>164</v>
      </c>
      <c r="H107" s="206" t="s">
        <v>508</v>
      </c>
      <c r="I107" s="206" t="s">
        <v>334</v>
      </c>
      <c r="J107" s="205">
        <v>44782.388888888891</v>
      </c>
      <c r="K107" s="222"/>
      <c r="L107" s="208">
        <f t="shared" si="6"/>
        <v>0.58402777778246673</v>
      </c>
      <c r="M107" s="209">
        <f t="shared" si="7"/>
        <v>0</v>
      </c>
      <c r="N107" s="210" t="str">
        <f>IF(Table2683259[[#This Row],[Fault Type]]="PM",IF(L107&lt;=(D107-C107),"Yes","No"),"")</f>
        <v/>
      </c>
      <c r="O107" s="211" t="str">
        <f t="shared" si="8"/>
        <v/>
      </c>
      <c r="P107"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07" s="91"/>
    </row>
    <row r="108" spans="1:17" ht="15.5" x14ac:dyDescent="0.35">
      <c r="A108" s="203" t="s">
        <v>370</v>
      </c>
      <c r="B108" s="204" t="s">
        <v>158</v>
      </c>
      <c r="C108" s="205"/>
      <c r="D108" s="205"/>
      <c r="E108" s="205">
        <v>44781.90347222222</v>
      </c>
      <c r="F108" s="159">
        <v>1.8</v>
      </c>
      <c r="G108" s="204"/>
      <c r="H108" s="206" t="s">
        <v>898</v>
      </c>
      <c r="I108" s="206" t="s">
        <v>333</v>
      </c>
      <c r="J108" s="205">
        <v>44782.387499999997</v>
      </c>
      <c r="K108" s="222"/>
      <c r="L108" s="208">
        <f t="shared" si="6"/>
        <v>0.48402777777664596</v>
      </c>
      <c r="M108" s="209">
        <f t="shared" si="7"/>
        <v>0.87124999999796271</v>
      </c>
      <c r="N108" s="210" t="str">
        <f>IF(Table2683259[[#This Row],[Fault Type]]="PM",IF(L108&lt;=(D108-C108),"Yes","No"),"")</f>
        <v/>
      </c>
      <c r="O108" s="211" t="str">
        <f t="shared" si="8"/>
        <v/>
      </c>
      <c r="P108"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08" s="91"/>
    </row>
    <row r="109" spans="1:17" ht="15.5" x14ac:dyDescent="0.35">
      <c r="A109" s="203" t="s">
        <v>40</v>
      </c>
      <c r="B109" s="204" t="s">
        <v>150</v>
      </c>
      <c r="C109" s="205"/>
      <c r="D109" s="205"/>
      <c r="E109" s="205">
        <v>44781.841666666667</v>
      </c>
      <c r="F109" s="159">
        <v>12</v>
      </c>
      <c r="G109" s="204" t="s">
        <v>163</v>
      </c>
      <c r="H109" s="206" t="s">
        <v>899</v>
      </c>
      <c r="I109" s="206" t="s">
        <v>334</v>
      </c>
      <c r="J109" s="205">
        <v>44781.856249999997</v>
      </c>
      <c r="K109" s="222"/>
      <c r="L109" s="208">
        <f t="shared" si="6"/>
        <v>1.4583333329937886E-2</v>
      </c>
      <c r="M109" s="209">
        <f t="shared" si="7"/>
        <v>0.17499999995925464</v>
      </c>
      <c r="N109" s="210" t="str">
        <f>IF(Table2683259[[#This Row],[Fault Type]]="PM",IF(L109&lt;=(D109-C109),"Yes","No"),"")</f>
        <v/>
      </c>
      <c r="O109" s="211" t="str">
        <f t="shared" si="8"/>
        <v/>
      </c>
      <c r="P109"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Yes</v>
      </c>
      <c r="Q109" s="91"/>
    </row>
    <row r="110" spans="1:17" ht="15.5" x14ac:dyDescent="0.35">
      <c r="A110" s="203" t="s">
        <v>134</v>
      </c>
      <c r="B110" s="204" t="s">
        <v>150</v>
      </c>
      <c r="C110" s="205"/>
      <c r="D110" s="205"/>
      <c r="E110" s="205">
        <v>44781.868750000001</v>
      </c>
      <c r="F110" s="159">
        <v>3.1</v>
      </c>
      <c r="G110" s="204" t="s">
        <v>162</v>
      </c>
      <c r="H110" s="206" t="s">
        <v>900</v>
      </c>
      <c r="I110" s="206" t="s">
        <v>333</v>
      </c>
      <c r="J110" s="205">
        <v>44782.538194444445</v>
      </c>
      <c r="K110" s="222"/>
      <c r="L110" s="208">
        <f t="shared" si="6"/>
        <v>0.66944444444379769</v>
      </c>
      <c r="M110" s="209">
        <f t="shared" si="7"/>
        <v>2.0752777777757729</v>
      </c>
      <c r="N110" s="210" t="str">
        <f>IF(Table2683259[[#This Row],[Fault Type]]="PM",IF(L110&lt;=(D110-C110),"Yes","No"),"")</f>
        <v/>
      </c>
      <c r="O110" s="211" t="str">
        <f t="shared" si="8"/>
        <v/>
      </c>
      <c r="P110"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0" s="91"/>
    </row>
    <row r="111" spans="1:17" ht="15.5" x14ac:dyDescent="0.35">
      <c r="A111" s="203" t="s">
        <v>363</v>
      </c>
      <c r="B111" s="204" t="s">
        <v>150</v>
      </c>
      <c r="C111" s="205"/>
      <c r="D111" s="205"/>
      <c r="E111" s="205">
        <v>44781.888888888891</v>
      </c>
      <c r="F111" s="159">
        <v>1.4</v>
      </c>
      <c r="G111" s="204" t="s">
        <v>164</v>
      </c>
      <c r="H111" s="206" t="s">
        <v>901</v>
      </c>
      <c r="I111" s="206" t="s">
        <v>333</v>
      </c>
      <c r="J111" s="205">
        <v>44782.411111111112</v>
      </c>
      <c r="K111" s="222"/>
      <c r="L111" s="208">
        <f t="shared" si="6"/>
        <v>0.52222222222189885</v>
      </c>
      <c r="M111" s="209">
        <f t="shared" si="7"/>
        <v>0.7311111111106583</v>
      </c>
      <c r="N111" s="210" t="str">
        <f>IF(Table2683259[[#This Row],[Fault Type]]="PM",IF(L111&lt;=(D111-C111),"Yes","No"),"")</f>
        <v/>
      </c>
      <c r="O111" s="211" t="str">
        <f t="shared" si="8"/>
        <v/>
      </c>
      <c r="P111"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1" s="91"/>
    </row>
    <row r="112" spans="1:17" ht="15.5" x14ac:dyDescent="0.35">
      <c r="A112" s="203" t="s">
        <v>42</v>
      </c>
      <c r="B112" s="204" t="s">
        <v>150</v>
      </c>
      <c r="C112" s="205"/>
      <c r="D112" s="205"/>
      <c r="E112" s="205">
        <v>44781.888888888891</v>
      </c>
      <c r="F112" s="159">
        <v>2.5</v>
      </c>
      <c r="G112" s="204" t="s">
        <v>162</v>
      </c>
      <c r="H112" s="206" t="s">
        <v>902</v>
      </c>
      <c r="I112" s="206" t="s">
        <v>333</v>
      </c>
      <c r="J112" s="205"/>
      <c r="K112" s="222"/>
      <c r="L112" s="208">
        <f t="shared" si="6"/>
        <v>-44781.888888888891</v>
      </c>
      <c r="M112" s="209">
        <f t="shared" si="7"/>
        <v>-111954.72222222222</v>
      </c>
      <c r="N112" s="210" t="str">
        <f>IF(Table2683259[[#This Row],[Fault Type]]="PM",IF(L112&lt;=(D112-C112),"Yes","No"),"")</f>
        <v/>
      </c>
      <c r="O112" s="211" t="str">
        <f t="shared" si="8"/>
        <v/>
      </c>
      <c r="P112"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2" s="91"/>
    </row>
    <row r="113" spans="1:17" ht="15.5" x14ac:dyDescent="0.35">
      <c r="A113" s="203" t="s">
        <v>126</v>
      </c>
      <c r="B113" s="204" t="s">
        <v>150</v>
      </c>
      <c r="C113" s="205"/>
      <c r="D113" s="205"/>
      <c r="E113" s="205">
        <v>44781.892361111109</v>
      </c>
      <c r="F113" s="159">
        <v>2.9</v>
      </c>
      <c r="G113" s="204" t="s">
        <v>163</v>
      </c>
      <c r="H113" s="206"/>
      <c r="I113" s="206"/>
      <c r="J113" s="205"/>
      <c r="K113" s="222"/>
      <c r="L113" s="208">
        <f t="shared" si="6"/>
        <v>-44781.892361111109</v>
      </c>
      <c r="M113" s="209">
        <f t="shared" si="7"/>
        <v>-129867.48784722222</v>
      </c>
      <c r="N113" s="210" t="str">
        <f>IF(Table2683259[[#This Row],[Fault Type]]="PM",IF(L113&lt;=(D113-C113),"Yes","No"),"")</f>
        <v/>
      </c>
      <c r="O113" s="211" t="str">
        <f t="shared" si="8"/>
        <v/>
      </c>
      <c r="P113"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3" s="91"/>
    </row>
    <row r="114" spans="1:17" ht="15.5" x14ac:dyDescent="0.35">
      <c r="A114" s="203" t="s">
        <v>903</v>
      </c>
      <c r="B114" s="204" t="s">
        <v>150</v>
      </c>
      <c r="C114" s="205"/>
      <c r="D114" s="205"/>
      <c r="E114" s="205">
        <v>44781.895833333336</v>
      </c>
      <c r="F114" s="159"/>
      <c r="G114" s="204" t="s">
        <v>163</v>
      </c>
      <c r="H114" s="206"/>
      <c r="I114" s="206"/>
      <c r="J114" s="205"/>
      <c r="K114" s="222"/>
      <c r="L114" s="208">
        <f t="shared" si="6"/>
        <v>-44781.895833333336</v>
      </c>
      <c r="M114" s="209">
        <f t="shared" si="7"/>
        <v>0</v>
      </c>
      <c r="N114" s="210" t="str">
        <f>IF(Table2683259[[#This Row],[Fault Type]]="PM",IF(L114&lt;=(D114-C114),"Yes","No"),"")</f>
        <v/>
      </c>
      <c r="O114" s="211" t="str">
        <f t="shared" si="8"/>
        <v/>
      </c>
      <c r="P114"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114" s="91"/>
    </row>
    <row r="115" spans="1:17" ht="15.5" x14ac:dyDescent="0.35">
      <c r="A115" s="203" t="s">
        <v>371</v>
      </c>
      <c r="B115" s="204" t="s">
        <v>150</v>
      </c>
      <c r="C115" s="205"/>
      <c r="D115" s="205"/>
      <c r="E115" s="205">
        <v>44781.940972222219</v>
      </c>
      <c r="F115" s="159">
        <v>2.4</v>
      </c>
      <c r="G115" s="204" t="s">
        <v>164</v>
      </c>
      <c r="H115" s="206" t="s">
        <v>904</v>
      </c>
      <c r="I115" s="206" t="s">
        <v>333</v>
      </c>
      <c r="J115" s="205">
        <v>44782.520833333336</v>
      </c>
      <c r="K115" s="222"/>
      <c r="L115" s="208">
        <f t="shared" si="6"/>
        <v>0.57986111111677019</v>
      </c>
      <c r="M115" s="209">
        <f t="shared" si="7"/>
        <v>1.3916666666802484</v>
      </c>
      <c r="N115" s="210" t="str">
        <f>IF(Table2683259[[#This Row],[Fault Type]]="PM",IF(L115&lt;=(D115-C115),"Yes","No"),"")</f>
        <v/>
      </c>
      <c r="O115" s="211" t="str">
        <f t="shared" si="8"/>
        <v/>
      </c>
      <c r="P115"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5" s="91"/>
    </row>
    <row r="116" spans="1:17" ht="15.5" x14ac:dyDescent="0.35">
      <c r="A116" s="203" t="s">
        <v>51</v>
      </c>
      <c r="B116" s="204" t="s">
        <v>150</v>
      </c>
      <c r="C116" s="205"/>
      <c r="D116" s="205"/>
      <c r="E116" s="205">
        <v>44781.943055555559</v>
      </c>
      <c r="F116" s="159"/>
      <c r="G116" s="204" t="s">
        <v>164</v>
      </c>
      <c r="H116" s="206" t="s">
        <v>905</v>
      </c>
      <c r="I116" s="206" t="s">
        <v>334</v>
      </c>
      <c r="J116" s="205">
        <v>44782.392361111109</v>
      </c>
      <c r="K116" s="222"/>
      <c r="L116" s="208">
        <f t="shared" si="6"/>
        <v>0.44930555555038154</v>
      </c>
      <c r="M116" s="209">
        <f t="shared" si="7"/>
        <v>0</v>
      </c>
      <c r="N116" s="210" t="str">
        <f>IF(Table2683259[[#This Row],[Fault Type]]="PM",IF(L116&lt;=(D116-C116),"Yes","No"),"")</f>
        <v/>
      </c>
      <c r="O116" s="211" t="str">
        <f t="shared" si="8"/>
        <v/>
      </c>
      <c r="P116" s="212" t="str">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No</v>
      </c>
      <c r="Q116" s="91"/>
    </row>
    <row r="117" spans="1:17" ht="15.5" x14ac:dyDescent="0.35">
      <c r="A117" s="203" t="s">
        <v>546</v>
      </c>
      <c r="B117" s="204" t="s">
        <v>158</v>
      </c>
      <c r="C117" s="205"/>
      <c r="D117" s="205"/>
      <c r="E117" s="205">
        <v>44781.959722222222</v>
      </c>
      <c r="F117" s="159"/>
      <c r="G117" s="204"/>
      <c r="H117" s="206" t="s">
        <v>906</v>
      </c>
      <c r="I117" s="206" t="s">
        <v>333</v>
      </c>
      <c r="J117" s="205">
        <v>44781.909722222219</v>
      </c>
      <c r="K117" s="222"/>
      <c r="L117" s="208">
        <f t="shared" si="6"/>
        <v>-5.0000000002910383E-2</v>
      </c>
      <c r="M117" s="209">
        <f t="shared" si="7"/>
        <v>0</v>
      </c>
      <c r="N117" s="210" t="str">
        <f>IF(Table2683259[[#This Row],[Fault Type]]="PM",IF(L117&lt;=(D117-C117),"Yes","No"),"")</f>
        <v/>
      </c>
      <c r="O117" s="211" t="str">
        <f t="shared" si="8"/>
        <v/>
      </c>
      <c r="P117"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117" s="91"/>
    </row>
    <row r="118" spans="1:17" ht="15.5" x14ac:dyDescent="0.35">
      <c r="A118" s="203" t="s">
        <v>861</v>
      </c>
      <c r="B118" s="204" t="s">
        <v>150</v>
      </c>
      <c r="C118" s="205"/>
      <c r="D118" s="205"/>
      <c r="E118" s="205">
        <v>44781.960416666669</v>
      </c>
      <c r="F118" s="159">
        <v>3.6</v>
      </c>
      <c r="G118" s="204" t="s">
        <v>162</v>
      </c>
      <c r="H118" s="206" t="s">
        <v>526</v>
      </c>
      <c r="I118" s="206" t="s">
        <v>526</v>
      </c>
      <c r="J118" s="205">
        <v>44785.967361111114</v>
      </c>
      <c r="K118" s="222"/>
      <c r="L118" s="208">
        <f t="shared" si="6"/>
        <v>4.0069444444452529</v>
      </c>
      <c r="M118" s="209">
        <f t="shared" si="7"/>
        <v>14.42500000000291</v>
      </c>
      <c r="N118" s="210" t="str">
        <f>IF(Table2683259[[#This Row],[Fault Type]]="PM",IF(L118&lt;=(D118-C118),"Yes","No"),"")</f>
        <v/>
      </c>
      <c r="O118" s="211" t="str">
        <f t="shared" si="8"/>
        <v/>
      </c>
      <c r="P118" s="212" t="e">
        <f>IF(AND(Table2683259[[#This Row],[Name of Feeder]]&lt;&gt;"",OR(Table2683259[[#This Row],[Fault Type]]="TL",Table2683259[[#This Row],[Fault Type]]="TS",Table2683259[[#This Row],[Fault Type]]="UF",Table2683259[[#This Row],[Fault Type]]="SE")),(IF(AND(VLOOKUP(Table2683259[[#This Row],[Name of Feeder]],Main!D:E,2,0)="URBAN",ISNUMBER(SEARCH("33KV",Table2683259[[#This Row],[Name of Feeder]]))),IF(AND(Table2683259[[#This Row],[Outage Duration]]&gt;0,Table2683259[[#This Row],[Outage Duration]]&lt;=0.25),"Yes","No"),IF(AND(VLOOKUP(Table2683259[[#This Row],[Name of Feeder]],Main!D:E,2,0)="RURAL",ISNUMBER(SEARCH("33KV",Table2683259[[#This Row],[Name of Feeder]]))),IF(AND(Table2683259[[#This Row],[Outage Duration]]&gt;0,Table2683259[[#This Row],[Outage Duration]]&lt;=0.33),"Yes","No"),IF(AND(VLOOKUP(Table2683259[[#This Row],[Name of Feeder]],Main!D:E,2,0)="RURAL",ISNUMBER(SEARCH("11KV",Table2683259[[#This Row],[Name of Feeder]]))),IF(AND(Table2683259[[#This Row],[Outage Duration]]&gt;0,Table2683259[[#This Row],[Outage Duration]]&lt;=0.17),"Yes","No"),IF(AND(VLOOKUP(Table2683259[[#This Row],[Name of Feeder]],Main!D:E,2,0)="URBAN",ISNUMBER(SEARCH("11KV",Table2683259[[#This Row],[Name of Feeder]]))),IF(AND(Table2683259[[#This Row],[Outage Duration]]&gt;0,Table2683259[[#This Row],[Outage Duration]]&lt;=0.17),"Yes","No"),""))))),"")</f>
        <v>#N/A</v>
      </c>
      <c r="Q118"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Main!$F$226:$F$228</xm:f>
          </x14:formula1>
          <xm:sqref>I2:I118</xm:sqref>
        </x14:dataValidation>
        <x14:dataValidation type="list" allowBlank="1" showInputMessage="1" showErrorMessage="1" xr:uid="{00000000-0002-0000-0B00-000001000000}">
          <x14:formula1>
            <xm:f>Main!$D$2:$D$196</xm:f>
          </x14:formula1>
          <xm:sqref>A2:A118</xm:sqref>
        </x14:dataValidation>
        <x14:dataValidation type="list" allowBlank="1" showInputMessage="1" showErrorMessage="1" xr:uid="{00000000-0002-0000-0B00-000002000000}">
          <x14:formula1>
            <xm:f>Main!F$222:F$225</xm:f>
          </x14:formula1>
          <xm:sqref>G2:G118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78"/>
  <sheetViews>
    <sheetView zoomScale="70" zoomScaleNormal="70" workbookViewId="0">
      <selection activeCell="A2" sqref="A2:J36"/>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145</v>
      </c>
      <c r="B2" s="12" t="s">
        <v>150</v>
      </c>
      <c r="C2" s="13"/>
      <c r="D2" s="13"/>
      <c r="E2" s="13">
        <v>44782.017361111109</v>
      </c>
      <c r="F2" s="12">
        <v>0.4</v>
      </c>
      <c r="G2" s="12" t="s">
        <v>164</v>
      </c>
      <c r="H2" s="27" t="s">
        <v>907</v>
      </c>
      <c r="I2" s="27" t="s">
        <v>333</v>
      </c>
      <c r="J2" s="13">
        <v>44782.484722222223</v>
      </c>
      <c r="K2" s="32"/>
      <c r="L2" s="14">
        <f t="shared" ref="L2:L64" si="0">J2-E2</f>
        <v>0.46736111111385981</v>
      </c>
      <c r="M2" s="31">
        <f t="shared" ref="M2:M19" si="1">L2*F2</f>
        <v>0.18694444444554392</v>
      </c>
      <c r="N2" s="15" t="str">
        <f>IF(Table2683258[[#This Row],[Fault Type]]="PM",IF(L2&lt;=(D2-C2),"Yes","No"),"")</f>
        <v/>
      </c>
      <c r="O2" s="16" t="str">
        <f t="shared" ref="O2:O64" si="2">IF(N2="No",(L2-(D2-C2)),"")</f>
        <v/>
      </c>
      <c r="P2" s="30"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2" s="17"/>
    </row>
    <row r="3" spans="1:17" ht="15.5" x14ac:dyDescent="0.35">
      <c r="A3" s="4" t="s">
        <v>308</v>
      </c>
      <c r="B3" s="159" t="s">
        <v>150</v>
      </c>
      <c r="C3" s="13"/>
      <c r="D3" s="13"/>
      <c r="E3" s="13">
        <v>44782.022916666669</v>
      </c>
      <c r="F3" s="12">
        <v>0.4</v>
      </c>
      <c r="G3" s="159" t="s">
        <v>164</v>
      </c>
      <c r="H3" s="27" t="s">
        <v>908</v>
      </c>
      <c r="I3" s="27" t="s">
        <v>334</v>
      </c>
      <c r="J3" s="13">
        <v>44782.355555555558</v>
      </c>
      <c r="K3" s="32"/>
      <c r="L3" s="14">
        <f t="shared" si="0"/>
        <v>0.33263888888905058</v>
      </c>
      <c r="M3" s="31">
        <f t="shared" si="1"/>
        <v>0.13305555555562024</v>
      </c>
      <c r="N3" s="15" t="str">
        <f>IF(Table2683258[[#This Row],[Fault Type]]="PM",IF(L3&lt;=(D3-C3),"Yes","No"),"")</f>
        <v/>
      </c>
      <c r="O3" s="16" t="str">
        <f t="shared" si="2"/>
        <v/>
      </c>
      <c r="P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3" s="17"/>
    </row>
    <row r="4" spans="1:17" ht="15.5" x14ac:dyDescent="0.35">
      <c r="A4" s="4" t="s">
        <v>27</v>
      </c>
      <c r="B4" s="159" t="s">
        <v>150</v>
      </c>
      <c r="C4" s="13"/>
      <c r="D4" s="13"/>
      <c r="E4" s="13">
        <v>44782.034722222219</v>
      </c>
      <c r="F4" s="12">
        <v>3.4</v>
      </c>
      <c r="G4" s="159" t="s">
        <v>163</v>
      </c>
      <c r="H4" s="12" t="s">
        <v>908</v>
      </c>
      <c r="I4" s="12" t="s">
        <v>334</v>
      </c>
      <c r="J4" s="13">
        <v>44782.359722222223</v>
      </c>
      <c r="K4" s="32"/>
      <c r="L4" s="14">
        <f t="shared" si="0"/>
        <v>0.32500000000436557</v>
      </c>
      <c r="M4" s="31">
        <f t="shared" si="1"/>
        <v>1.105000000014843</v>
      </c>
      <c r="N4" s="15" t="str">
        <f>IF(Table2683258[[#This Row],[Fault Type]]="PM",IF(L4&lt;=(D4-C4),"Yes","No"),"")</f>
        <v/>
      </c>
      <c r="O4" s="16" t="str">
        <f t="shared" si="2"/>
        <v/>
      </c>
      <c r="P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4" s="17"/>
    </row>
    <row r="5" spans="1:17" ht="15.5" x14ac:dyDescent="0.35">
      <c r="A5" s="4" t="s">
        <v>316</v>
      </c>
      <c r="B5" s="159" t="s">
        <v>150</v>
      </c>
      <c r="C5" s="13"/>
      <c r="D5" s="13"/>
      <c r="E5" s="13">
        <v>44782.034722222219</v>
      </c>
      <c r="F5" s="12">
        <v>1.5</v>
      </c>
      <c r="G5" s="159" t="s">
        <v>164</v>
      </c>
      <c r="H5" s="12" t="s">
        <v>909</v>
      </c>
      <c r="I5" s="12" t="s">
        <v>334</v>
      </c>
      <c r="J5" s="13">
        <v>44782.401388888888</v>
      </c>
      <c r="K5" s="32"/>
      <c r="L5" s="14">
        <f t="shared" si="0"/>
        <v>0.36666666666860692</v>
      </c>
      <c r="M5" s="31">
        <f t="shared" si="1"/>
        <v>0.55000000000291038</v>
      </c>
      <c r="N5" s="15" t="str">
        <f>IF(Table2683258[[#This Row],[Fault Type]]="PM",IF(L5&lt;=(D5-C5),"Yes","No"),"")</f>
        <v/>
      </c>
      <c r="O5" s="16" t="str">
        <f t="shared" si="2"/>
        <v/>
      </c>
      <c r="P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5" s="17"/>
    </row>
    <row r="6" spans="1:17" ht="15.5" x14ac:dyDescent="0.35">
      <c r="A6" s="4" t="s">
        <v>96</v>
      </c>
      <c r="B6" s="159" t="s">
        <v>150</v>
      </c>
      <c r="C6" s="13"/>
      <c r="D6" s="13"/>
      <c r="E6" s="13">
        <v>44782.041666666664</v>
      </c>
      <c r="F6" s="12">
        <v>1.7</v>
      </c>
      <c r="G6" s="159" t="s">
        <v>164</v>
      </c>
      <c r="H6" s="12" t="s">
        <v>910</v>
      </c>
      <c r="I6" s="12" t="s">
        <v>334</v>
      </c>
      <c r="J6" s="13">
        <v>44782.756249999999</v>
      </c>
      <c r="K6" s="32"/>
      <c r="L6" s="14">
        <f t="shared" si="0"/>
        <v>0.71458333333430346</v>
      </c>
      <c r="M6" s="31">
        <f t="shared" si="1"/>
        <v>1.2147916666683158</v>
      </c>
      <c r="N6" s="15" t="str">
        <f>IF(Table2683258[[#This Row],[Fault Type]]="PM",IF(L6&lt;=(D6-C6),"Yes","No"),"")</f>
        <v/>
      </c>
      <c r="O6" s="16" t="str">
        <f t="shared" si="2"/>
        <v/>
      </c>
      <c r="P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6" s="17"/>
    </row>
    <row r="7" spans="1:17" ht="15.5" x14ac:dyDescent="0.35">
      <c r="A7" s="4" t="s">
        <v>21</v>
      </c>
      <c r="B7" s="12" t="s">
        <v>150</v>
      </c>
      <c r="C7" s="13"/>
      <c r="D7" s="13"/>
      <c r="E7" s="13">
        <v>44782.06527777778</v>
      </c>
      <c r="F7" s="12">
        <v>9.4</v>
      </c>
      <c r="G7" s="159" t="s">
        <v>163</v>
      </c>
      <c r="H7" s="12" t="s">
        <v>911</v>
      </c>
      <c r="I7" s="12" t="s">
        <v>334</v>
      </c>
      <c r="J7" s="13">
        <v>44782.215277777781</v>
      </c>
      <c r="K7" s="32"/>
      <c r="L7" s="14">
        <f t="shared" si="0"/>
        <v>0.15000000000145519</v>
      </c>
      <c r="M7" s="31">
        <f t="shared" si="1"/>
        <v>1.4100000000136788</v>
      </c>
      <c r="N7" s="15" t="str">
        <f>IF(Table2683258[[#This Row],[Fault Type]]="PM",IF(L7&lt;=(D7-C7),"Yes","No"),"")</f>
        <v/>
      </c>
      <c r="O7" s="16" t="str">
        <f t="shared" si="2"/>
        <v/>
      </c>
      <c r="P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7" s="17"/>
    </row>
    <row r="8" spans="1:17" ht="15.5" x14ac:dyDescent="0.35">
      <c r="A8" s="4" t="s">
        <v>315</v>
      </c>
      <c r="B8" s="12" t="s">
        <v>150</v>
      </c>
      <c r="C8" s="13"/>
      <c r="D8" s="13"/>
      <c r="E8" s="13">
        <v>44782.067361111112</v>
      </c>
      <c r="F8" s="12">
        <v>1.8</v>
      </c>
      <c r="G8" s="159" t="s">
        <v>164</v>
      </c>
      <c r="H8" s="12" t="s">
        <v>863</v>
      </c>
      <c r="I8" s="12" t="s">
        <v>334</v>
      </c>
      <c r="J8" s="13">
        <v>44782.402083333334</v>
      </c>
      <c r="K8" s="32"/>
      <c r="L8" s="14">
        <f t="shared" si="0"/>
        <v>0.33472222222189885</v>
      </c>
      <c r="M8" s="31">
        <f t="shared" si="1"/>
        <v>0.60249999999941795</v>
      </c>
      <c r="N8" s="15" t="str">
        <f>IF(Table2683258[[#This Row],[Fault Type]]="PM",IF(L8&lt;=(D8-C8),"Yes","No"),"")</f>
        <v/>
      </c>
      <c r="O8" s="16" t="str">
        <f t="shared" si="2"/>
        <v/>
      </c>
      <c r="P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8" s="17"/>
    </row>
    <row r="9" spans="1:17" ht="15.5" x14ac:dyDescent="0.35">
      <c r="A9" s="4" t="s">
        <v>43</v>
      </c>
      <c r="B9" s="12" t="s">
        <v>150</v>
      </c>
      <c r="C9" s="13"/>
      <c r="D9" s="13"/>
      <c r="E9" s="13">
        <v>44782.104166666664</v>
      </c>
      <c r="F9" s="12">
        <v>2.1</v>
      </c>
      <c r="G9" s="159" t="s">
        <v>164</v>
      </c>
      <c r="H9" s="12"/>
      <c r="I9" s="12"/>
      <c r="J9" s="13"/>
      <c r="K9" s="32"/>
      <c r="L9" s="14">
        <f t="shared" si="0"/>
        <v>-44782.104166666664</v>
      </c>
      <c r="M9" s="31">
        <f t="shared" si="1"/>
        <v>-94042.418749999997</v>
      </c>
      <c r="N9" s="15" t="str">
        <f>IF(Table2683258[[#This Row],[Fault Type]]="PM",IF(L9&lt;=(D9-C9),"Yes","No"),"")</f>
        <v/>
      </c>
      <c r="O9" s="16" t="str">
        <f t="shared" si="2"/>
        <v/>
      </c>
      <c r="P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9" s="17"/>
    </row>
    <row r="10" spans="1:17" ht="15.5" x14ac:dyDescent="0.35">
      <c r="A10" s="4" t="s">
        <v>179</v>
      </c>
      <c r="B10" s="12" t="s">
        <v>150</v>
      </c>
      <c r="C10" s="13"/>
      <c r="D10" s="13"/>
      <c r="E10" s="13">
        <v>44782.296527777777</v>
      </c>
      <c r="F10" s="12">
        <v>1</v>
      </c>
      <c r="G10" s="159" t="s">
        <v>163</v>
      </c>
      <c r="H10" s="12" t="s">
        <v>912</v>
      </c>
      <c r="I10" s="12" t="s">
        <v>333</v>
      </c>
      <c r="J10" s="13">
        <v>44782.394444444442</v>
      </c>
      <c r="K10" s="32"/>
      <c r="L10" s="14">
        <f t="shared" si="0"/>
        <v>9.7916666665696539E-2</v>
      </c>
      <c r="M10" s="31">
        <f t="shared" si="1"/>
        <v>9.7916666665696539E-2</v>
      </c>
      <c r="N10" s="15" t="str">
        <f>IF(Table2683258[[#This Row],[Fault Type]]="PM",IF(L10&lt;=(D10-C10),"Yes","No"),"")</f>
        <v/>
      </c>
      <c r="O10" s="16" t="str">
        <f t="shared" si="2"/>
        <v/>
      </c>
      <c r="P1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0" s="17"/>
    </row>
    <row r="11" spans="1:17" ht="15.5" x14ac:dyDescent="0.35">
      <c r="A11" s="4" t="s">
        <v>30</v>
      </c>
      <c r="B11" s="12" t="s">
        <v>150</v>
      </c>
      <c r="C11" s="13"/>
      <c r="D11" s="13"/>
      <c r="E11" s="13">
        <v>44782.298611111109</v>
      </c>
      <c r="F11" s="12">
        <v>5.7</v>
      </c>
      <c r="G11" s="159" t="s">
        <v>164</v>
      </c>
      <c r="H11" s="12" t="s">
        <v>913</v>
      </c>
      <c r="I11" s="12" t="s">
        <v>334</v>
      </c>
      <c r="J11" s="13">
        <v>44782.328472222223</v>
      </c>
      <c r="K11" s="32"/>
      <c r="L11" s="14">
        <f t="shared" si="0"/>
        <v>2.9861111113859806E-2</v>
      </c>
      <c r="M11" s="31">
        <f t="shared" si="1"/>
        <v>0.1702083333490009</v>
      </c>
      <c r="N11" s="15" t="str">
        <f>IF(Table2683258[[#This Row],[Fault Type]]="PM",IF(L11&lt;=(D11-C11),"Yes","No"),"")</f>
        <v/>
      </c>
      <c r="O11" s="16" t="str">
        <f t="shared" si="2"/>
        <v/>
      </c>
      <c r="P1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1" s="17"/>
    </row>
    <row r="12" spans="1:17" ht="15.5" x14ac:dyDescent="0.35">
      <c r="A12" s="4" t="s">
        <v>90</v>
      </c>
      <c r="B12" s="12" t="s">
        <v>150</v>
      </c>
      <c r="C12" s="13"/>
      <c r="D12" s="13"/>
      <c r="E12" s="13">
        <v>44782.354166666664</v>
      </c>
      <c r="F12" s="12">
        <v>3</v>
      </c>
      <c r="G12" s="159" t="s">
        <v>164</v>
      </c>
      <c r="H12" s="12" t="s">
        <v>914</v>
      </c>
      <c r="I12" s="12" t="s">
        <v>333</v>
      </c>
      <c r="J12" s="13">
        <v>44782.703472222223</v>
      </c>
      <c r="K12" s="32"/>
      <c r="L12" s="14">
        <f t="shared" si="0"/>
        <v>0.34930555555911269</v>
      </c>
      <c r="M12" s="31">
        <f t="shared" si="1"/>
        <v>1.0479166666773381</v>
      </c>
      <c r="N12" s="15" t="str">
        <f>IF(Table2683258[[#This Row],[Fault Type]]="PM",IF(L12&lt;=(D12-C12),"Yes","No"),"")</f>
        <v/>
      </c>
      <c r="O12" s="16" t="str">
        <f t="shared" si="2"/>
        <v/>
      </c>
      <c r="P1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12" s="144"/>
    </row>
    <row r="13" spans="1:17" ht="15.5" x14ac:dyDescent="0.35">
      <c r="A13" s="4" t="s">
        <v>83</v>
      </c>
      <c r="B13" s="12" t="s">
        <v>150</v>
      </c>
      <c r="C13" s="13"/>
      <c r="D13" s="13"/>
      <c r="E13" s="13">
        <v>44782.359722222223</v>
      </c>
      <c r="F13" s="12">
        <v>2.5</v>
      </c>
      <c r="G13" s="159" t="s">
        <v>163</v>
      </c>
      <c r="H13" s="12" t="s">
        <v>508</v>
      </c>
      <c r="I13" s="12" t="s">
        <v>334</v>
      </c>
      <c r="J13" s="13">
        <v>44782.821527777778</v>
      </c>
      <c r="K13" s="32"/>
      <c r="L13" s="14">
        <f t="shared" si="0"/>
        <v>0.46180555555474712</v>
      </c>
      <c r="M13" s="31">
        <f t="shared" si="1"/>
        <v>1.1545138888868678</v>
      </c>
      <c r="N13" s="15" t="str">
        <f>IF(Table2683258[[#This Row],[Fault Type]]="PM",IF(L13&lt;=(D13-C13),"Yes","No"),"")</f>
        <v/>
      </c>
      <c r="O13" s="16" t="str">
        <f t="shared" si="2"/>
        <v/>
      </c>
      <c r="P1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13" s="17"/>
    </row>
    <row r="14" spans="1:17" ht="15.5" x14ac:dyDescent="0.35">
      <c r="A14" s="4" t="s">
        <v>38</v>
      </c>
      <c r="B14" s="12" t="s">
        <v>150</v>
      </c>
      <c r="C14" s="13"/>
      <c r="D14" s="13"/>
      <c r="E14" s="13">
        <v>44782.363888888889</v>
      </c>
      <c r="F14" s="12">
        <v>12</v>
      </c>
      <c r="G14" s="159" t="s">
        <v>162</v>
      </c>
      <c r="H14" s="12" t="s">
        <v>526</v>
      </c>
      <c r="I14" s="12" t="s">
        <v>526</v>
      </c>
      <c r="J14" s="13">
        <v>44782.371527777781</v>
      </c>
      <c r="K14" s="32"/>
      <c r="L14" s="14">
        <f t="shared" si="0"/>
        <v>7.6388888919609599E-3</v>
      </c>
      <c r="M14" s="31">
        <f t="shared" si="1"/>
        <v>9.1666666703531519E-2</v>
      </c>
      <c r="N14" s="15" t="str">
        <f>IF(Table2683258[[#This Row],[Fault Type]]="PM",IF(L14&lt;=(D14-C14),"Yes","No"),"")</f>
        <v/>
      </c>
      <c r="O14" s="16" t="str">
        <f t="shared" si="2"/>
        <v/>
      </c>
      <c r="P1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4" s="17"/>
    </row>
    <row r="15" spans="1:17" ht="15.5" x14ac:dyDescent="0.35">
      <c r="A15" s="4" t="s">
        <v>195</v>
      </c>
      <c r="B15" s="12" t="s">
        <v>150</v>
      </c>
      <c r="C15" s="13"/>
      <c r="D15" s="13"/>
      <c r="E15" s="13">
        <v>44782.371527777781</v>
      </c>
      <c r="F15" s="12">
        <v>2</v>
      </c>
      <c r="G15" s="159" t="s">
        <v>163</v>
      </c>
      <c r="H15" s="12" t="s">
        <v>705</v>
      </c>
      <c r="I15" s="12" t="s">
        <v>334</v>
      </c>
      <c r="J15" s="13">
        <v>44782.565972222219</v>
      </c>
      <c r="K15" s="32"/>
      <c r="L15" s="14">
        <f t="shared" si="0"/>
        <v>0.19444444443797693</v>
      </c>
      <c r="M15" s="31">
        <f t="shared" si="1"/>
        <v>0.38888888887595385</v>
      </c>
      <c r="N15" s="15" t="str">
        <f>IF(Table2683258[[#This Row],[Fault Type]]="PM",IF(L15&lt;=(D15-C15),"Yes","No"),"")</f>
        <v/>
      </c>
      <c r="O15" s="16" t="str">
        <f t="shared" si="2"/>
        <v/>
      </c>
      <c r="P1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5" s="17"/>
    </row>
    <row r="16" spans="1:17" ht="15.5" x14ac:dyDescent="0.35">
      <c r="A16" s="4" t="s">
        <v>104</v>
      </c>
      <c r="B16" s="12" t="s">
        <v>150</v>
      </c>
      <c r="C16" s="13"/>
      <c r="D16" s="13"/>
      <c r="E16" s="13">
        <v>44782.375</v>
      </c>
      <c r="F16" s="18">
        <v>6.7</v>
      </c>
      <c r="G16" s="159" t="s">
        <v>163</v>
      </c>
      <c r="H16" s="18" t="s">
        <v>915</v>
      </c>
      <c r="I16" s="18" t="s">
        <v>333</v>
      </c>
      <c r="J16" s="13">
        <v>44782.381944444445</v>
      </c>
      <c r="K16" s="32"/>
      <c r="L16" s="14">
        <f t="shared" si="0"/>
        <v>6.9444444452528842E-3</v>
      </c>
      <c r="M16" s="31">
        <f t="shared" si="1"/>
        <v>4.6527777783194328E-2</v>
      </c>
      <c r="N16" s="15" t="str">
        <f>IF(Table2683258[[#This Row],[Fault Type]]="PM",IF(L16&lt;=(D16-C16),"Yes","No"),"")</f>
        <v/>
      </c>
      <c r="O16" s="16" t="str">
        <f t="shared" si="2"/>
        <v/>
      </c>
      <c r="P1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6" s="17"/>
    </row>
    <row r="17" spans="1:17" ht="15.5" x14ac:dyDescent="0.35">
      <c r="A17" s="4" t="s">
        <v>20</v>
      </c>
      <c r="B17" s="12" t="s">
        <v>150</v>
      </c>
      <c r="C17" s="13"/>
      <c r="D17" s="13"/>
      <c r="E17" s="13">
        <v>44782.38958333333</v>
      </c>
      <c r="F17" s="12">
        <v>19.5</v>
      </c>
      <c r="G17" s="159" t="s">
        <v>162</v>
      </c>
      <c r="H17" s="12" t="s">
        <v>916</v>
      </c>
      <c r="I17" s="12" t="s">
        <v>333</v>
      </c>
      <c r="J17" s="13">
        <v>44782.538888888892</v>
      </c>
      <c r="K17" s="32"/>
      <c r="L17" s="14">
        <f t="shared" si="0"/>
        <v>0.14930555556202307</v>
      </c>
      <c r="M17" s="31">
        <f t="shared" si="1"/>
        <v>2.9114583334594499</v>
      </c>
      <c r="N17" s="15" t="str">
        <f>IF(Table2683258[[#This Row],[Fault Type]]="PM",IF(L17&lt;=(D17-C17),"Yes","No"),"")</f>
        <v/>
      </c>
      <c r="O17" s="16" t="str">
        <f t="shared" si="2"/>
        <v/>
      </c>
      <c r="P1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7" s="17"/>
    </row>
    <row r="18" spans="1:17" ht="15.5" x14ac:dyDescent="0.35">
      <c r="A18" s="4" t="s">
        <v>28</v>
      </c>
      <c r="B18" s="12" t="s">
        <v>158</v>
      </c>
      <c r="C18" s="13"/>
      <c r="D18" s="13"/>
      <c r="E18" s="13">
        <v>44782.407638888886</v>
      </c>
      <c r="F18" s="18"/>
      <c r="G18" s="159"/>
      <c r="H18" s="18" t="s">
        <v>917</v>
      </c>
      <c r="I18" s="18" t="s">
        <v>333</v>
      </c>
      <c r="J18" s="13">
        <v>44782.880555555559</v>
      </c>
      <c r="K18" s="32"/>
      <c r="L18" s="14">
        <f t="shared" si="0"/>
        <v>0.4729166666729725</v>
      </c>
      <c r="M18" s="31">
        <f t="shared" si="1"/>
        <v>0</v>
      </c>
      <c r="N18" s="15" t="str">
        <f>IF(Table2683258[[#This Row],[Fault Type]]="PM",IF(L18&lt;=(D18-C18),"Yes","No"),"")</f>
        <v/>
      </c>
      <c r="O18" s="16" t="str">
        <f t="shared" si="2"/>
        <v/>
      </c>
      <c r="P1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18" s="17"/>
    </row>
    <row r="19" spans="1:17" ht="15.5" x14ac:dyDescent="0.35">
      <c r="A19" s="4" t="s">
        <v>41</v>
      </c>
      <c r="B19" s="12" t="s">
        <v>158</v>
      </c>
      <c r="C19" s="13"/>
      <c r="D19" s="13"/>
      <c r="E19" s="13">
        <v>44782.420138888891</v>
      </c>
      <c r="F19" s="18">
        <v>7.5</v>
      </c>
      <c r="G19" s="159"/>
      <c r="H19" s="18" t="s">
        <v>918</v>
      </c>
      <c r="I19" s="18" t="s">
        <v>334</v>
      </c>
      <c r="J19" s="13">
        <v>44782.493055555555</v>
      </c>
      <c r="K19" s="32"/>
      <c r="L19" s="14">
        <f t="shared" si="0"/>
        <v>7.2916666664241347E-2</v>
      </c>
      <c r="M19" s="31">
        <f t="shared" si="1"/>
        <v>0.54687499998181011</v>
      </c>
      <c r="N19" s="15" t="str">
        <f>IF(Table2683258[[#This Row],[Fault Type]]="PM",IF(L19&lt;=(D19-C19),"Yes","No"),"")</f>
        <v/>
      </c>
      <c r="O19" s="16" t="str">
        <f t="shared" si="2"/>
        <v/>
      </c>
      <c r="P1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19" s="17"/>
    </row>
    <row r="20" spans="1:17" ht="15.5" x14ac:dyDescent="0.35">
      <c r="A20" s="4" t="s">
        <v>101</v>
      </c>
      <c r="B20" s="12" t="s">
        <v>158</v>
      </c>
      <c r="C20" s="13"/>
      <c r="D20" s="13"/>
      <c r="E20" s="13">
        <v>44782.423611111109</v>
      </c>
      <c r="F20">
        <v>0.1</v>
      </c>
      <c r="G20" s="159"/>
      <c r="H20" s="54" t="s">
        <v>919</v>
      </c>
      <c r="I20" s="54" t="s">
        <v>333</v>
      </c>
      <c r="J20" s="13">
        <v>44782.493055555555</v>
      </c>
      <c r="K20" s="32"/>
      <c r="L20" s="14">
        <f t="shared" si="0"/>
        <v>6.9444444445252884E-2</v>
      </c>
      <c r="M20" s="31">
        <f>L20*F20</f>
        <v>6.9444444445252891E-3</v>
      </c>
      <c r="N20" s="15" t="str">
        <f>IF(Table2683258[[#This Row],[Fault Type]]="PM",IF(L20&lt;=(D20-C20),"Yes","No"),"")</f>
        <v/>
      </c>
      <c r="O20" s="16" t="str">
        <f t="shared" si="2"/>
        <v/>
      </c>
      <c r="P2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0" s="17"/>
    </row>
    <row r="21" spans="1:17" ht="15.5" x14ac:dyDescent="0.35">
      <c r="A21" s="4" t="s">
        <v>100</v>
      </c>
      <c r="B21" s="12" t="s">
        <v>158</v>
      </c>
      <c r="C21" s="13"/>
      <c r="D21" s="13"/>
      <c r="E21" s="13">
        <v>44782.46875</v>
      </c>
      <c r="F21" s="18">
        <v>4</v>
      </c>
      <c r="G21" s="159"/>
      <c r="H21" s="18" t="s">
        <v>919</v>
      </c>
      <c r="I21" s="18" t="s">
        <v>333</v>
      </c>
      <c r="J21" s="13">
        <v>44782.493055555555</v>
      </c>
      <c r="K21" s="32"/>
      <c r="L21" s="14">
        <f t="shared" si="0"/>
        <v>2.4305555554747116E-2</v>
      </c>
      <c r="M21" s="31">
        <f>L21*F21</f>
        <v>9.7222222218988463E-2</v>
      </c>
      <c r="N21" s="15" t="str">
        <f>IF(Table2683258[[#This Row],[Fault Type]]="PM",IF(L21&lt;=(D21-C21),"Yes","No"),"")</f>
        <v/>
      </c>
      <c r="O21" s="16" t="str">
        <f t="shared" si="2"/>
        <v/>
      </c>
      <c r="P2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1" s="17"/>
    </row>
    <row r="22" spans="1:17" ht="15.5" x14ac:dyDescent="0.35">
      <c r="A22" s="4" t="s">
        <v>97</v>
      </c>
      <c r="B22" s="12" t="s">
        <v>150</v>
      </c>
      <c r="C22" s="13"/>
      <c r="D22" s="13"/>
      <c r="E22" s="13">
        <v>44782.434027777781</v>
      </c>
      <c r="F22" s="18">
        <v>2.6</v>
      </c>
      <c r="G22" s="159" t="s">
        <v>164</v>
      </c>
      <c r="H22" s="18" t="s">
        <v>920</v>
      </c>
      <c r="I22" s="18" t="s">
        <v>333</v>
      </c>
      <c r="J22" s="13">
        <v>44782.7</v>
      </c>
      <c r="K22" s="32"/>
      <c r="L22" s="14">
        <f t="shared" si="0"/>
        <v>0.26597222221607808</v>
      </c>
      <c r="M22" s="31">
        <f>L22*F22</f>
        <v>0.69152777776180308</v>
      </c>
      <c r="N22" s="15" t="str">
        <f>IF(Table2683258[[#This Row],[Fault Type]]="PM",IF(L22&lt;=(D22-C22),"Yes","No"),"")</f>
        <v/>
      </c>
      <c r="O22" s="16" t="str">
        <f t="shared" si="2"/>
        <v/>
      </c>
      <c r="P2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22" s="17"/>
    </row>
    <row r="23" spans="1:17" ht="15.5" x14ac:dyDescent="0.35">
      <c r="A23" s="4" t="s">
        <v>17</v>
      </c>
      <c r="B23" s="12" t="s">
        <v>150</v>
      </c>
      <c r="C23" s="13"/>
      <c r="D23" s="13"/>
      <c r="E23" s="13">
        <v>44782.453472222223</v>
      </c>
      <c r="F23" s="18">
        <v>15</v>
      </c>
      <c r="G23" s="159" t="s">
        <v>162</v>
      </c>
      <c r="H23" s="18" t="s">
        <v>526</v>
      </c>
      <c r="I23" s="18" t="s">
        <v>526</v>
      </c>
      <c r="J23" s="13">
        <v>44782.455555555556</v>
      </c>
      <c r="K23" s="32"/>
      <c r="L23" s="14">
        <f t="shared" si="0"/>
        <v>2.0833333328482695E-3</v>
      </c>
      <c r="M23" s="31">
        <f t="shared" ref="M23:M78" si="3">L23*F23</f>
        <v>3.1249999992724042E-2</v>
      </c>
      <c r="N23" s="15" t="str">
        <f>IF(Table2683258[[#This Row],[Fault Type]]="PM",IF(L23&lt;=(D23-C23),"Yes","No"),"")</f>
        <v/>
      </c>
      <c r="O23" s="16" t="str">
        <f t="shared" si="2"/>
        <v/>
      </c>
      <c r="P2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3" s="17"/>
    </row>
    <row r="24" spans="1:17" ht="15.5" x14ac:dyDescent="0.35">
      <c r="A24" s="4" t="s">
        <v>308</v>
      </c>
      <c r="B24" s="12" t="s">
        <v>150</v>
      </c>
      <c r="C24" s="13"/>
      <c r="D24" s="13"/>
      <c r="E24" s="13">
        <v>44782.520833333336</v>
      </c>
      <c r="F24" s="18">
        <v>0.7</v>
      </c>
      <c r="G24" s="159" t="s">
        <v>164</v>
      </c>
      <c r="H24" s="18" t="s">
        <v>921</v>
      </c>
      <c r="I24" s="18" t="s">
        <v>334</v>
      </c>
      <c r="J24" s="13">
        <v>44782.875694444447</v>
      </c>
      <c r="K24" s="32"/>
      <c r="L24" s="14">
        <f t="shared" si="0"/>
        <v>0.35486111111094942</v>
      </c>
      <c r="M24" s="31">
        <f t="shared" si="3"/>
        <v>0.24840277777766459</v>
      </c>
      <c r="N24" s="15" t="str">
        <f>IF(Table2683258[[#This Row],[Fault Type]]="PM",IF(L24&lt;=(D24-C24),"Yes","No"),"")</f>
        <v/>
      </c>
      <c r="O24" s="16" t="str">
        <f t="shared" si="2"/>
        <v/>
      </c>
      <c r="P2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24" s="17"/>
    </row>
    <row r="25" spans="1:17" ht="15.5" x14ac:dyDescent="0.35">
      <c r="A25" s="4" t="s">
        <v>371</v>
      </c>
      <c r="B25" s="12" t="s">
        <v>150</v>
      </c>
      <c r="C25" s="13"/>
      <c r="D25" s="13"/>
      <c r="E25" s="13">
        <v>44782.525694444441</v>
      </c>
      <c r="F25" s="18">
        <v>0.5</v>
      </c>
      <c r="G25" s="159" t="s">
        <v>163</v>
      </c>
      <c r="H25" s="18" t="s">
        <v>922</v>
      </c>
      <c r="I25" s="18" t="s">
        <v>333</v>
      </c>
      <c r="J25" s="13">
        <v>44782.767361111109</v>
      </c>
      <c r="K25" s="32"/>
      <c r="L25" s="14">
        <f t="shared" si="0"/>
        <v>0.24166666666860692</v>
      </c>
      <c r="M25" s="31">
        <f t="shared" si="3"/>
        <v>0.12083333333430346</v>
      </c>
      <c r="N25" s="15" t="str">
        <f>IF(Table2683258[[#This Row],[Fault Type]]="PM",IF(L25&lt;=(D25-C25),"Yes","No"),"")</f>
        <v/>
      </c>
      <c r="O25" s="16" t="str">
        <f t="shared" si="2"/>
        <v/>
      </c>
      <c r="P2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5" s="17"/>
    </row>
    <row r="26" spans="1:17" ht="15.5" x14ac:dyDescent="0.35">
      <c r="A26" s="4" t="s">
        <v>99</v>
      </c>
      <c r="B26" s="12" t="s">
        <v>158</v>
      </c>
      <c r="C26" s="13"/>
      <c r="D26" s="13"/>
      <c r="E26" s="13">
        <v>44782.553472222222</v>
      </c>
      <c r="F26" s="12"/>
      <c r="G26" s="159"/>
      <c r="H26" s="12" t="s">
        <v>923</v>
      </c>
      <c r="I26" s="12" t="s">
        <v>334</v>
      </c>
      <c r="J26" s="13">
        <v>44782.782638888886</v>
      </c>
      <c r="K26" s="32"/>
      <c r="L26" s="14">
        <f t="shared" si="0"/>
        <v>0.22916666666424135</v>
      </c>
      <c r="M26" s="31">
        <f t="shared" si="3"/>
        <v>0</v>
      </c>
      <c r="N26" s="15" t="str">
        <f>IF(Table2683258[[#This Row],[Fault Type]]="PM",IF(L26&lt;=(D26-C26),"Yes","No"),"")</f>
        <v/>
      </c>
      <c r="O26" s="16" t="str">
        <f t="shared" si="2"/>
        <v/>
      </c>
      <c r="P2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26" s="17"/>
    </row>
    <row r="27" spans="1:17" ht="15.5" x14ac:dyDescent="0.35">
      <c r="A27" s="4" t="s">
        <v>45</v>
      </c>
      <c r="B27" s="12" t="s">
        <v>150</v>
      </c>
      <c r="C27" s="13"/>
      <c r="D27" s="13"/>
      <c r="E27" s="13">
        <v>44782.584722222222</v>
      </c>
      <c r="F27" s="18">
        <v>3.2</v>
      </c>
      <c r="G27" s="159" t="s">
        <v>164</v>
      </c>
      <c r="H27" s="18" t="s">
        <v>924</v>
      </c>
      <c r="I27" s="18" t="s">
        <v>334</v>
      </c>
      <c r="J27" s="13">
        <v>44782.763888888891</v>
      </c>
      <c r="K27" s="32"/>
      <c r="L27" s="14">
        <f t="shared" si="0"/>
        <v>0.17916666666860692</v>
      </c>
      <c r="M27" s="31">
        <f t="shared" si="3"/>
        <v>0.57333333333954217</v>
      </c>
      <c r="N27" s="15" t="str">
        <f>IF(Table2683258[[#This Row],[Fault Type]]="PM",IF(L27&lt;=(D27-C27),"Yes","No"),"")</f>
        <v/>
      </c>
      <c r="O27" s="16" t="str">
        <f t="shared" si="2"/>
        <v/>
      </c>
      <c r="P2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7" s="17"/>
    </row>
    <row r="28" spans="1:17" ht="15.5" x14ac:dyDescent="0.35">
      <c r="A28" s="4" t="s">
        <v>25</v>
      </c>
      <c r="B28" s="12" t="s">
        <v>150</v>
      </c>
      <c r="C28" s="13"/>
      <c r="D28" s="13"/>
      <c r="E28" s="13">
        <v>44782.604166666664</v>
      </c>
      <c r="F28" s="18">
        <v>4.0999999999999996</v>
      </c>
      <c r="G28" s="159" t="s">
        <v>163</v>
      </c>
      <c r="H28" s="18" t="s">
        <v>665</v>
      </c>
      <c r="I28" s="18" t="s">
        <v>334</v>
      </c>
      <c r="J28" s="13">
        <v>44782.748611111114</v>
      </c>
      <c r="K28" s="32"/>
      <c r="L28" s="14">
        <f t="shared" si="0"/>
        <v>0.14444444444961846</v>
      </c>
      <c r="M28" s="31">
        <f t="shared" si="3"/>
        <v>0.59222222224343568</v>
      </c>
      <c r="N28" s="15" t="str">
        <f>IF(Table2683258[[#This Row],[Fault Type]]="PM",IF(L28&lt;=(D28-C28),"Yes","No"),"")</f>
        <v/>
      </c>
      <c r="O28" s="16" t="str">
        <f t="shared" si="2"/>
        <v/>
      </c>
      <c r="P2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8" s="17"/>
    </row>
    <row r="29" spans="1:17" ht="15.5" x14ac:dyDescent="0.35">
      <c r="A29" s="4" t="s">
        <v>37</v>
      </c>
      <c r="B29" s="12" t="s">
        <v>150</v>
      </c>
      <c r="C29" s="13"/>
      <c r="D29" s="13"/>
      <c r="E29" s="13">
        <v>44782.645833333336</v>
      </c>
      <c r="F29" s="12">
        <v>11.6</v>
      </c>
      <c r="G29" s="159" t="s">
        <v>164</v>
      </c>
      <c r="H29" s="12" t="s">
        <v>925</v>
      </c>
      <c r="I29" s="12" t="s">
        <v>334</v>
      </c>
      <c r="J29" s="13">
        <v>44782.651388888888</v>
      </c>
      <c r="K29" s="32"/>
      <c r="L29" s="14">
        <f t="shared" si="0"/>
        <v>5.5555555518367328E-3</v>
      </c>
      <c r="M29" s="31">
        <f t="shared" si="3"/>
        <v>6.4444444401306103E-2</v>
      </c>
      <c r="N29" s="15" t="str">
        <f>IF(Table2683258[[#This Row],[Fault Type]]="PM",IF(L29&lt;=(D29-C29),"Yes","No"),"")</f>
        <v/>
      </c>
      <c r="O29" s="16" t="str">
        <f t="shared" si="2"/>
        <v/>
      </c>
      <c r="P2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29" s="17"/>
    </row>
    <row r="30" spans="1:17" ht="15.5" x14ac:dyDescent="0.35">
      <c r="A30" s="4" t="s">
        <v>27</v>
      </c>
      <c r="B30" s="12" t="s">
        <v>150</v>
      </c>
      <c r="C30" s="13"/>
      <c r="D30" s="13"/>
      <c r="E30" s="13">
        <v>44782.644444444442</v>
      </c>
      <c r="F30" s="18">
        <v>2</v>
      </c>
      <c r="G30" s="159" t="s">
        <v>164</v>
      </c>
      <c r="H30" s="18" t="s">
        <v>926</v>
      </c>
      <c r="I30" s="18" t="s">
        <v>334</v>
      </c>
      <c r="J30" s="13">
        <v>44783.595833333333</v>
      </c>
      <c r="K30" s="32"/>
      <c r="L30" s="14">
        <f t="shared" si="0"/>
        <v>0.95138888889050577</v>
      </c>
      <c r="M30" s="31">
        <f t="shared" si="3"/>
        <v>1.9027777777810115</v>
      </c>
      <c r="N30" s="15" t="str">
        <f>IF(Table2683258[[#This Row],[Fault Type]]="PM",IF(L30&lt;=(D30-C30),"Yes","No"),"")</f>
        <v/>
      </c>
      <c r="O30" s="16" t="str">
        <f t="shared" si="2"/>
        <v/>
      </c>
      <c r="P3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30" s="17"/>
    </row>
    <row r="31" spans="1:17" ht="15.5" x14ac:dyDescent="0.35">
      <c r="A31" s="4" t="s">
        <v>30</v>
      </c>
      <c r="B31" s="12" t="s">
        <v>150</v>
      </c>
      <c r="C31" s="13"/>
      <c r="D31" s="13"/>
      <c r="E31" s="13">
        <v>44782.708333333336</v>
      </c>
      <c r="F31" s="18">
        <v>9.5</v>
      </c>
      <c r="G31" s="159" t="s">
        <v>162</v>
      </c>
      <c r="H31" s="18" t="s">
        <v>526</v>
      </c>
      <c r="I31" s="18" t="s">
        <v>526</v>
      </c>
      <c r="J31" s="13">
        <v>44782.716666666667</v>
      </c>
      <c r="K31" s="32"/>
      <c r="L31" s="14">
        <f t="shared" si="0"/>
        <v>8.333333331393078E-3</v>
      </c>
      <c r="M31" s="31">
        <f t="shared" si="3"/>
        <v>7.9166666648234241E-2</v>
      </c>
      <c r="N31" s="15" t="str">
        <f>IF(Table2683258[[#This Row],[Fault Type]]="PM",IF(L31&lt;=(D31-C31),"Yes","No"),"")</f>
        <v/>
      </c>
      <c r="O31" s="16" t="str">
        <f t="shared" si="2"/>
        <v/>
      </c>
      <c r="P3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31" s="17"/>
    </row>
    <row r="32" spans="1:17" ht="15.5" x14ac:dyDescent="0.35">
      <c r="A32" s="4" t="s">
        <v>101</v>
      </c>
      <c r="B32" s="12" t="s">
        <v>150</v>
      </c>
      <c r="C32" s="13"/>
      <c r="D32" s="13"/>
      <c r="E32" s="13">
        <v>44782.720138888886</v>
      </c>
      <c r="F32" s="18"/>
      <c r="G32" s="159" t="s">
        <v>163</v>
      </c>
      <c r="H32" s="18" t="s">
        <v>927</v>
      </c>
      <c r="I32" s="18" t="s">
        <v>334</v>
      </c>
      <c r="J32" s="13">
        <v>44783.78125</v>
      </c>
      <c r="K32" s="32"/>
      <c r="L32" s="14">
        <f t="shared" si="0"/>
        <v>1.0611111111138598</v>
      </c>
      <c r="M32" s="31">
        <f t="shared" si="3"/>
        <v>0</v>
      </c>
      <c r="N32" s="15" t="str">
        <f>IF(Table2683258[[#This Row],[Fault Type]]="PM",IF(L32&lt;=(D32-C32),"Yes","No"),"")</f>
        <v/>
      </c>
      <c r="O32" s="16" t="str">
        <f t="shared" si="2"/>
        <v/>
      </c>
      <c r="P3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32" s="17"/>
    </row>
    <row r="33" spans="1:17" ht="15.5" x14ac:dyDescent="0.35">
      <c r="A33" s="4" t="s">
        <v>179</v>
      </c>
      <c r="B33" s="12" t="s">
        <v>158</v>
      </c>
      <c r="C33" s="13"/>
      <c r="D33" s="13"/>
      <c r="E33" s="13">
        <v>44782.817361111112</v>
      </c>
      <c r="F33" s="18">
        <v>5.5</v>
      </c>
      <c r="G33" s="159"/>
      <c r="H33" s="18" t="s">
        <v>928</v>
      </c>
      <c r="I33" s="18" t="s">
        <v>334</v>
      </c>
      <c r="J33" s="13">
        <v>44782.835416666669</v>
      </c>
      <c r="K33" s="32"/>
      <c r="L33" s="14">
        <f t="shared" si="0"/>
        <v>1.8055555556202307E-2</v>
      </c>
      <c r="M33" s="31">
        <f t="shared" si="3"/>
        <v>9.930555555911269E-2</v>
      </c>
      <c r="N33" s="15" t="str">
        <f>IF(Table2683258[[#This Row],[Fault Type]]="PM",IF(L33&lt;=(D33-C33),"Yes","No"),"")</f>
        <v/>
      </c>
      <c r="O33" s="16" t="str">
        <f t="shared" si="2"/>
        <v/>
      </c>
      <c r="P3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33" s="17"/>
    </row>
    <row r="34" spans="1:17" ht="15.5" x14ac:dyDescent="0.35">
      <c r="A34" s="4" t="s">
        <v>74</v>
      </c>
      <c r="B34" s="12" t="s">
        <v>150</v>
      </c>
      <c r="C34" s="13"/>
      <c r="D34" s="13"/>
      <c r="E34" s="13">
        <v>44782.847222222219</v>
      </c>
      <c r="F34" s="18">
        <v>1.6</v>
      </c>
      <c r="G34" s="159" t="s">
        <v>162</v>
      </c>
      <c r="H34" s="18" t="s">
        <v>526</v>
      </c>
      <c r="I34" s="18" t="s">
        <v>526</v>
      </c>
      <c r="J34" s="13">
        <v>44782.866666666669</v>
      </c>
      <c r="K34" s="32"/>
      <c r="L34" s="14">
        <f t="shared" si="0"/>
        <v>1.9444444449618459E-2</v>
      </c>
      <c r="M34" s="31">
        <f t="shared" si="3"/>
        <v>3.1111111119389537E-2</v>
      </c>
      <c r="N34" s="15" t="str">
        <f>IF(Table2683258[[#This Row],[Fault Type]]="PM",IF(L34&lt;=(D34-C34),"Yes","No"),"")</f>
        <v/>
      </c>
      <c r="O34" s="16" t="str">
        <f t="shared" si="2"/>
        <v/>
      </c>
      <c r="P3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34" s="17"/>
    </row>
    <row r="35" spans="1:17" ht="15.5" x14ac:dyDescent="0.35">
      <c r="A35" s="4" t="s">
        <v>371</v>
      </c>
      <c r="B35" s="12" t="s">
        <v>150</v>
      </c>
      <c r="C35" s="13"/>
      <c r="D35" s="13"/>
      <c r="E35" s="13">
        <v>44782.854166666664</v>
      </c>
      <c r="F35" s="18">
        <v>3</v>
      </c>
      <c r="G35" s="159" t="s">
        <v>164</v>
      </c>
      <c r="H35" s="18" t="s">
        <v>929</v>
      </c>
      <c r="I35" s="18" t="s">
        <v>334</v>
      </c>
      <c r="J35" s="13">
        <v>44783.40625</v>
      </c>
      <c r="K35" s="32"/>
      <c r="L35" s="14">
        <f t="shared" si="0"/>
        <v>0.55208333333575865</v>
      </c>
      <c r="M35" s="31">
        <f t="shared" si="3"/>
        <v>1.656250000007276</v>
      </c>
      <c r="N35" s="15" t="str">
        <f>IF(Table2683258[[#This Row],[Fault Type]]="PM",IF(L35&lt;=(D35-C35),"Yes","No"),"")</f>
        <v/>
      </c>
      <c r="O35" s="16" t="str">
        <f t="shared" si="2"/>
        <v/>
      </c>
      <c r="P3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No</v>
      </c>
      <c r="Q35" s="17"/>
    </row>
    <row r="36" spans="1:17" ht="15.5" x14ac:dyDescent="0.35">
      <c r="A36" s="4" t="s">
        <v>36</v>
      </c>
      <c r="B36" s="12" t="s">
        <v>150</v>
      </c>
      <c r="C36" s="13"/>
      <c r="D36" s="13"/>
      <c r="E36" s="13">
        <v>44782.881249999999</v>
      </c>
      <c r="F36" s="18">
        <v>3.2</v>
      </c>
      <c r="G36" s="159" t="s">
        <v>163</v>
      </c>
      <c r="H36" s="18" t="s">
        <v>710</v>
      </c>
      <c r="I36" s="18" t="s">
        <v>334</v>
      </c>
      <c r="J36" s="13">
        <v>44782.956250000003</v>
      </c>
      <c r="K36" s="32"/>
      <c r="L36" s="14">
        <f t="shared" si="0"/>
        <v>7.5000000004365575E-2</v>
      </c>
      <c r="M36" s="31">
        <f t="shared" si="3"/>
        <v>0.24000000001396984</v>
      </c>
      <c r="N36" s="15" t="str">
        <f>IF(Table2683258[[#This Row],[Fault Type]]="PM",IF(L36&lt;=(D36-C36),"Yes","No"),"")</f>
        <v/>
      </c>
      <c r="O36" s="16" t="str">
        <f t="shared" si="2"/>
        <v/>
      </c>
      <c r="P3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Yes</v>
      </c>
      <c r="Q36" s="17"/>
    </row>
    <row r="37" spans="1:17" ht="15.5" x14ac:dyDescent="0.35">
      <c r="A37" s="4"/>
      <c r="B37" s="12"/>
      <c r="C37" s="13"/>
      <c r="D37" s="13"/>
      <c r="E37" s="13"/>
      <c r="F37" s="18"/>
      <c r="G37" s="159"/>
      <c r="H37" s="18"/>
      <c r="I37" s="18"/>
      <c r="J37" s="13"/>
      <c r="K37" s="32"/>
      <c r="L37" s="14">
        <f t="shared" si="0"/>
        <v>0</v>
      </c>
      <c r="M37" s="31">
        <f t="shared" si="3"/>
        <v>0</v>
      </c>
      <c r="N37" s="15" t="str">
        <f>IF(Table2683258[[#This Row],[Fault Type]]="PM",IF(L37&lt;=(D37-C37),"Yes","No"),"")</f>
        <v/>
      </c>
      <c r="O37" s="16" t="str">
        <f t="shared" si="2"/>
        <v/>
      </c>
      <c r="P3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37" s="17"/>
    </row>
    <row r="38" spans="1:17" ht="15.5" x14ac:dyDescent="0.35">
      <c r="A38" s="4"/>
      <c r="B38" s="12"/>
      <c r="C38" s="13"/>
      <c r="D38" s="13"/>
      <c r="E38" s="13"/>
      <c r="F38" s="18"/>
      <c r="G38" s="159"/>
      <c r="H38" s="18"/>
      <c r="I38" s="18"/>
      <c r="J38" s="13"/>
      <c r="K38" s="32"/>
      <c r="L38" s="14">
        <f t="shared" si="0"/>
        <v>0</v>
      </c>
      <c r="M38" s="31">
        <f t="shared" si="3"/>
        <v>0</v>
      </c>
      <c r="N38" s="15" t="str">
        <f>IF(Table2683258[[#This Row],[Fault Type]]="PM",IF(L38&lt;=(D38-C38),"Yes","No"),"")</f>
        <v/>
      </c>
      <c r="O38" s="16" t="str">
        <f t="shared" si="2"/>
        <v/>
      </c>
      <c r="P3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38" s="17"/>
    </row>
    <row r="39" spans="1:17" ht="15.5" x14ac:dyDescent="0.35">
      <c r="A39" s="4"/>
      <c r="B39" s="12"/>
      <c r="C39" s="13"/>
      <c r="D39" s="13"/>
      <c r="E39" s="13"/>
      <c r="F39" s="18"/>
      <c r="G39" s="159"/>
      <c r="H39" s="18"/>
      <c r="I39" s="18"/>
      <c r="J39" s="13"/>
      <c r="K39" s="32"/>
      <c r="L39" s="14">
        <f t="shared" si="0"/>
        <v>0</v>
      </c>
      <c r="M39" s="31">
        <f t="shared" si="3"/>
        <v>0</v>
      </c>
      <c r="N39" s="15" t="str">
        <f>IF(Table2683258[[#This Row],[Fault Type]]="PM",IF(L39&lt;=(D39-C39),"Yes","No"),"")</f>
        <v/>
      </c>
      <c r="O39" s="16" t="str">
        <f t="shared" si="2"/>
        <v/>
      </c>
      <c r="P3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IF(Table2683258[[#This Row],[Fault Type]]="PM",IF(L40&lt;=(D40-C40),"Yes","No"),"")</f>
        <v/>
      </c>
      <c r="O40" s="16" t="str">
        <f t="shared" si="2"/>
        <v/>
      </c>
      <c r="P4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IF(Table2683258[[#This Row],[Fault Type]]="PM",IF(L41&lt;=(D41-C41),"Yes","No"),"")</f>
        <v/>
      </c>
      <c r="O41" s="16" t="str">
        <f t="shared" si="2"/>
        <v/>
      </c>
      <c r="P4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1" s="17"/>
    </row>
    <row r="42" spans="1:17" ht="15.5" x14ac:dyDescent="0.35">
      <c r="A42" s="4"/>
      <c r="B42" s="12"/>
      <c r="C42" s="13"/>
      <c r="D42" s="13"/>
      <c r="E42" s="13"/>
      <c r="F42" s="18"/>
      <c r="G42" s="159"/>
      <c r="H42" s="18"/>
      <c r="I42" s="18"/>
      <c r="J42" s="13"/>
      <c r="K42" s="32"/>
      <c r="L42" s="14">
        <f t="shared" si="0"/>
        <v>0</v>
      </c>
      <c r="M42" s="31">
        <f t="shared" si="3"/>
        <v>0</v>
      </c>
      <c r="N42" s="15" t="str">
        <f>IF(Table2683258[[#This Row],[Fault Type]]="PM",IF(L42&lt;=(D42-C42),"Yes","No"),"")</f>
        <v/>
      </c>
      <c r="O42" s="16" t="str">
        <f t="shared" si="2"/>
        <v/>
      </c>
      <c r="P4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2" s="17"/>
    </row>
    <row r="43" spans="1:17" ht="15.5" x14ac:dyDescent="0.35">
      <c r="A43" s="4"/>
      <c r="B43" s="12"/>
      <c r="C43" s="13"/>
      <c r="D43" s="13"/>
      <c r="E43" s="13"/>
      <c r="F43" s="18"/>
      <c r="G43" s="159"/>
      <c r="H43" s="18"/>
      <c r="I43" s="18"/>
      <c r="J43" s="13"/>
      <c r="K43" s="32"/>
      <c r="L43" s="14">
        <f t="shared" si="0"/>
        <v>0</v>
      </c>
      <c r="M43" s="31">
        <f t="shared" si="3"/>
        <v>0</v>
      </c>
      <c r="N43" s="15" t="str">
        <f>IF(Table2683258[[#This Row],[Fault Type]]="PM",IF(L43&lt;=(D43-C43),"Yes","No"),"")</f>
        <v/>
      </c>
      <c r="O43" s="16" t="str">
        <f t="shared" si="2"/>
        <v/>
      </c>
      <c r="P4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3" s="17"/>
    </row>
    <row r="44" spans="1:17" ht="15.5" x14ac:dyDescent="0.35">
      <c r="A44" s="4"/>
      <c r="B44" s="12"/>
      <c r="C44" s="13"/>
      <c r="D44" s="13"/>
      <c r="E44" s="13"/>
      <c r="F44" s="18"/>
      <c r="G44" s="159"/>
      <c r="H44" s="18"/>
      <c r="I44" s="18"/>
      <c r="J44" s="13"/>
      <c r="K44" s="32"/>
      <c r="L44" s="14">
        <f t="shared" si="0"/>
        <v>0</v>
      </c>
      <c r="M44" s="31">
        <f t="shared" si="3"/>
        <v>0</v>
      </c>
      <c r="N44" s="15" t="str">
        <f>IF(Table2683258[[#This Row],[Fault Type]]="PM",IF(L44&lt;=(D44-C44),"Yes","No"),"")</f>
        <v/>
      </c>
      <c r="O44" s="16" t="str">
        <f t="shared" si="2"/>
        <v/>
      </c>
      <c r="P4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4" s="17"/>
    </row>
    <row r="45" spans="1:17" ht="15.75" customHeight="1" x14ac:dyDescent="0.35">
      <c r="A45" s="4"/>
      <c r="B45" s="12"/>
      <c r="C45" s="13"/>
      <c r="D45" s="13"/>
      <c r="E45" s="13"/>
      <c r="F45" s="12"/>
      <c r="G45" s="159"/>
      <c r="H45" s="12"/>
      <c r="I45" s="12"/>
      <c r="J45" s="13"/>
      <c r="K45" s="32"/>
      <c r="L45" s="14">
        <f t="shared" si="0"/>
        <v>0</v>
      </c>
      <c r="M45" s="31">
        <f t="shared" si="3"/>
        <v>0</v>
      </c>
      <c r="N45" s="15" t="str">
        <f>IF(Table2683258[[#This Row],[Fault Type]]="PM",IF(L45&lt;=(D45-C45),"Yes","No"),"")</f>
        <v/>
      </c>
      <c r="O45" s="16" t="str">
        <f t="shared" si="2"/>
        <v/>
      </c>
      <c r="P4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5" s="17"/>
    </row>
    <row r="46" spans="1:17" ht="15.5" x14ac:dyDescent="0.35">
      <c r="A46" s="4"/>
      <c r="B46" s="12"/>
      <c r="C46" s="13"/>
      <c r="D46" s="13"/>
      <c r="E46" s="13"/>
      <c r="F46" s="18"/>
      <c r="G46" s="159"/>
      <c r="H46" s="18"/>
      <c r="I46" s="18"/>
      <c r="J46" s="13"/>
      <c r="K46" s="32"/>
      <c r="L46" s="14">
        <f t="shared" si="0"/>
        <v>0</v>
      </c>
      <c r="M46" s="31">
        <f t="shared" si="3"/>
        <v>0</v>
      </c>
      <c r="N46" s="15" t="str">
        <f>IF(Table2683258[[#This Row],[Fault Type]]="PM",IF(L46&lt;=(D46-C46),"Yes","No"),"")</f>
        <v/>
      </c>
      <c r="O46" s="16" t="str">
        <f t="shared" si="2"/>
        <v/>
      </c>
      <c r="P4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6" s="17"/>
    </row>
    <row r="47" spans="1:17" ht="15.5" x14ac:dyDescent="0.35">
      <c r="A47" s="58"/>
      <c r="B47" s="55"/>
      <c r="C47" s="56"/>
      <c r="D47" s="56"/>
      <c r="E47" s="13"/>
      <c r="F47" s="55"/>
      <c r="G47" s="159"/>
      <c r="H47" s="57"/>
      <c r="I47" s="18"/>
      <c r="J47" s="13"/>
      <c r="K47" s="32"/>
      <c r="L47" s="14">
        <f t="shared" si="0"/>
        <v>0</v>
      </c>
      <c r="M47" s="59">
        <f t="shared" si="3"/>
        <v>0</v>
      </c>
      <c r="N47" s="61" t="str">
        <f>IF(Table2683258[[#This Row],[Fault Type]]="PM",IF(L47&lt;=(D47-C47),"Yes","No"),"")</f>
        <v/>
      </c>
      <c r="O47" s="62" t="str">
        <f t="shared" si="2"/>
        <v/>
      </c>
      <c r="P4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7" s="17"/>
    </row>
    <row r="48" spans="1:17" ht="15.5" x14ac:dyDescent="0.35">
      <c r="A48" s="58"/>
      <c r="B48" s="55"/>
      <c r="C48" s="56"/>
      <c r="D48" s="56"/>
      <c r="E48" s="13"/>
      <c r="F48" s="55"/>
      <c r="G48" s="159"/>
      <c r="H48" s="57"/>
      <c r="I48" s="18"/>
      <c r="J48" s="13"/>
      <c r="K48" s="32"/>
      <c r="L48" s="14">
        <f t="shared" si="0"/>
        <v>0</v>
      </c>
      <c r="M48" s="59">
        <f t="shared" si="3"/>
        <v>0</v>
      </c>
      <c r="N48" s="61" t="str">
        <f>IF(Table2683258[[#This Row],[Fault Type]]="PM",IF(L48&lt;=(D48-C48),"Yes","No"),"")</f>
        <v/>
      </c>
      <c r="O48" s="62" t="str">
        <f t="shared" si="2"/>
        <v/>
      </c>
      <c r="P4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8" s="17"/>
    </row>
    <row r="49" spans="1:17" ht="15.5" x14ac:dyDescent="0.35">
      <c r="A49" s="58"/>
      <c r="B49" s="55"/>
      <c r="C49" s="56"/>
      <c r="D49" s="56"/>
      <c r="E49" s="13"/>
      <c r="F49" s="55"/>
      <c r="G49" s="159"/>
      <c r="H49" s="57"/>
      <c r="I49" s="18"/>
      <c r="J49" s="13"/>
      <c r="K49" s="32"/>
      <c r="L49" s="14">
        <f t="shared" si="0"/>
        <v>0</v>
      </c>
      <c r="M49" s="59">
        <f t="shared" si="3"/>
        <v>0</v>
      </c>
      <c r="N49" s="61" t="str">
        <f>IF(Table2683258[[#This Row],[Fault Type]]="PM",IF(L49&lt;=(D49-C49),"Yes","No"),"")</f>
        <v/>
      </c>
      <c r="O49" s="62" t="str">
        <f t="shared" si="2"/>
        <v/>
      </c>
      <c r="P4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49" s="17"/>
    </row>
    <row r="50" spans="1:17" ht="15.5" x14ac:dyDescent="0.35">
      <c r="A50" s="58"/>
      <c r="B50" s="55"/>
      <c r="C50" s="56"/>
      <c r="D50" s="56"/>
      <c r="E50" s="13"/>
      <c r="F50" s="55"/>
      <c r="G50" s="159"/>
      <c r="H50" s="57"/>
      <c r="I50" s="18"/>
      <c r="J50" s="13"/>
      <c r="K50" s="83"/>
      <c r="L50" s="14">
        <f t="shared" si="0"/>
        <v>0</v>
      </c>
      <c r="M50" s="59">
        <f t="shared" si="3"/>
        <v>0</v>
      </c>
      <c r="N50" s="61" t="str">
        <f>IF(Table2683258[[#This Row],[Fault Type]]="PM",IF(L50&lt;=(D50-C50),"Yes","No"),"")</f>
        <v/>
      </c>
      <c r="O50" s="62" t="str">
        <f t="shared" si="2"/>
        <v/>
      </c>
      <c r="P5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0" s="63"/>
    </row>
    <row r="51" spans="1:17" ht="15.5" x14ac:dyDescent="0.35">
      <c r="A51" s="58"/>
      <c r="B51" s="55"/>
      <c r="C51" s="56"/>
      <c r="D51" s="56"/>
      <c r="E51" s="13"/>
      <c r="F51" s="55"/>
      <c r="G51" s="159"/>
      <c r="H51" s="57"/>
      <c r="I51" s="18"/>
      <c r="J51" s="13"/>
      <c r="K51" s="83"/>
      <c r="L51" s="14">
        <f t="shared" si="0"/>
        <v>0</v>
      </c>
      <c r="M51" s="59">
        <f t="shared" si="3"/>
        <v>0</v>
      </c>
      <c r="N51" s="61" t="str">
        <f>IF(Table2683258[[#This Row],[Fault Type]]="PM",IF(L51&lt;=(D51-C51),"Yes","No"),"")</f>
        <v/>
      </c>
      <c r="O51" s="62" t="str">
        <f t="shared" si="2"/>
        <v/>
      </c>
      <c r="P5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1" s="63"/>
    </row>
    <row r="52" spans="1:17" ht="15.5" x14ac:dyDescent="0.35">
      <c r="A52" s="58"/>
      <c r="B52" s="55"/>
      <c r="C52" s="56"/>
      <c r="D52" s="56"/>
      <c r="E52" s="13"/>
      <c r="F52" s="55"/>
      <c r="G52" s="159"/>
      <c r="H52" s="57"/>
      <c r="I52" s="18"/>
      <c r="J52" s="13"/>
      <c r="K52" s="83"/>
      <c r="L52" s="14">
        <f t="shared" si="0"/>
        <v>0</v>
      </c>
      <c r="M52" s="59">
        <f t="shared" si="3"/>
        <v>0</v>
      </c>
      <c r="N52" s="61" t="str">
        <f>IF(Table2683258[[#This Row],[Fault Type]]="PM",IF(L52&lt;=(D52-C52),"Yes","No"),"")</f>
        <v/>
      </c>
      <c r="O52" s="62" t="str">
        <f t="shared" si="2"/>
        <v/>
      </c>
      <c r="P5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2" s="63"/>
    </row>
    <row r="53" spans="1:17" ht="15.5" x14ac:dyDescent="0.35">
      <c r="A53" s="58"/>
      <c r="B53" s="55"/>
      <c r="C53" s="56"/>
      <c r="D53" s="56"/>
      <c r="E53" s="13"/>
      <c r="F53" s="55"/>
      <c r="G53" s="159"/>
      <c r="H53" s="57"/>
      <c r="I53" s="18"/>
      <c r="J53" s="13"/>
      <c r="K53" s="83"/>
      <c r="L53" s="14">
        <f t="shared" si="0"/>
        <v>0</v>
      </c>
      <c r="M53" s="59">
        <f t="shared" si="3"/>
        <v>0</v>
      </c>
      <c r="N53" s="61" t="str">
        <f>IF(Table2683258[[#This Row],[Fault Type]]="PM",IF(L53&lt;=(D53-C53),"Yes","No"),"")</f>
        <v/>
      </c>
      <c r="O53" s="62" t="str">
        <f t="shared" si="2"/>
        <v/>
      </c>
      <c r="P5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3" s="63"/>
    </row>
    <row r="54" spans="1:17" ht="15.5" x14ac:dyDescent="0.35">
      <c r="A54" s="58"/>
      <c r="B54" s="55"/>
      <c r="C54" s="56"/>
      <c r="D54" s="56"/>
      <c r="E54" s="13"/>
      <c r="F54" s="55"/>
      <c r="G54" s="159"/>
      <c r="H54" s="57"/>
      <c r="I54" s="18"/>
      <c r="J54" s="13"/>
      <c r="K54" s="83"/>
      <c r="L54" s="14">
        <f t="shared" si="0"/>
        <v>0</v>
      </c>
      <c r="M54" s="59">
        <f t="shared" si="3"/>
        <v>0</v>
      </c>
      <c r="N54" s="61" t="str">
        <f>IF(Table2683258[[#This Row],[Fault Type]]="PM",IF(L54&lt;=(D54-C54),"Yes","No"),"")</f>
        <v/>
      </c>
      <c r="O54" s="62" t="str">
        <f t="shared" si="2"/>
        <v/>
      </c>
      <c r="P5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4" s="63"/>
    </row>
    <row r="55" spans="1:17" ht="15.5" x14ac:dyDescent="0.35">
      <c r="A55" s="58"/>
      <c r="B55" s="55"/>
      <c r="C55" s="56"/>
      <c r="D55" s="56"/>
      <c r="E55" s="13"/>
      <c r="F55" s="55"/>
      <c r="G55" s="159"/>
      <c r="H55" s="57"/>
      <c r="I55" s="18"/>
      <c r="J55" s="13"/>
      <c r="K55" s="83"/>
      <c r="L55" s="14">
        <f t="shared" si="0"/>
        <v>0</v>
      </c>
      <c r="M55" s="59">
        <f t="shared" si="3"/>
        <v>0</v>
      </c>
      <c r="N55" s="61" t="str">
        <f>IF(Table2683258[[#This Row],[Fault Type]]="PM",IF(L55&lt;=(D55-C55),"Yes","No"),"")</f>
        <v/>
      </c>
      <c r="O55" s="62" t="str">
        <f t="shared" si="2"/>
        <v/>
      </c>
      <c r="P5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5" s="63"/>
    </row>
    <row r="56" spans="1:17" ht="15.5" x14ac:dyDescent="0.35">
      <c r="A56" s="58"/>
      <c r="B56" s="55"/>
      <c r="C56" s="56"/>
      <c r="D56" s="56"/>
      <c r="E56" s="13"/>
      <c r="F56" s="55"/>
      <c r="G56" s="159"/>
      <c r="H56" s="57"/>
      <c r="I56" s="18"/>
      <c r="J56" s="13"/>
      <c r="K56" s="83"/>
      <c r="L56" s="14">
        <f t="shared" si="0"/>
        <v>0</v>
      </c>
      <c r="M56" s="59">
        <f t="shared" si="3"/>
        <v>0</v>
      </c>
      <c r="N56" s="61" t="str">
        <f>IF(Table2683258[[#This Row],[Fault Type]]="PM",IF(L56&lt;=(D56-C56),"Yes","No"),"")</f>
        <v/>
      </c>
      <c r="O56" s="62" t="str">
        <f t="shared" si="2"/>
        <v/>
      </c>
      <c r="P5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61" t="str">
        <f>IF(Table2683258[[#This Row],[Fault Type]]="PM",IF(L57&lt;=(D57-C57),"Yes","No"),"")</f>
        <v/>
      </c>
      <c r="O57" s="62" t="str">
        <f t="shared" si="2"/>
        <v/>
      </c>
      <c r="P5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61" t="str">
        <f>IF(Table2683258[[#This Row],[Fault Type]]="PM",IF(L58&lt;=(D58-C58),"Yes","No"),"")</f>
        <v/>
      </c>
      <c r="O58" s="62" t="str">
        <f t="shared" si="2"/>
        <v/>
      </c>
      <c r="P5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61" t="str">
        <f>IF(Table2683258[[#This Row],[Fault Type]]="PM",IF(L59&lt;=(D59-C59),"Yes","No"),"")</f>
        <v/>
      </c>
      <c r="O59" s="62" t="str">
        <f t="shared" si="2"/>
        <v/>
      </c>
      <c r="P5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59" s="63"/>
    </row>
    <row r="60" spans="1:17" ht="15.5" x14ac:dyDescent="0.35">
      <c r="A60" s="58"/>
      <c r="B60" s="55"/>
      <c r="C60" s="56"/>
      <c r="D60" s="56"/>
      <c r="E60" s="13"/>
      <c r="F60" s="55"/>
      <c r="G60" s="159"/>
      <c r="H60" s="57"/>
      <c r="I60" s="18"/>
      <c r="J60" s="13"/>
      <c r="K60" s="83"/>
      <c r="L60" s="14">
        <f t="shared" si="0"/>
        <v>0</v>
      </c>
      <c r="M60" s="59">
        <f t="shared" si="3"/>
        <v>0</v>
      </c>
      <c r="N60" s="61" t="str">
        <f>IF(Table2683258[[#This Row],[Fault Type]]="PM",IF(L60&lt;=(D60-C60),"Yes","No"),"")</f>
        <v/>
      </c>
      <c r="O60" s="62" t="str">
        <f t="shared" si="2"/>
        <v/>
      </c>
      <c r="P6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0" s="63"/>
    </row>
    <row r="61" spans="1:17" ht="15.5" x14ac:dyDescent="0.35">
      <c r="A61" s="58"/>
      <c r="B61" s="55"/>
      <c r="C61" s="56"/>
      <c r="D61" s="56"/>
      <c r="E61" s="13"/>
      <c r="F61" s="55"/>
      <c r="G61" s="159"/>
      <c r="H61" s="57"/>
      <c r="I61" s="18"/>
      <c r="J61" s="13"/>
      <c r="K61" s="83"/>
      <c r="L61" s="14">
        <f t="shared" si="0"/>
        <v>0</v>
      </c>
      <c r="M61" s="59">
        <f t="shared" si="3"/>
        <v>0</v>
      </c>
      <c r="N61" s="61" t="str">
        <f>IF(Table2683258[[#This Row],[Fault Type]]="PM",IF(L61&lt;=(D61-C61),"Yes","No"),"")</f>
        <v/>
      </c>
      <c r="O61" s="62" t="str">
        <f t="shared" si="2"/>
        <v/>
      </c>
      <c r="P6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1" s="63"/>
    </row>
    <row r="62" spans="1:17" ht="15.5" x14ac:dyDescent="0.35">
      <c r="A62" s="58"/>
      <c r="B62" s="55"/>
      <c r="C62" s="56"/>
      <c r="D62" s="56"/>
      <c r="E62" s="13"/>
      <c r="F62" s="55"/>
      <c r="G62" s="159"/>
      <c r="H62" s="57"/>
      <c r="I62" s="18"/>
      <c r="J62" s="13"/>
      <c r="K62" s="83"/>
      <c r="L62" s="14">
        <f t="shared" si="0"/>
        <v>0</v>
      </c>
      <c r="M62" s="59">
        <f t="shared" si="3"/>
        <v>0</v>
      </c>
      <c r="N62" s="61" t="str">
        <f>IF(Table2683258[[#This Row],[Fault Type]]="PM",IF(L62&lt;=(D62-C62),"Yes","No"),"")</f>
        <v/>
      </c>
      <c r="O62" s="62" t="str">
        <f t="shared" si="2"/>
        <v/>
      </c>
      <c r="P6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2" s="63"/>
    </row>
    <row r="63" spans="1:17" ht="15.5" x14ac:dyDescent="0.35">
      <c r="A63" s="58"/>
      <c r="B63" s="55"/>
      <c r="C63" s="56"/>
      <c r="D63" s="56"/>
      <c r="E63" s="13"/>
      <c r="F63" s="55"/>
      <c r="G63" s="159"/>
      <c r="H63" s="57"/>
      <c r="I63" s="18"/>
      <c r="J63" s="13"/>
      <c r="K63" s="83"/>
      <c r="L63" s="14">
        <f t="shared" si="0"/>
        <v>0</v>
      </c>
      <c r="M63" s="59">
        <f t="shared" si="3"/>
        <v>0</v>
      </c>
      <c r="N63" s="61" t="str">
        <f>IF(Table2683258[[#This Row],[Fault Type]]="PM",IF(L63&lt;=(D63-C63),"Yes","No"),"")</f>
        <v/>
      </c>
      <c r="O63" s="62" t="str">
        <f t="shared" si="2"/>
        <v/>
      </c>
      <c r="P6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3" s="63"/>
    </row>
    <row r="64" spans="1:17" ht="15.5" x14ac:dyDescent="0.35">
      <c r="A64" s="58"/>
      <c r="B64" s="55"/>
      <c r="C64" s="56"/>
      <c r="D64" s="56"/>
      <c r="E64" s="13"/>
      <c r="F64" s="55"/>
      <c r="G64" s="159"/>
      <c r="H64" s="57"/>
      <c r="I64" s="18"/>
      <c r="J64" s="13"/>
      <c r="K64" s="83"/>
      <c r="L64" s="14">
        <f t="shared" si="0"/>
        <v>0</v>
      </c>
      <c r="M64" s="59">
        <f t="shared" si="3"/>
        <v>0</v>
      </c>
      <c r="N64" s="61" t="str">
        <f>IF(Table2683258[[#This Row],[Fault Type]]="PM",IF(L64&lt;=(D64-C64),"Yes","No"),"")</f>
        <v/>
      </c>
      <c r="O64" s="62" t="str">
        <f t="shared" si="2"/>
        <v/>
      </c>
      <c r="P6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4" s="63"/>
    </row>
    <row r="65" spans="1:17" ht="15.5" x14ac:dyDescent="0.35">
      <c r="A65" s="58"/>
      <c r="B65" s="55"/>
      <c r="C65" s="56"/>
      <c r="D65" s="56"/>
      <c r="E65" s="13"/>
      <c r="F65" s="55"/>
      <c r="G65" s="159"/>
      <c r="H65" s="57"/>
      <c r="I65" s="18"/>
      <c r="J65" s="13"/>
      <c r="K65" s="83"/>
      <c r="L65" s="14">
        <f t="shared" ref="L65:L78" si="4">J65-E65</f>
        <v>0</v>
      </c>
      <c r="M65" s="59">
        <f t="shared" si="3"/>
        <v>0</v>
      </c>
      <c r="N65" s="61" t="str">
        <f>IF(Table2683258[[#This Row],[Fault Type]]="PM",IF(L65&lt;=(D65-C65),"Yes","No"),"")</f>
        <v/>
      </c>
      <c r="O65" s="62" t="str">
        <f t="shared" ref="O65:O78" si="5">IF(N65="No",(L65-(D65-C65)),"")</f>
        <v/>
      </c>
      <c r="P6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5" s="63"/>
    </row>
    <row r="66" spans="1:17" ht="15.5" x14ac:dyDescent="0.35">
      <c r="A66" s="58"/>
      <c r="B66" s="55"/>
      <c r="C66" s="56"/>
      <c r="D66" s="56"/>
      <c r="E66" s="13"/>
      <c r="F66" s="55"/>
      <c r="G66" s="159"/>
      <c r="H66" s="57"/>
      <c r="I66" s="18"/>
      <c r="J66" s="13"/>
      <c r="K66" s="83"/>
      <c r="L66" s="14">
        <f t="shared" si="4"/>
        <v>0</v>
      </c>
      <c r="M66" s="59">
        <f t="shared" si="3"/>
        <v>0</v>
      </c>
      <c r="N66" s="61" t="str">
        <f>IF(Table2683258[[#This Row],[Fault Type]]="PM",IF(L66&lt;=(D66-C66),"Yes","No"),"")</f>
        <v/>
      </c>
      <c r="O66" s="62" t="str">
        <f t="shared" si="5"/>
        <v/>
      </c>
      <c r="P6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6" s="63"/>
    </row>
    <row r="67" spans="1:17" ht="15.5" x14ac:dyDescent="0.35">
      <c r="A67" s="58"/>
      <c r="B67" s="55"/>
      <c r="C67" s="56"/>
      <c r="D67" s="56"/>
      <c r="E67" s="13"/>
      <c r="F67" s="55"/>
      <c r="G67" s="159"/>
      <c r="H67" s="57"/>
      <c r="I67" s="18"/>
      <c r="J67" s="13"/>
      <c r="K67" s="83"/>
      <c r="L67" s="14">
        <f t="shared" si="4"/>
        <v>0</v>
      </c>
      <c r="M67" s="59">
        <f t="shared" si="3"/>
        <v>0</v>
      </c>
      <c r="N67" s="61" t="str">
        <f>IF(Table2683258[[#This Row],[Fault Type]]="PM",IF(L67&lt;=(D67-C67),"Yes","No"),"")</f>
        <v/>
      </c>
      <c r="O67" s="62" t="str">
        <f t="shared" si="5"/>
        <v/>
      </c>
      <c r="P6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7" s="63"/>
    </row>
    <row r="68" spans="1:17" ht="15.5" x14ac:dyDescent="0.35">
      <c r="A68" s="58"/>
      <c r="B68" s="55"/>
      <c r="C68" s="56"/>
      <c r="D68" s="56"/>
      <c r="E68" s="13"/>
      <c r="F68" s="55"/>
      <c r="G68" s="159"/>
      <c r="H68" s="57"/>
      <c r="I68" s="18"/>
      <c r="J68" s="13"/>
      <c r="K68" s="83"/>
      <c r="L68" s="14">
        <f t="shared" si="4"/>
        <v>0</v>
      </c>
      <c r="M68" s="59">
        <f t="shared" si="3"/>
        <v>0</v>
      </c>
      <c r="N68" s="61" t="str">
        <f>IF(Table2683258[[#This Row],[Fault Type]]="PM",IF(L68&lt;=(D68-C68),"Yes","No"),"")</f>
        <v/>
      </c>
      <c r="O68" s="62" t="str">
        <f t="shared" si="5"/>
        <v/>
      </c>
      <c r="P6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8" s="63"/>
    </row>
    <row r="69" spans="1:17" ht="15.5" x14ac:dyDescent="0.35">
      <c r="A69" s="58"/>
      <c r="B69" s="55"/>
      <c r="C69" s="56"/>
      <c r="D69" s="56"/>
      <c r="E69" s="13"/>
      <c r="F69" s="55"/>
      <c r="G69" s="159"/>
      <c r="H69" s="57"/>
      <c r="I69" s="18"/>
      <c r="J69" s="13"/>
      <c r="K69" s="83"/>
      <c r="L69" s="14">
        <f t="shared" si="4"/>
        <v>0</v>
      </c>
      <c r="M69" s="59">
        <f t="shared" si="3"/>
        <v>0</v>
      </c>
      <c r="N69" s="61" t="str">
        <f>IF(Table2683258[[#This Row],[Fault Type]]="PM",IF(L69&lt;=(D69-C69),"Yes","No"),"")</f>
        <v/>
      </c>
      <c r="O69" s="62" t="str">
        <f t="shared" si="5"/>
        <v/>
      </c>
      <c r="P69"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69" s="63"/>
    </row>
    <row r="70" spans="1:17" ht="15.5" x14ac:dyDescent="0.35">
      <c r="A70" s="58"/>
      <c r="B70" s="55"/>
      <c r="C70" s="56"/>
      <c r="D70" s="56"/>
      <c r="E70" s="13"/>
      <c r="F70" s="55"/>
      <c r="G70" s="159"/>
      <c r="H70" s="57"/>
      <c r="I70" s="18"/>
      <c r="J70" s="13"/>
      <c r="K70" s="83"/>
      <c r="L70" s="14">
        <f t="shared" si="4"/>
        <v>0</v>
      </c>
      <c r="M70" s="59">
        <f t="shared" si="3"/>
        <v>0</v>
      </c>
      <c r="N70" s="61" t="str">
        <f>IF(Table2683258[[#This Row],[Fault Type]]="PM",IF(L70&lt;=(D70-C70),"Yes","No"),"")</f>
        <v/>
      </c>
      <c r="O70" s="62" t="str">
        <f t="shared" si="5"/>
        <v/>
      </c>
      <c r="P70"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0" s="63"/>
    </row>
    <row r="71" spans="1:17" ht="15.5" x14ac:dyDescent="0.35">
      <c r="A71" s="58"/>
      <c r="B71" s="55"/>
      <c r="C71" s="56"/>
      <c r="D71" s="56"/>
      <c r="E71" s="13"/>
      <c r="F71" s="55"/>
      <c r="G71" s="159"/>
      <c r="H71" s="57"/>
      <c r="I71" s="18"/>
      <c r="J71" s="13"/>
      <c r="K71" s="83"/>
      <c r="L71" s="14">
        <f t="shared" si="4"/>
        <v>0</v>
      </c>
      <c r="M71" s="59">
        <f t="shared" si="3"/>
        <v>0</v>
      </c>
      <c r="N71" s="61" t="str">
        <f>IF(Table2683258[[#This Row],[Fault Type]]="PM",IF(L71&lt;=(D71-C71),"Yes","No"),"")</f>
        <v/>
      </c>
      <c r="O71" s="62" t="str">
        <f t="shared" si="5"/>
        <v/>
      </c>
      <c r="P71"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61" t="str">
        <f>IF(Table2683258[[#This Row],[Fault Type]]="PM",IF(L72&lt;=(D72-C72),"Yes","No"),"")</f>
        <v/>
      </c>
      <c r="O72" s="62" t="str">
        <f t="shared" si="5"/>
        <v/>
      </c>
      <c r="P72"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61" t="str">
        <f>IF(Table2683258[[#This Row],[Fault Type]]="PM",IF(L73&lt;=(D73-C73),"Yes","No"),"")</f>
        <v/>
      </c>
      <c r="O73" s="62" t="str">
        <f t="shared" si="5"/>
        <v/>
      </c>
      <c r="P73"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61" t="str">
        <f>IF(Table2683258[[#This Row],[Fault Type]]="PM",IF(L74&lt;=(D74-C74),"Yes","No"),"")</f>
        <v/>
      </c>
      <c r="O74" s="62" t="str">
        <f t="shared" si="5"/>
        <v/>
      </c>
      <c r="P74"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IF(Table2683258[[#This Row],[Fault Type]]="PM",IF(L75&lt;=(D75-C75),"Yes","No"),"")</f>
        <v/>
      </c>
      <c r="O75" s="62" t="str">
        <f t="shared" si="5"/>
        <v/>
      </c>
      <c r="P75"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IF(Table2683258[[#This Row],[Fault Type]]="PM",IF(L76&lt;=(D76-C76),"Yes","No"),"")</f>
        <v/>
      </c>
      <c r="O76" s="62" t="str">
        <f t="shared" si="5"/>
        <v/>
      </c>
      <c r="P76"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61" t="str">
        <f>IF(Table2683258[[#This Row],[Fault Type]]="PM",IF(L77&lt;=(D77-C77),"Yes","No"),"")</f>
        <v/>
      </c>
      <c r="O77" s="62" t="str">
        <f t="shared" si="5"/>
        <v/>
      </c>
      <c r="P77"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7" s="63"/>
    </row>
    <row r="78" spans="1:17" ht="15.5" x14ac:dyDescent="0.35">
      <c r="A78" s="58"/>
      <c r="B78" s="55"/>
      <c r="C78" s="56"/>
      <c r="D78" s="56"/>
      <c r="E78" s="13"/>
      <c r="F78" s="55"/>
      <c r="G78" s="159"/>
      <c r="H78" s="57"/>
      <c r="I78" s="18"/>
      <c r="J78" s="13"/>
      <c r="K78" s="60"/>
      <c r="L78" s="14">
        <f t="shared" si="4"/>
        <v>0</v>
      </c>
      <c r="M78" s="59">
        <f t="shared" si="3"/>
        <v>0</v>
      </c>
      <c r="N78" s="61" t="str">
        <f>IF(Table2683258[[#This Row],[Fault Type]]="PM",IF(L78&lt;=(D78-C78),"Yes","No"),"")</f>
        <v/>
      </c>
      <c r="O78" s="62" t="str">
        <f t="shared" si="5"/>
        <v/>
      </c>
      <c r="P78" s="166" t="str">
        <f>IF(AND(Table2683258[[#This Row],[Name of Feeder]]&lt;&gt;"",OR(Table2683258[[#This Row],[Fault Type]]="TL",Table2683258[[#This Row],[Fault Type]]="TS",Table2683258[[#This Row],[Fault Type]]="UF",Table2683258[[#This Row],[Fault Type]]="SE")),(IF(AND(VLOOKUP(Table2683258[[#This Row],[Name of Feeder]],Main!D:E,2,0)="URBAN",ISNUMBER(SEARCH("33KV",Table2683258[[#This Row],[Name of Feeder]]))),IF(AND(Table2683258[[#This Row],[Outage Duration]]&gt;0,Table2683258[[#This Row],[Outage Duration]]&lt;=0.25),"Yes","No"),IF(AND(VLOOKUP(Table2683258[[#This Row],[Name of Feeder]],Main!D:E,2,0)="RURAL",ISNUMBER(SEARCH("33KV",Table2683258[[#This Row],[Name of Feeder]]))),IF(AND(Table2683258[[#This Row],[Outage Duration]]&gt;0,Table2683258[[#This Row],[Outage Duration]]&lt;=0.33),"Yes","No"),IF(AND(VLOOKUP(Table2683258[[#This Row],[Name of Feeder]],Main!D:E,2,0)="RURAL",ISNUMBER(SEARCH("11KV",Table2683258[[#This Row],[Name of Feeder]]))),IF(AND(Table2683258[[#This Row],[Outage Duration]]&gt;0,Table2683258[[#This Row],[Outage Duration]]&lt;=0.17),"Yes","No"),IF(AND(VLOOKUP(Table2683258[[#This Row],[Name of Feeder]],Main!D:E,2,0)="URBAN",ISNUMBER(SEARCH("11KV",Table2683258[[#This Row],[Name of Feeder]]))),IF(AND(Table2683258[[#This Row],[Outage Duration]]&gt;0,Table2683258[[#This Row],[Outage Duration]]&lt;=0.17),"Yes","No"),""))))),"")</f>
        <v/>
      </c>
      <c r="Q78"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C00-000000000000}">
          <x14:formula1>
            <xm:f>Main!$F$226:$F$228</xm:f>
          </x14:formula1>
          <xm:sqref>I2:I78</xm:sqref>
        </x14:dataValidation>
        <x14:dataValidation type="list" allowBlank="1" showInputMessage="1" showErrorMessage="1" xr:uid="{00000000-0002-0000-0C00-000001000000}">
          <x14:formula1>
            <xm:f>Main!$D$2:$D$196</xm:f>
          </x14:formula1>
          <xm:sqref>A2:A78</xm:sqref>
        </x14:dataValidation>
        <x14:dataValidation type="list" allowBlank="1" showInputMessage="1" showErrorMessage="1" xr:uid="{00000000-0002-0000-0C00-000002000000}">
          <x14:formula1>
            <xm:f>Main!F$222:F$225</xm:f>
          </x14:formula1>
          <xm:sqref>G2:G78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92"/>
  <sheetViews>
    <sheetView zoomScale="70" zoomScaleNormal="70" workbookViewId="0">
      <selection activeCell="A2" sqref="A2:J51"/>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23</v>
      </c>
      <c r="B2" s="12" t="s">
        <v>150</v>
      </c>
      <c r="C2" s="13"/>
      <c r="D2" s="13"/>
      <c r="E2" s="13">
        <v>44783.102777777778</v>
      </c>
      <c r="F2" s="12">
        <v>3</v>
      </c>
      <c r="G2" s="12" t="s">
        <v>164</v>
      </c>
      <c r="H2" s="27" t="s">
        <v>708</v>
      </c>
      <c r="I2" s="27" t="s">
        <v>334</v>
      </c>
      <c r="J2" s="13">
        <v>44783.318055555559</v>
      </c>
      <c r="K2" s="32"/>
      <c r="L2" s="14">
        <f t="shared" ref="L2:L66" si="0">J2-E2</f>
        <v>0.21527777778101154</v>
      </c>
      <c r="M2" s="31">
        <f t="shared" ref="M2:M28" si="1">L2*F2</f>
        <v>0.64583333334303461</v>
      </c>
      <c r="N2" s="15" t="str">
        <f>IF(Table2683257[[#This Row],[Fault Type]]="PM",IF(L2&lt;=(D2-C2),"Yes","No"),"")</f>
        <v/>
      </c>
      <c r="O2" s="16" t="str">
        <f t="shared" ref="O2:O66" si="2">IF(N2="No",(L2-(D2-C2)),"")</f>
        <v/>
      </c>
      <c r="P2" s="30"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 s="17"/>
    </row>
    <row r="3" spans="1:17" ht="15.5" x14ac:dyDescent="0.35">
      <c r="A3" s="4" t="s">
        <v>442</v>
      </c>
      <c r="B3" s="12" t="s">
        <v>150</v>
      </c>
      <c r="C3" s="13"/>
      <c r="D3" s="13"/>
      <c r="E3" s="13">
        <v>44783.123611111114</v>
      </c>
      <c r="F3" s="12">
        <v>1.5</v>
      </c>
      <c r="G3" s="159" t="s">
        <v>164</v>
      </c>
      <c r="H3" s="27"/>
      <c r="I3" s="27"/>
      <c r="J3" s="13"/>
      <c r="K3" s="32"/>
      <c r="L3" s="14">
        <f t="shared" si="0"/>
        <v>-44783.123611111114</v>
      </c>
      <c r="M3" s="31">
        <f t="shared" si="1"/>
        <v>-67174.685416666674</v>
      </c>
      <c r="N3" s="15" t="str">
        <f>IF(Table2683257[[#This Row],[Fault Type]]="PM",IF(L3&lt;=(D3-C3),"Yes","No"),"")</f>
        <v/>
      </c>
      <c r="O3" s="16" t="str">
        <f t="shared" si="2"/>
        <v/>
      </c>
      <c r="P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3" s="17"/>
    </row>
    <row r="4" spans="1:17" ht="15.5" x14ac:dyDescent="0.35">
      <c r="A4" s="4" t="s">
        <v>46</v>
      </c>
      <c r="B4" s="12" t="s">
        <v>150</v>
      </c>
      <c r="C4" s="13"/>
      <c r="D4" s="13"/>
      <c r="E4" s="13">
        <v>44783.163888888892</v>
      </c>
      <c r="F4" s="12">
        <v>4.4000000000000004</v>
      </c>
      <c r="G4" s="159" t="s">
        <v>164</v>
      </c>
      <c r="H4" s="12" t="s">
        <v>930</v>
      </c>
      <c r="I4" s="12" t="s">
        <v>334</v>
      </c>
      <c r="J4" s="13">
        <v>44783.369444444441</v>
      </c>
      <c r="K4" s="32"/>
      <c r="L4" s="14">
        <f t="shared" si="0"/>
        <v>0.20555555554892635</v>
      </c>
      <c r="M4" s="31">
        <f t="shared" si="1"/>
        <v>0.90444444441527605</v>
      </c>
      <c r="N4" s="15" t="str">
        <f>IF(Table2683257[[#This Row],[Fault Type]]="PM",IF(L4&lt;=(D4-C4),"Yes","No"),"")</f>
        <v/>
      </c>
      <c r="O4" s="16" t="str">
        <f t="shared" si="2"/>
        <v/>
      </c>
      <c r="P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 s="17"/>
    </row>
    <row r="5" spans="1:17" ht="15.5" x14ac:dyDescent="0.35">
      <c r="A5" s="4" t="s">
        <v>43</v>
      </c>
      <c r="B5" s="12" t="s">
        <v>150</v>
      </c>
      <c r="C5" s="13"/>
      <c r="D5" s="13"/>
      <c r="E5" s="13">
        <v>44783.168749999997</v>
      </c>
      <c r="F5" s="12">
        <v>1.5</v>
      </c>
      <c r="G5" s="159" t="s">
        <v>164</v>
      </c>
      <c r="H5" s="12" t="s">
        <v>931</v>
      </c>
      <c r="I5" s="12" t="s">
        <v>334</v>
      </c>
      <c r="J5" s="13">
        <v>44783.340277777781</v>
      </c>
      <c r="K5" s="32"/>
      <c r="L5" s="14">
        <f t="shared" si="0"/>
        <v>0.17152777778392192</v>
      </c>
      <c r="M5" s="31">
        <f t="shared" si="1"/>
        <v>0.25729166667588288</v>
      </c>
      <c r="N5" s="15" t="str">
        <f>IF(Table2683257[[#This Row],[Fault Type]]="PM",IF(L5&lt;=(D5-C5),"Yes","No"),"")</f>
        <v/>
      </c>
      <c r="O5" s="16" t="str">
        <f t="shared" si="2"/>
        <v/>
      </c>
      <c r="P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5" s="17"/>
    </row>
    <row r="6" spans="1:17" ht="15.5" x14ac:dyDescent="0.35">
      <c r="A6" s="4" t="s">
        <v>370</v>
      </c>
      <c r="B6" s="12" t="s">
        <v>150</v>
      </c>
      <c r="C6" s="13"/>
      <c r="D6" s="13"/>
      <c r="E6" s="13">
        <v>44783.169444444444</v>
      </c>
      <c r="F6" s="12">
        <v>6.6</v>
      </c>
      <c r="G6" s="159" t="s">
        <v>164</v>
      </c>
      <c r="H6" s="12" t="s">
        <v>932</v>
      </c>
      <c r="I6" s="12" t="s">
        <v>334</v>
      </c>
      <c r="J6" s="13">
        <v>44783.273611111108</v>
      </c>
      <c r="K6" s="32"/>
      <c r="L6" s="14">
        <f t="shared" si="0"/>
        <v>0.10416666666424135</v>
      </c>
      <c r="M6" s="31">
        <f t="shared" si="1"/>
        <v>0.6874999999839928</v>
      </c>
      <c r="N6" s="15" t="str">
        <f>IF(Table2683257[[#This Row],[Fault Type]]="PM",IF(L6&lt;=(D6-C6),"Yes","No"),"")</f>
        <v/>
      </c>
      <c r="O6" s="16" t="str">
        <f t="shared" si="2"/>
        <v/>
      </c>
      <c r="P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6" s="17"/>
    </row>
    <row r="7" spans="1:17" ht="15.5" x14ac:dyDescent="0.35">
      <c r="A7" s="4" t="s">
        <v>44</v>
      </c>
      <c r="B7" s="12" t="s">
        <v>150</v>
      </c>
      <c r="C7" s="13"/>
      <c r="D7" s="13"/>
      <c r="E7" s="13">
        <v>44783.188194444447</v>
      </c>
      <c r="F7" s="12">
        <v>3.2</v>
      </c>
      <c r="G7" s="159" t="s">
        <v>164</v>
      </c>
      <c r="H7" s="12" t="s">
        <v>699</v>
      </c>
      <c r="I7" s="12" t="s">
        <v>334</v>
      </c>
      <c r="J7" s="13">
        <v>44783.353472222225</v>
      </c>
      <c r="K7" s="32"/>
      <c r="L7" s="14">
        <f t="shared" si="0"/>
        <v>0.16527777777810115</v>
      </c>
      <c r="M7" s="31">
        <f t="shared" si="1"/>
        <v>0.52888888888992369</v>
      </c>
      <c r="N7" s="15" t="str">
        <f>IF(Table2683257[[#This Row],[Fault Type]]="PM",IF(L7&lt;=(D7-C7),"Yes","No"),"")</f>
        <v/>
      </c>
      <c r="O7" s="16" t="str">
        <f t="shared" si="2"/>
        <v/>
      </c>
      <c r="P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7" s="17"/>
    </row>
    <row r="8" spans="1:17" ht="15.5" x14ac:dyDescent="0.35">
      <c r="A8" s="4" t="s">
        <v>45</v>
      </c>
      <c r="B8" s="12" t="s">
        <v>150</v>
      </c>
      <c r="C8" s="13"/>
      <c r="D8" s="13"/>
      <c r="E8" s="13">
        <v>44783.19027777778</v>
      </c>
      <c r="F8" s="12">
        <v>2.4</v>
      </c>
      <c r="G8" s="159" t="s">
        <v>164</v>
      </c>
      <c r="H8" s="12" t="s">
        <v>933</v>
      </c>
      <c r="I8" s="12" t="s">
        <v>334</v>
      </c>
      <c r="J8" s="13">
        <v>44783.404166666667</v>
      </c>
      <c r="K8" s="32"/>
      <c r="L8" s="14">
        <f t="shared" si="0"/>
        <v>0.21388888888759539</v>
      </c>
      <c r="M8" s="31">
        <f t="shared" si="1"/>
        <v>0.5133333333302289</v>
      </c>
      <c r="N8" s="15" t="str">
        <f>IF(Table2683257[[#This Row],[Fault Type]]="PM",IF(L8&lt;=(D8-C8),"Yes","No"),"")</f>
        <v/>
      </c>
      <c r="O8" s="16" t="str">
        <f t="shared" si="2"/>
        <v/>
      </c>
      <c r="P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8" s="17"/>
    </row>
    <row r="9" spans="1:17" ht="15.5" x14ac:dyDescent="0.35">
      <c r="A9" s="4" t="s">
        <v>179</v>
      </c>
      <c r="B9" s="12" t="s">
        <v>150</v>
      </c>
      <c r="C9" s="13"/>
      <c r="D9" s="13"/>
      <c r="E9" s="13">
        <v>44783.211805555555</v>
      </c>
      <c r="F9" s="12">
        <v>3.1</v>
      </c>
      <c r="G9" s="159" t="s">
        <v>164</v>
      </c>
      <c r="H9" s="12" t="s">
        <v>934</v>
      </c>
      <c r="I9" s="12" t="s">
        <v>333</v>
      </c>
      <c r="J9" s="13">
        <v>44783.440972222219</v>
      </c>
      <c r="K9" s="32"/>
      <c r="L9" s="14">
        <f t="shared" si="0"/>
        <v>0.22916666666424135</v>
      </c>
      <c r="M9" s="31">
        <f t="shared" si="1"/>
        <v>0.71041666665914815</v>
      </c>
      <c r="N9" s="15" t="str">
        <f>IF(Table2683257[[#This Row],[Fault Type]]="PM",IF(L9&lt;=(D9-C9),"Yes","No"),"")</f>
        <v/>
      </c>
      <c r="O9" s="16" t="str">
        <f t="shared" si="2"/>
        <v/>
      </c>
      <c r="P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9" s="17"/>
    </row>
    <row r="10" spans="1:17" ht="15.5" x14ac:dyDescent="0.35">
      <c r="A10" s="4" t="s">
        <v>32</v>
      </c>
      <c r="B10" s="12" t="s">
        <v>150</v>
      </c>
      <c r="C10" s="13"/>
      <c r="D10" s="13"/>
      <c r="E10" s="13">
        <v>44783.231249999997</v>
      </c>
      <c r="F10" s="12">
        <v>12</v>
      </c>
      <c r="G10" s="159" t="s">
        <v>163</v>
      </c>
      <c r="H10" s="12" t="s">
        <v>508</v>
      </c>
      <c r="I10" s="12" t="s">
        <v>334</v>
      </c>
      <c r="J10" s="13">
        <v>44783.314583333333</v>
      </c>
      <c r="K10" s="32"/>
      <c r="L10" s="14">
        <f t="shared" si="0"/>
        <v>8.3333333335758653E-2</v>
      </c>
      <c r="M10" s="31">
        <f t="shared" si="1"/>
        <v>1.0000000000291038</v>
      </c>
      <c r="N10" s="15" t="str">
        <f>IF(Table2683257[[#This Row],[Fault Type]]="PM",IF(L10&lt;=(D10-C10),"Yes","No"),"")</f>
        <v/>
      </c>
      <c r="O10" s="16" t="str">
        <f t="shared" si="2"/>
        <v/>
      </c>
      <c r="P1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0" s="17"/>
    </row>
    <row r="11" spans="1:17" ht="15.5" x14ac:dyDescent="0.35">
      <c r="A11" s="4" t="s">
        <v>28</v>
      </c>
      <c r="B11" s="12" t="s">
        <v>158</v>
      </c>
      <c r="C11" s="13"/>
      <c r="D11" s="13"/>
      <c r="E11" s="13">
        <v>44783.254861111112</v>
      </c>
      <c r="F11" s="12"/>
      <c r="G11" s="159"/>
      <c r="H11" s="12" t="s">
        <v>935</v>
      </c>
      <c r="I11" s="12"/>
      <c r="J11" s="13">
        <v>44783.46597222222</v>
      </c>
      <c r="K11" s="32"/>
      <c r="L11" s="14">
        <f t="shared" si="0"/>
        <v>0.21111111110803904</v>
      </c>
      <c r="M11" s="31">
        <f t="shared" si="1"/>
        <v>0</v>
      </c>
      <c r="N11" s="15" t="str">
        <f>IF(Table2683257[[#This Row],[Fault Type]]="PM",IF(L11&lt;=(D11-C11),"Yes","No"),"")</f>
        <v/>
      </c>
      <c r="O11" s="16" t="str">
        <f t="shared" si="2"/>
        <v/>
      </c>
      <c r="P1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1" s="144"/>
    </row>
    <row r="12" spans="1:17" ht="15.5" x14ac:dyDescent="0.35">
      <c r="A12" s="4" t="s">
        <v>26</v>
      </c>
      <c r="B12" s="12" t="s">
        <v>150</v>
      </c>
      <c r="C12" s="13"/>
      <c r="D12" s="13"/>
      <c r="E12" s="13">
        <v>44783.3</v>
      </c>
      <c r="F12" s="12">
        <v>2.6</v>
      </c>
      <c r="G12" s="159" t="s">
        <v>163</v>
      </c>
      <c r="H12" s="12" t="s">
        <v>709</v>
      </c>
      <c r="I12" s="12" t="s">
        <v>334</v>
      </c>
      <c r="J12" s="160">
        <v>44783.365277777775</v>
      </c>
      <c r="K12" s="32"/>
      <c r="L12" s="14">
        <f t="shared" si="0"/>
        <v>6.5277777772280388E-2</v>
      </c>
      <c r="M12" s="31">
        <f t="shared" si="1"/>
        <v>0.16972222220792901</v>
      </c>
      <c r="N12" s="15" t="str">
        <f>IF(Table2683257[[#This Row],[Fault Type]]="PM",IF(L12&lt;=(D12-C12),"Yes","No"),"")</f>
        <v/>
      </c>
      <c r="O12" s="16" t="str">
        <f t="shared" si="2"/>
        <v/>
      </c>
      <c r="P1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2" s="144"/>
    </row>
    <row r="13" spans="1:17" ht="15.5" x14ac:dyDescent="0.35">
      <c r="A13" s="4" t="s">
        <v>195</v>
      </c>
      <c r="B13" s="12" t="s">
        <v>150</v>
      </c>
      <c r="C13" s="13"/>
      <c r="D13" s="13"/>
      <c r="E13" s="13">
        <v>44783.301388888889</v>
      </c>
      <c r="F13" s="12">
        <v>3.2</v>
      </c>
      <c r="G13" s="159" t="s">
        <v>163</v>
      </c>
      <c r="H13" s="12" t="s">
        <v>705</v>
      </c>
      <c r="I13" s="12" t="s">
        <v>334</v>
      </c>
      <c r="J13" s="13">
        <v>44783.365972222222</v>
      </c>
      <c r="K13" s="32"/>
      <c r="L13" s="14">
        <f t="shared" si="0"/>
        <v>6.4583333332848269E-2</v>
      </c>
      <c r="M13" s="31">
        <f t="shared" si="1"/>
        <v>0.20666666666511446</v>
      </c>
      <c r="N13" s="15" t="str">
        <f>IF(Table2683257[[#This Row],[Fault Type]]="PM",IF(L13&lt;=(D13-C13),"Yes","No"),"")</f>
        <v/>
      </c>
      <c r="O13" s="16" t="str">
        <f t="shared" si="2"/>
        <v/>
      </c>
      <c r="P1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3" s="144"/>
    </row>
    <row r="14" spans="1:17" ht="15.5" x14ac:dyDescent="0.35">
      <c r="A14" s="4" t="s">
        <v>41</v>
      </c>
      <c r="B14" s="12" t="s">
        <v>150</v>
      </c>
      <c r="C14" s="13"/>
      <c r="D14" s="13"/>
      <c r="E14" s="13">
        <v>44783.383333333331</v>
      </c>
      <c r="F14" s="12"/>
      <c r="G14" s="159" t="s">
        <v>163</v>
      </c>
      <c r="H14" s="12" t="s">
        <v>936</v>
      </c>
      <c r="I14" s="12" t="s">
        <v>334</v>
      </c>
      <c r="J14" s="13">
        <v>44783.461111111108</v>
      </c>
      <c r="K14" s="32"/>
      <c r="L14" s="14">
        <f t="shared" si="0"/>
        <v>7.7777777776645962E-2</v>
      </c>
      <c r="M14" s="31">
        <f t="shared" si="1"/>
        <v>0</v>
      </c>
      <c r="N14" s="15" t="str">
        <f>IF(Table2683257[[#This Row],[Fault Type]]="PM",IF(L14&lt;=(D14-C14),"Yes","No"),"")</f>
        <v/>
      </c>
      <c r="O14" s="16" t="str">
        <f t="shared" si="2"/>
        <v/>
      </c>
      <c r="P1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4" s="144"/>
    </row>
    <row r="15" spans="1:17" ht="15.5" x14ac:dyDescent="0.35">
      <c r="A15" s="4" t="s">
        <v>363</v>
      </c>
      <c r="B15" s="12" t="s">
        <v>150</v>
      </c>
      <c r="C15" s="13"/>
      <c r="D15" s="13"/>
      <c r="E15" s="13">
        <v>44783.423611111109</v>
      </c>
      <c r="F15" s="12">
        <v>1.2</v>
      </c>
      <c r="G15" s="159" t="s">
        <v>164</v>
      </c>
      <c r="H15" s="12" t="s">
        <v>937</v>
      </c>
      <c r="I15" s="12" t="s">
        <v>334</v>
      </c>
      <c r="J15" s="13">
        <v>44783.723611111112</v>
      </c>
      <c r="K15" s="32"/>
      <c r="L15" s="14">
        <f t="shared" si="0"/>
        <v>0.30000000000291038</v>
      </c>
      <c r="M15" s="31">
        <f t="shared" si="1"/>
        <v>0.36000000000349247</v>
      </c>
      <c r="N15" s="15" t="str">
        <f>IF(Table2683257[[#This Row],[Fault Type]]="PM",IF(L15&lt;=(D15-C15),"Yes","No"),"")</f>
        <v/>
      </c>
      <c r="O15" s="16" t="str">
        <f t="shared" si="2"/>
        <v/>
      </c>
      <c r="P1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5" s="144"/>
    </row>
    <row r="16" spans="1:17" ht="15.5" x14ac:dyDescent="0.35">
      <c r="A16" s="4" t="s">
        <v>42</v>
      </c>
      <c r="B16" s="12" t="s">
        <v>150</v>
      </c>
      <c r="C16" s="13"/>
      <c r="D16" s="13"/>
      <c r="E16" s="13">
        <v>44783.423611111109</v>
      </c>
      <c r="F16" s="18">
        <v>2.6</v>
      </c>
      <c r="G16" s="159" t="s">
        <v>164</v>
      </c>
      <c r="H16" s="18" t="s">
        <v>526</v>
      </c>
      <c r="I16" s="18" t="s">
        <v>526</v>
      </c>
      <c r="J16" s="13">
        <v>44783.444444444445</v>
      </c>
      <c r="K16" s="32"/>
      <c r="L16" s="14">
        <f t="shared" si="0"/>
        <v>2.0833333335758653E-2</v>
      </c>
      <c r="M16" s="31">
        <f t="shared" si="1"/>
        <v>5.4166666672972499E-2</v>
      </c>
      <c r="N16" s="15" t="str">
        <f>IF(Table2683257[[#This Row],[Fault Type]]="PM",IF(L16&lt;=(D16-C16),"Yes","No"),"")</f>
        <v/>
      </c>
      <c r="O16" s="16" t="str">
        <f t="shared" si="2"/>
        <v/>
      </c>
      <c r="P1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16" s="144"/>
    </row>
    <row r="17" spans="1:17" s="145" customFormat="1" ht="15.5" x14ac:dyDescent="0.35">
      <c r="A17" s="146" t="s">
        <v>37</v>
      </c>
      <c r="B17" s="147" t="s">
        <v>156</v>
      </c>
      <c r="C17" s="148">
        <v>44783.4375</v>
      </c>
      <c r="D17" s="148">
        <v>44783.5625</v>
      </c>
      <c r="E17" s="148">
        <v>44783.451388888891</v>
      </c>
      <c r="F17" s="153">
        <v>12</v>
      </c>
      <c r="G17" s="159"/>
      <c r="H17" s="153" t="s">
        <v>938</v>
      </c>
      <c r="I17" s="153"/>
      <c r="J17" s="148">
        <v>44783.518750000003</v>
      </c>
      <c r="K17" s="156"/>
      <c r="L17" s="149">
        <f>J17-E17</f>
        <v>6.7361111112404615E-2</v>
      </c>
      <c r="M17" s="155">
        <f>L17*F17</f>
        <v>0.80833333334885538</v>
      </c>
      <c r="N17" s="150" t="str">
        <f>IF(Table2683257[[#This Row],[Fault Type]]="PM",IF(L17&lt;=(D17-C17),"Yes","No"),"")</f>
        <v>Yes</v>
      </c>
      <c r="O17" s="151" t="str">
        <f>IF(N17="No",(L17-(D17-C17)),"")</f>
        <v/>
      </c>
      <c r="P1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17" s="152"/>
    </row>
    <row r="18" spans="1:17" s="145" customFormat="1" ht="15.5" x14ac:dyDescent="0.35">
      <c r="A18" s="146" t="s">
        <v>451</v>
      </c>
      <c r="B18" s="147" t="s">
        <v>156</v>
      </c>
      <c r="C18" s="148">
        <v>44783.416666666664</v>
      </c>
      <c r="D18" s="148">
        <v>44783.666666666664</v>
      </c>
      <c r="E18" s="148">
        <v>44783.456250000003</v>
      </c>
      <c r="F18" s="153">
        <v>3.2</v>
      </c>
      <c r="G18" s="159"/>
      <c r="H18" s="153" t="s">
        <v>939</v>
      </c>
      <c r="I18" s="153"/>
      <c r="J18" s="148">
        <v>44783.797222222223</v>
      </c>
      <c r="K18" s="156"/>
      <c r="L18" s="149">
        <f>J18-E18</f>
        <v>0.34097222222044365</v>
      </c>
      <c r="M18" s="155">
        <f>L18*F18</f>
        <v>1.0911111111054197</v>
      </c>
      <c r="N18" s="150" t="str">
        <f>IF(Table2683257[[#This Row],[Fault Type]]="PM",IF(L18&lt;=(D18-C18),"Yes","No"),"")</f>
        <v>No</v>
      </c>
      <c r="O18" s="151">
        <f>IF(N18="No",(L18-(D18-C18)),"")</f>
        <v>9.0972222220443655E-2</v>
      </c>
      <c r="P1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18" s="152"/>
    </row>
    <row r="19" spans="1:17" ht="15.5" x14ac:dyDescent="0.35">
      <c r="A19" s="4" t="s">
        <v>41</v>
      </c>
      <c r="B19" s="12" t="s">
        <v>156</v>
      </c>
      <c r="C19" s="13">
        <v>44783.416666666664</v>
      </c>
      <c r="D19" s="13">
        <v>44783.4375</v>
      </c>
      <c r="E19" s="13">
        <v>44783.461805555555</v>
      </c>
      <c r="F19" s="12">
        <v>3.3</v>
      </c>
      <c r="G19" s="159"/>
      <c r="H19" s="12" t="s">
        <v>940</v>
      </c>
      <c r="I19" s="12"/>
      <c r="J19" s="13"/>
      <c r="K19" s="32"/>
      <c r="L19" s="14">
        <f t="shared" si="0"/>
        <v>-44783.461805555555</v>
      </c>
      <c r="M19" s="31">
        <f t="shared" si="1"/>
        <v>-147785.42395833333</v>
      </c>
      <c r="N19" s="15" t="str">
        <f>IF(Table2683257[[#This Row],[Fault Type]]="PM",IF(L19&lt;=(D19-C19),"Yes","No"),"")</f>
        <v>Yes</v>
      </c>
      <c r="O19" s="16" t="str">
        <f t="shared" si="2"/>
        <v/>
      </c>
      <c r="P1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19" s="144"/>
    </row>
    <row r="20" spans="1:17" ht="15.5" x14ac:dyDescent="0.35">
      <c r="A20" s="4" t="s">
        <v>64</v>
      </c>
      <c r="B20" s="12" t="s">
        <v>150</v>
      </c>
      <c r="C20" s="13"/>
      <c r="D20" s="13"/>
      <c r="E20" s="13">
        <v>44783.513194444444</v>
      </c>
      <c r="F20" s="18">
        <v>3</v>
      </c>
      <c r="G20" s="159" t="s">
        <v>162</v>
      </c>
      <c r="H20" s="18" t="s">
        <v>526</v>
      </c>
      <c r="I20" s="18" t="s">
        <v>526</v>
      </c>
      <c r="J20" s="13">
        <v>44783.520833333336</v>
      </c>
      <c r="K20" s="32"/>
      <c r="L20" s="14">
        <f t="shared" si="0"/>
        <v>7.6388888919609599E-3</v>
      </c>
      <c r="M20" s="31">
        <f t="shared" si="1"/>
        <v>2.291666667588288E-2</v>
      </c>
      <c r="N20" s="15" t="str">
        <f>IF(Table2683257[[#This Row],[Fault Type]]="PM",IF(L20&lt;=(D20-C20),"Yes","No"),"")</f>
        <v/>
      </c>
      <c r="O20" s="16" t="str">
        <f t="shared" si="2"/>
        <v/>
      </c>
      <c r="P2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0" s="144"/>
    </row>
    <row r="21" spans="1:17" ht="15.5" x14ac:dyDescent="0.35">
      <c r="A21" s="4" t="s">
        <v>30</v>
      </c>
      <c r="B21" s="12" t="s">
        <v>156</v>
      </c>
      <c r="C21" s="13"/>
      <c r="D21" s="13"/>
      <c r="E21" s="13">
        <v>44783.522916666669</v>
      </c>
      <c r="F21" s="18">
        <v>8.4</v>
      </c>
      <c r="G21" s="159" t="s">
        <v>162</v>
      </c>
      <c r="H21" s="18" t="s">
        <v>526</v>
      </c>
      <c r="I21" s="18" t="s">
        <v>526</v>
      </c>
      <c r="J21" s="13">
        <v>44783.53125</v>
      </c>
      <c r="K21" s="32"/>
      <c r="L21" s="14">
        <f t="shared" si="0"/>
        <v>8.333333331393078E-3</v>
      </c>
      <c r="M21" s="31">
        <f t="shared" si="1"/>
        <v>6.9999999983701863E-2</v>
      </c>
      <c r="N21" s="15" t="str">
        <f>IF(Table2683257[[#This Row],[Fault Type]]="PM",IF(L21&lt;=(D21-C21),"Yes","No"),"")</f>
        <v>No</v>
      </c>
      <c r="O21" s="16">
        <f t="shared" si="2"/>
        <v>8.333333331393078E-3</v>
      </c>
      <c r="P2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21" s="144"/>
    </row>
    <row r="22" spans="1:17" ht="15.5" x14ac:dyDescent="0.35">
      <c r="A22" s="4" t="s">
        <v>314</v>
      </c>
      <c r="B22" s="12" t="s">
        <v>150</v>
      </c>
      <c r="C22" s="13"/>
      <c r="D22" s="13"/>
      <c r="E22" s="13">
        <v>44783.524305555555</v>
      </c>
      <c r="F22" s="165">
        <v>4.7</v>
      </c>
      <c r="G22" s="159" t="s">
        <v>164</v>
      </c>
      <c r="H22" s="54" t="s">
        <v>941</v>
      </c>
      <c r="I22" s="54" t="s">
        <v>333</v>
      </c>
      <c r="J22" s="13">
        <v>44783.568055555559</v>
      </c>
      <c r="K22" s="32"/>
      <c r="L22" s="14">
        <f t="shared" si="0"/>
        <v>4.3750000004365575E-2</v>
      </c>
      <c r="M22" s="31">
        <f t="shared" si="1"/>
        <v>0.2056250000205182</v>
      </c>
      <c r="N22" s="15" t="str">
        <f>IF(Table2683257[[#This Row],[Fault Type]]="PM",IF(L22&lt;=(D22-C22),"Yes","No"),"")</f>
        <v/>
      </c>
      <c r="O22" s="16" t="str">
        <f t="shared" si="2"/>
        <v/>
      </c>
      <c r="P2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2" s="144"/>
    </row>
    <row r="23" spans="1:17" ht="15.5" x14ac:dyDescent="0.35">
      <c r="A23" s="4" t="s">
        <v>38</v>
      </c>
      <c r="B23" s="12" t="s">
        <v>150</v>
      </c>
      <c r="C23" s="13"/>
      <c r="D23" s="13"/>
      <c r="E23" s="13">
        <v>44783.529861111114</v>
      </c>
      <c r="F23" s="18">
        <v>15.6</v>
      </c>
      <c r="G23" s="159" t="s">
        <v>164</v>
      </c>
      <c r="H23" s="18" t="s">
        <v>508</v>
      </c>
      <c r="I23" s="18" t="s">
        <v>526</v>
      </c>
      <c r="J23" s="13">
        <v>44783.617361111108</v>
      </c>
      <c r="K23" s="32"/>
      <c r="L23" s="14">
        <f t="shared" si="0"/>
        <v>8.7499999994179234E-2</v>
      </c>
      <c r="M23" s="31">
        <f t="shared" si="1"/>
        <v>1.364999999909196</v>
      </c>
      <c r="N23" s="15" t="str">
        <f>IF(Table2683257[[#This Row],[Fault Type]]="PM",IF(L23&lt;=(D23-C23),"Yes","No"),"")</f>
        <v/>
      </c>
      <c r="O23" s="16" t="str">
        <f t="shared" si="2"/>
        <v/>
      </c>
      <c r="P2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3" s="144"/>
    </row>
    <row r="24" spans="1:17" ht="15.5" x14ac:dyDescent="0.35">
      <c r="A24" s="4" t="s">
        <v>17</v>
      </c>
      <c r="B24" s="12" t="s">
        <v>150</v>
      </c>
      <c r="C24" s="13"/>
      <c r="D24" s="13"/>
      <c r="E24" s="13">
        <v>44783.511805555558</v>
      </c>
      <c r="F24" s="18">
        <v>17</v>
      </c>
      <c r="G24" s="159" t="s">
        <v>162</v>
      </c>
      <c r="H24" s="18"/>
      <c r="I24" s="18"/>
      <c r="J24" s="13"/>
      <c r="K24" s="32"/>
      <c r="L24" s="14">
        <f t="shared" si="0"/>
        <v>-44783.511805555558</v>
      </c>
      <c r="M24" s="31">
        <f t="shared" si="1"/>
        <v>-761319.70069444447</v>
      </c>
      <c r="N24" s="15" t="str">
        <f>IF(Table2683257[[#This Row],[Fault Type]]="PM",IF(L24&lt;=(D24-C24),"Yes","No"),"")</f>
        <v/>
      </c>
      <c r="O24" s="16" t="str">
        <f t="shared" si="2"/>
        <v/>
      </c>
      <c r="P2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24" s="144"/>
    </row>
    <row r="25" spans="1:17" ht="15.5" x14ac:dyDescent="0.35">
      <c r="A25" s="4" t="s">
        <v>39</v>
      </c>
      <c r="B25" s="12" t="s">
        <v>156</v>
      </c>
      <c r="C25" s="13">
        <v>44783.541666666664</v>
      </c>
      <c r="D25" s="13">
        <v>44783.5625</v>
      </c>
      <c r="E25" s="13">
        <v>44783.555555555555</v>
      </c>
      <c r="F25" s="18">
        <v>12.5</v>
      </c>
      <c r="G25" s="159"/>
      <c r="H25" s="18" t="s">
        <v>942</v>
      </c>
      <c r="I25" s="18"/>
      <c r="J25" s="13">
        <v>44783.594444444447</v>
      </c>
      <c r="K25" s="32"/>
      <c r="L25" s="14">
        <f t="shared" si="0"/>
        <v>3.888888889196096E-2</v>
      </c>
      <c r="M25" s="31">
        <f t="shared" si="1"/>
        <v>0.486111111149512</v>
      </c>
      <c r="N25" s="15" t="str">
        <f>IF(Table2683257[[#This Row],[Fault Type]]="PM",IF(L25&lt;=(D25-C25),"Yes","No"),"")</f>
        <v>No</v>
      </c>
      <c r="O25" s="16">
        <f t="shared" si="2"/>
        <v>1.8055555556202307E-2</v>
      </c>
      <c r="P2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25" s="144"/>
    </row>
    <row r="26" spans="1:17" ht="15.5" x14ac:dyDescent="0.35">
      <c r="A26" s="4" t="s">
        <v>546</v>
      </c>
      <c r="B26" s="12" t="s">
        <v>150</v>
      </c>
      <c r="C26" s="13"/>
      <c r="D26" s="13"/>
      <c r="E26" s="13">
        <v>44783.567361111112</v>
      </c>
      <c r="F26" s="18">
        <v>4.0999999999999996</v>
      </c>
      <c r="G26" s="159" t="s">
        <v>163</v>
      </c>
      <c r="H26" s="18" t="s">
        <v>943</v>
      </c>
      <c r="I26" s="18" t="s">
        <v>334</v>
      </c>
      <c r="J26" s="13">
        <v>44783.634027777778</v>
      </c>
      <c r="K26" s="32"/>
      <c r="L26" s="14">
        <f t="shared" si="0"/>
        <v>6.6666666665696539E-2</v>
      </c>
      <c r="M26" s="31">
        <f t="shared" si="1"/>
        <v>0.27333333332935578</v>
      </c>
      <c r="N26" s="15" t="str">
        <f>IF(Table2683257[[#This Row],[Fault Type]]="PM",IF(L26&lt;=(D26-C26),"Yes","No"),"")</f>
        <v/>
      </c>
      <c r="O26" s="16" t="str">
        <f t="shared" si="2"/>
        <v/>
      </c>
      <c r="P26" s="166" t="e">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#N/A</v>
      </c>
      <c r="Q26" s="144"/>
    </row>
    <row r="27" spans="1:17" ht="15.5" x14ac:dyDescent="0.35">
      <c r="A27" s="4" t="s">
        <v>36</v>
      </c>
      <c r="B27" s="12" t="s">
        <v>150</v>
      </c>
      <c r="C27" s="13"/>
      <c r="D27" s="13"/>
      <c r="E27" s="13">
        <v>44783.569444444445</v>
      </c>
      <c r="F27" s="12">
        <v>3.8</v>
      </c>
      <c r="G27" s="159" t="s">
        <v>163</v>
      </c>
      <c r="H27" s="12" t="s">
        <v>944</v>
      </c>
      <c r="I27" s="12" t="s">
        <v>334</v>
      </c>
      <c r="J27" s="13">
        <v>44783.690972222219</v>
      </c>
      <c r="K27" s="32"/>
      <c r="L27" s="14">
        <f t="shared" si="0"/>
        <v>0.12152777777373558</v>
      </c>
      <c r="M27" s="31">
        <f t="shared" si="1"/>
        <v>0.4618055555401952</v>
      </c>
      <c r="N27" s="15" t="str">
        <f>IF(Table2683257[[#This Row],[Fault Type]]="PM",IF(L27&lt;=(D27-C27),"Yes","No"),"")</f>
        <v/>
      </c>
      <c r="O27" s="16" t="str">
        <f t="shared" si="2"/>
        <v/>
      </c>
      <c r="P2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7" s="144"/>
    </row>
    <row r="28" spans="1:17" ht="15.5" x14ac:dyDescent="0.35">
      <c r="A28" s="4" t="s">
        <v>31</v>
      </c>
      <c r="B28" s="12" t="s">
        <v>150</v>
      </c>
      <c r="C28" s="13"/>
      <c r="D28" s="13"/>
      <c r="E28" s="13">
        <v>44783.576388888891</v>
      </c>
      <c r="F28" s="18">
        <v>2.5</v>
      </c>
      <c r="G28" s="159" t="s">
        <v>163</v>
      </c>
      <c r="H28" s="18" t="s">
        <v>945</v>
      </c>
      <c r="I28" s="18" t="s">
        <v>334</v>
      </c>
      <c r="J28" s="13">
        <v>44783.590277777781</v>
      </c>
      <c r="K28" s="32"/>
      <c r="L28" s="14">
        <f t="shared" si="0"/>
        <v>1.3888888890505768E-2</v>
      </c>
      <c r="M28" s="31">
        <f t="shared" si="1"/>
        <v>3.4722222226264421E-2</v>
      </c>
      <c r="N28" s="15" t="str">
        <f>IF(Table2683257[[#This Row],[Fault Type]]="PM",IF(L28&lt;=(D28-C28),"Yes","No"),"")</f>
        <v/>
      </c>
      <c r="O28" s="16" t="str">
        <f t="shared" si="2"/>
        <v/>
      </c>
      <c r="P2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8" s="144"/>
    </row>
    <row r="29" spans="1:17" ht="15.5" x14ac:dyDescent="0.35">
      <c r="A29" s="4" t="s">
        <v>45</v>
      </c>
      <c r="B29" s="12" t="s">
        <v>150</v>
      </c>
      <c r="C29" s="13"/>
      <c r="D29" s="13"/>
      <c r="E29" s="13">
        <v>44783.577777777777</v>
      </c>
      <c r="F29" s="18">
        <v>3</v>
      </c>
      <c r="G29" s="159" t="s">
        <v>164</v>
      </c>
      <c r="H29" s="18" t="s">
        <v>946</v>
      </c>
      <c r="I29" s="18"/>
      <c r="J29" s="13">
        <v>44783.623611111114</v>
      </c>
      <c r="K29" s="32"/>
      <c r="L29" s="14">
        <f t="shared" si="0"/>
        <v>4.5833333337213844E-2</v>
      </c>
      <c r="M29" s="31">
        <f t="shared" ref="M29:M80" si="3">L29*F29</f>
        <v>0.13750000001164153</v>
      </c>
      <c r="N29" s="15" t="str">
        <f>IF(Table2683257[[#This Row],[Fault Type]]="PM",IF(L29&lt;=(D29-C29),"Yes","No"),"")</f>
        <v/>
      </c>
      <c r="O29" s="16" t="str">
        <f t="shared" si="2"/>
        <v/>
      </c>
      <c r="P2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29" s="144"/>
    </row>
    <row r="30" spans="1:17" ht="15.5" x14ac:dyDescent="0.35">
      <c r="A30" s="4" t="s">
        <v>23</v>
      </c>
      <c r="B30" s="12" t="s">
        <v>150</v>
      </c>
      <c r="C30" s="13"/>
      <c r="D30" s="160"/>
      <c r="E30" s="13">
        <v>44783.577777777777</v>
      </c>
      <c r="F30" s="12">
        <v>6</v>
      </c>
      <c r="G30" s="159" t="s">
        <v>164</v>
      </c>
      <c r="H30" s="12" t="s">
        <v>502</v>
      </c>
      <c r="I30" s="12" t="s">
        <v>334</v>
      </c>
      <c r="J30" s="13">
        <v>44783.709027777775</v>
      </c>
      <c r="K30" s="32"/>
      <c r="L30" s="14">
        <f t="shared" si="0"/>
        <v>0.13124999999854481</v>
      </c>
      <c r="M30" s="31">
        <f t="shared" si="3"/>
        <v>0.78749999999126885</v>
      </c>
      <c r="N30" s="15" t="str">
        <f>IF(Table2683257[[#This Row],[Fault Type]]="PM",IF(L30&lt;=(D30-C30),"Yes","No"),"")</f>
        <v/>
      </c>
      <c r="O30" s="16" t="str">
        <f t="shared" si="2"/>
        <v/>
      </c>
      <c r="P3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0" s="144"/>
    </row>
    <row r="31" spans="1:17" ht="15.5" x14ac:dyDescent="0.35">
      <c r="A31" s="4" t="s">
        <v>371</v>
      </c>
      <c r="B31" s="12" t="s">
        <v>150</v>
      </c>
      <c r="C31" s="13"/>
      <c r="D31" s="13"/>
      <c r="E31" s="13">
        <v>44783.595138888886</v>
      </c>
      <c r="F31" s="18">
        <v>2.9</v>
      </c>
      <c r="G31" s="159" t="s">
        <v>164</v>
      </c>
      <c r="H31" s="18" t="s">
        <v>947</v>
      </c>
      <c r="I31" s="18" t="s">
        <v>334</v>
      </c>
      <c r="J31" s="13">
        <v>44783.72152777778</v>
      </c>
      <c r="K31" s="32"/>
      <c r="L31" s="14">
        <f t="shared" si="0"/>
        <v>0.12638888889341615</v>
      </c>
      <c r="M31" s="31">
        <f t="shared" si="3"/>
        <v>0.36652777779090684</v>
      </c>
      <c r="N31" s="15" t="str">
        <f>IF(Table2683257[[#This Row],[Fault Type]]="PM",IF(L31&lt;=(D31-C31),"Yes","No"),"")</f>
        <v/>
      </c>
      <c r="O31" s="16" t="str">
        <f t="shared" si="2"/>
        <v/>
      </c>
      <c r="P3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1" s="17"/>
    </row>
    <row r="32" spans="1:17" ht="15.5" x14ac:dyDescent="0.35">
      <c r="A32" s="4" t="s">
        <v>27</v>
      </c>
      <c r="B32" s="12" t="s">
        <v>150</v>
      </c>
      <c r="C32" s="13"/>
      <c r="D32" s="160"/>
      <c r="E32" s="13">
        <v>44783.613888888889</v>
      </c>
      <c r="F32" s="18">
        <v>1.8</v>
      </c>
      <c r="G32" s="159" t="s">
        <v>164</v>
      </c>
      <c r="H32" s="18" t="s">
        <v>948</v>
      </c>
      <c r="I32" s="18" t="s">
        <v>334</v>
      </c>
      <c r="J32" s="13">
        <v>44783.691666666666</v>
      </c>
      <c r="K32" s="32"/>
      <c r="L32" s="14">
        <f t="shared" si="0"/>
        <v>7.7777777776645962E-2</v>
      </c>
      <c r="M32" s="31">
        <f t="shared" si="3"/>
        <v>0.13999999999796273</v>
      </c>
      <c r="N32" s="15" t="str">
        <f>IF(Table2683257[[#This Row],[Fault Type]]="PM",IF(L32&lt;=(D32-C32),"Yes","No"),"")</f>
        <v/>
      </c>
      <c r="O32" s="16" t="str">
        <f t="shared" si="2"/>
        <v/>
      </c>
      <c r="P3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2" s="17"/>
    </row>
    <row r="33" spans="1:17" ht="15.5" x14ac:dyDescent="0.35">
      <c r="A33" s="4" t="s">
        <v>17</v>
      </c>
      <c r="B33" s="12" t="s">
        <v>150</v>
      </c>
      <c r="C33" s="13"/>
      <c r="D33" s="13"/>
      <c r="E33" s="13">
        <v>44783.614583333336</v>
      </c>
      <c r="F33" s="18">
        <v>16</v>
      </c>
      <c r="G33" s="159" t="s">
        <v>162</v>
      </c>
      <c r="H33" s="18" t="s">
        <v>526</v>
      </c>
      <c r="I33" s="18" t="s">
        <v>526</v>
      </c>
      <c r="J33" s="13">
        <v>44783.621527777781</v>
      </c>
      <c r="K33" s="32"/>
      <c r="L33" s="14">
        <f t="shared" si="0"/>
        <v>6.9444444452528842E-3</v>
      </c>
      <c r="M33" s="31">
        <f t="shared" si="3"/>
        <v>0.11111111112404615</v>
      </c>
      <c r="N33" s="15" t="str">
        <f>IF(Table2683257[[#This Row],[Fault Type]]="PM",IF(L33&lt;=(D33-C33),"Yes","No"),"")</f>
        <v/>
      </c>
      <c r="O33" s="16" t="str">
        <f t="shared" si="2"/>
        <v/>
      </c>
      <c r="P3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3" s="17"/>
    </row>
    <row r="34" spans="1:17" ht="15.5" x14ac:dyDescent="0.35">
      <c r="A34" s="4" t="s">
        <v>31</v>
      </c>
      <c r="B34" s="12" t="s">
        <v>150</v>
      </c>
      <c r="C34" s="13"/>
      <c r="D34" s="13"/>
      <c r="E34" s="13">
        <v>44783.625</v>
      </c>
      <c r="F34" s="18">
        <v>10.3</v>
      </c>
      <c r="G34" s="159" t="s">
        <v>164</v>
      </c>
      <c r="H34" s="18"/>
      <c r="I34" s="18"/>
      <c r="J34" s="13"/>
      <c r="K34" s="32"/>
      <c r="L34" s="14">
        <f t="shared" si="0"/>
        <v>-44783.625</v>
      </c>
      <c r="M34" s="31">
        <f t="shared" si="3"/>
        <v>-461271.33750000002</v>
      </c>
      <c r="N34" s="15" t="str">
        <f>IF(Table2683257[[#This Row],[Fault Type]]="PM",IF(L34&lt;=(D34-C34),"Yes","No"),"")</f>
        <v/>
      </c>
      <c r="O34" s="16" t="str">
        <f t="shared" si="2"/>
        <v/>
      </c>
      <c r="P3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34" s="17"/>
    </row>
    <row r="35" spans="1:17" ht="15.5" x14ac:dyDescent="0.35">
      <c r="A35" s="4" t="s">
        <v>41</v>
      </c>
      <c r="B35" s="12" t="s">
        <v>150</v>
      </c>
      <c r="C35" s="13"/>
      <c r="D35" s="13"/>
      <c r="E35" s="13">
        <v>44783.645138888889</v>
      </c>
      <c r="F35" s="18">
        <v>5.5</v>
      </c>
      <c r="G35" s="159" t="s">
        <v>164</v>
      </c>
      <c r="H35" s="18" t="s">
        <v>949</v>
      </c>
      <c r="I35" s="18" t="s">
        <v>334</v>
      </c>
      <c r="J35" s="13">
        <v>44783.673611111109</v>
      </c>
      <c r="K35" s="32"/>
      <c r="L35" s="14">
        <f t="shared" si="0"/>
        <v>2.8472222220443655E-2</v>
      </c>
      <c r="M35" s="31">
        <f t="shared" si="3"/>
        <v>0.1565972222124401</v>
      </c>
      <c r="N35" s="15" t="str">
        <f>IF(Table2683257[[#This Row],[Fault Type]]="PM",IF(L35&lt;=(D35-C35),"Yes","No"),"")</f>
        <v/>
      </c>
      <c r="O35" s="16" t="str">
        <f t="shared" si="2"/>
        <v/>
      </c>
      <c r="P3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5" s="17"/>
    </row>
    <row r="36" spans="1:17" ht="15.5" x14ac:dyDescent="0.35">
      <c r="A36" s="4" t="s">
        <v>39</v>
      </c>
      <c r="B36" s="12" t="s">
        <v>150</v>
      </c>
      <c r="C36" s="13"/>
      <c r="D36" s="13"/>
      <c r="E36" s="13">
        <v>44783.646527777775</v>
      </c>
      <c r="F36" s="18">
        <v>11</v>
      </c>
      <c r="G36" s="159" t="s">
        <v>163</v>
      </c>
      <c r="H36" s="18" t="s">
        <v>728</v>
      </c>
      <c r="I36" s="18" t="s">
        <v>334</v>
      </c>
      <c r="J36" s="13">
        <v>44783.720833333333</v>
      </c>
      <c r="K36" s="32"/>
      <c r="L36" s="14">
        <f t="shared" si="0"/>
        <v>7.4305555557657499E-2</v>
      </c>
      <c r="M36" s="31">
        <f t="shared" si="3"/>
        <v>0.81736111113423249</v>
      </c>
      <c r="N36" s="15" t="str">
        <f>IF(Table2683257[[#This Row],[Fault Type]]="PM",IF(L36&lt;=(D36-C36),"Yes","No"),"")</f>
        <v/>
      </c>
      <c r="O36" s="16" t="str">
        <f t="shared" si="2"/>
        <v/>
      </c>
      <c r="P3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6" s="17"/>
    </row>
    <row r="37" spans="1:17" ht="15.5" x14ac:dyDescent="0.35">
      <c r="A37" s="4" t="s">
        <v>40</v>
      </c>
      <c r="B37" s="12" t="s">
        <v>150</v>
      </c>
      <c r="C37" s="13"/>
      <c r="D37" s="13"/>
      <c r="E37" s="13">
        <v>44783.663888888892</v>
      </c>
      <c r="F37" s="18">
        <v>14.4</v>
      </c>
      <c r="G37" s="159" t="s">
        <v>164</v>
      </c>
      <c r="H37" s="18"/>
      <c r="I37" s="18"/>
      <c r="J37" s="13"/>
      <c r="K37" s="32"/>
      <c r="L37" s="14">
        <f t="shared" si="0"/>
        <v>-44783.663888888892</v>
      </c>
      <c r="M37" s="31">
        <f t="shared" si="3"/>
        <v>-644884.76</v>
      </c>
      <c r="N37" s="15" t="str">
        <f>IF(Table2683257[[#This Row],[Fault Type]]="PM",IF(L37&lt;=(D37-C37),"Yes","No"),"")</f>
        <v/>
      </c>
      <c r="O37" s="16" t="str">
        <f t="shared" si="2"/>
        <v/>
      </c>
      <c r="P3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37" s="17"/>
    </row>
    <row r="38" spans="1:17" ht="15.5" x14ac:dyDescent="0.35">
      <c r="A38" s="4" t="s">
        <v>314</v>
      </c>
      <c r="B38" s="12" t="s">
        <v>150</v>
      </c>
      <c r="C38" s="13"/>
      <c r="D38" s="13"/>
      <c r="E38" s="13">
        <v>44783.679166666669</v>
      </c>
      <c r="F38" s="18">
        <v>5.8</v>
      </c>
      <c r="G38" s="159" t="s">
        <v>164</v>
      </c>
      <c r="H38" s="18" t="s">
        <v>950</v>
      </c>
      <c r="I38" s="18" t="s">
        <v>334</v>
      </c>
      <c r="J38" s="13">
        <v>44783.713194444441</v>
      </c>
      <c r="K38" s="32"/>
      <c r="L38" s="14">
        <f t="shared" si="0"/>
        <v>3.4027777772280388E-2</v>
      </c>
      <c r="M38" s="31">
        <f t="shared" si="3"/>
        <v>0.19736111107922624</v>
      </c>
      <c r="N38" s="15" t="str">
        <f>IF(Table2683257[[#This Row],[Fault Type]]="PM",IF(L38&lt;=(D38-C38),"Yes","No"),"")</f>
        <v/>
      </c>
      <c r="O38" s="16" t="str">
        <f t="shared" si="2"/>
        <v/>
      </c>
      <c r="P3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8" s="17"/>
    </row>
    <row r="39" spans="1:17" ht="15.5" x14ac:dyDescent="0.35">
      <c r="A39" s="4" t="s">
        <v>38</v>
      </c>
      <c r="B39" s="12" t="s">
        <v>150</v>
      </c>
      <c r="C39" s="13"/>
      <c r="D39" s="13"/>
      <c r="E39" s="13">
        <v>44783.691666666666</v>
      </c>
      <c r="F39" s="18">
        <v>14.4</v>
      </c>
      <c r="G39" s="159" t="s">
        <v>164</v>
      </c>
      <c r="H39" s="18" t="s">
        <v>508</v>
      </c>
      <c r="I39" s="18" t="s">
        <v>334</v>
      </c>
      <c r="J39" s="13">
        <v>44783.792361111111</v>
      </c>
      <c r="K39" s="32"/>
      <c r="L39" s="14">
        <f t="shared" si="0"/>
        <v>0.10069444444525288</v>
      </c>
      <c r="M39" s="31">
        <f t="shared" si="3"/>
        <v>1.4500000000116415</v>
      </c>
      <c r="N39" s="15" t="str">
        <f>IF(Table2683257[[#This Row],[Fault Type]]="PM",IF(L39&lt;=(D39-C39),"Yes","No"),"")</f>
        <v/>
      </c>
      <c r="O39" s="16" t="str">
        <f t="shared" si="2"/>
        <v/>
      </c>
      <c r="P3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39" s="17"/>
    </row>
    <row r="40" spans="1:17" ht="15.5" x14ac:dyDescent="0.35">
      <c r="A40" s="4" t="s">
        <v>74</v>
      </c>
      <c r="B40" s="12" t="s">
        <v>150</v>
      </c>
      <c r="C40" s="13"/>
      <c r="D40" s="13"/>
      <c r="E40" s="13">
        <v>44783.72152777778</v>
      </c>
      <c r="F40" s="18"/>
      <c r="G40" s="159" t="s">
        <v>164</v>
      </c>
      <c r="H40" s="18" t="s">
        <v>951</v>
      </c>
      <c r="I40" s="18" t="s">
        <v>333</v>
      </c>
      <c r="J40" s="13">
        <v>44783.869444444441</v>
      </c>
      <c r="K40" s="32"/>
      <c r="L40" s="14">
        <f t="shared" si="0"/>
        <v>0.14791666666133096</v>
      </c>
      <c r="M40" s="31">
        <f t="shared" si="3"/>
        <v>0</v>
      </c>
      <c r="N40" s="15" t="str">
        <f>IF(Table2683257[[#This Row],[Fault Type]]="PM",IF(L40&lt;=(D40-C40),"Yes","No"),"")</f>
        <v/>
      </c>
      <c r="O40" s="16" t="str">
        <f t="shared" si="2"/>
        <v/>
      </c>
      <c r="P4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0" s="17"/>
    </row>
    <row r="41" spans="1:17" ht="15.5" x14ac:dyDescent="0.35">
      <c r="A41" s="4" t="s">
        <v>195</v>
      </c>
      <c r="B41" s="12" t="s">
        <v>150</v>
      </c>
      <c r="C41" s="13"/>
      <c r="D41" s="13"/>
      <c r="E41" s="13">
        <v>44783.731944444444</v>
      </c>
      <c r="F41" s="18">
        <v>2.9</v>
      </c>
      <c r="G41" s="159" t="s">
        <v>164</v>
      </c>
      <c r="H41" s="18" t="s">
        <v>705</v>
      </c>
      <c r="I41" s="18" t="s">
        <v>334</v>
      </c>
      <c r="J41" s="13">
        <v>44783.823611111111</v>
      </c>
      <c r="K41" s="32"/>
      <c r="L41" s="14">
        <f t="shared" si="0"/>
        <v>9.1666666667151731E-2</v>
      </c>
      <c r="M41" s="31">
        <f t="shared" si="3"/>
        <v>0.26583333333474002</v>
      </c>
      <c r="N41" s="15" t="str">
        <f>IF(Table2683257[[#This Row],[Fault Type]]="PM",IF(L41&lt;=(D41-C41),"Yes","No"),"")</f>
        <v/>
      </c>
      <c r="O41" s="16" t="str">
        <f t="shared" si="2"/>
        <v/>
      </c>
      <c r="P4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1" s="17"/>
    </row>
    <row r="42" spans="1:17" ht="15.5" x14ac:dyDescent="0.35">
      <c r="A42" s="4" t="s">
        <v>81</v>
      </c>
      <c r="B42" s="12" t="s">
        <v>158</v>
      </c>
      <c r="C42" s="13"/>
      <c r="D42" s="13"/>
      <c r="E42" s="13">
        <v>44783.740972222222</v>
      </c>
      <c r="F42" s="18">
        <v>2.5</v>
      </c>
      <c r="G42" s="159"/>
      <c r="H42" s="18" t="s">
        <v>952</v>
      </c>
      <c r="I42" s="18" t="s">
        <v>333</v>
      </c>
      <c r="J42" s="13">
        <v>44783.753472222219</v>
      </c>
      <c r="K42" s="32"/>
      <c r="L42" s="14">
        <f t="shared" si="0"/>
        <v>1.2499999997089617E-2</v>
      </c>
      <c r="M42" s="31">
        <f t="shared" si="3"/>
        <v>3.1249999992724042E-2</v>
      </c>
      <c r="N42" s="15" t="str">
        <f>IF(Table2683257[[#This Row],[Fault Type]]="PM",IF(L42&lt;=(D42-C42),"Yes","No"),"")</f>
        <v/>
      </c>
      <c r="O42" s="16" t="str">
        <f t="shared" si="2"/>
        <v/>
      </c>
      <c r="P4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2" s="17"/>
    </row>
    <row r="43" spans="1:17" ht="15.5" x14ac:dyDescent="0.35">
      <c r="A43" s="4" t="s">
        <v>36</v>
      </c>
      <c r="B43" s="12" t="s">
        <v>150</v>
      </c>
      <c r="C43" s="13"/>
      <c r="D43" s="13"/>
      <c r="E43" s="13">
        <v>44783.759027777778</v>
      </c>
      <c r="F43" s="18">
        <v>2.7</v>
      </c>
      <c r="G43" s="159" t="s">
        <v>163</v>
      </c>
      <c r="H43" s="18" t="s">
        <v>953</v>
      </c>
      <c r="I43" s="18" t="s">
        <v>334</v>
      </c>
      <c r="J43" s="13">
        <v>44784.12777777778</v>
      </c>
      <c r="K43" s="32"/>
      <c r="L43" s="14">
        <f t="shared" si="0"/>
        <v>0.36875000000145519</v>
      </c>
      <c r="M43" s="31">
        <f t="shared" si="3"/>
        <v>0.99562500000392906</v>
      </c>
      <c r="N43" s="15" t="str">
        <f>IF(Table2683257[[#This Row],[Fault Type]]="PM",IF(L43&lt;=(D43-C43),"Yes","No"),"")</f>
        <v/>
      </c>
      <c r="O43" s="16" t="str">
        <f t="shared" si="2"/>
        <v/>
      </c>
      <c r="P4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43" s="17"/>
    </row>
    <row r="44" spans="1:17" ht="15.5" x14ac:dyDescent="0.35">
      <c r="A44" s="4" t="s">
        <v>354</v>
      </c>
      <c r="B44" s="12" t="s">
        <v>150</v>
      </c>
      <c r="C44" s="13"/>
      <c r="D44" s="13"/>
      <c r="E44" s="13">
        <v>44783.752083333333</v>
      </c>
      <c r="F44" s="18">
        <v>3.6</v>
      </c>
      <c r="G44" s="159" t="s">
        <v>162</v>
      </c>
      <c r="H44" s="18" t="s">
        <v>954</v>
      </c>
      <c r="I44" s="18" t="s">
        <v>333</v>
      </c>
      <c r="J44" s="13">
        <v>44783.759027777778</v>
      </c>
      <c r="K44" s="32"/>
      <c r="L44" s="14">
        <f t="shared" si="0"/>
        <v>6.9444444452528842E-3</v>
      </c>
      <c r="M44" s="31">
        <f t="shared" si="3"/>
        <v>2.5000000002910385E-2</v>
      </c>
      <c r="N44" s="15" t="str">
        <f>IF(Table2683257[[#This Row],[Fault Type]]="PM",IF(L44&lt;=(D44-C44),"Yes","No"),"")</f>
        <v/>
      </c>
      <c r="O44" s="16" t="str">
        <f t="shared" si="2"/>
        <v/>
      </c>
      <c r="P4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4" s="17"/>
    </row>
    <row r="45" spans="1:17" ht="15.5" x14ac:dyDescent="0.35">
      <c r="A45" s="4" t="s">
        <v>32</v>
      </c>
      <c r="B45" s="12" t="s">
        <v>150</v>
      </c>
      <c r="C45" s="13"/>
      <c r="D45" s="13"/>
      <c r="E45" s="13">
        <v>44783.759722222225</v>
      </c>
      <c r="F45" s="18"/>
      <c r="G45" s="159" t="s">
        <v>163</v>
      </c>
      <c r="H45" s="18" t="s">
        <v>508</v>
      </c>
      <c r="I45" s="18" t="s">
        <v>334</v>
      </c>
      <c r="J45" s="13">
        <v>44783.920138888891</v>
      </c>
      <c r="K45" s="32"/>
      <c r="L45" s="14">
        <f t="shared" si="0"/>
        <v>0.16041666666569654</v>
      </c>
      <c r="M45" s="31">
        <f t="shared" si="3"/>
        <v>0</v>
      </c>
      <c r="N45" s="15" t="str">
        <f>IF(Table2683257[[#This Row],[Fault Type]]="PM",IF(L45&lt;=(D45-C45),"Yes","No"),"")</f>
        <v/>
      </c>
      <c r="O45" s="16" t="str">
        <f t="shared" si="2"/>
        <v/>
      </c>
      <c r="P4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5" s="17"/>
    </row>
    <row r="46" spans="1:17" ht="15.75" customHeight="1" x14ac:dyDescent="0.35">
      <c r="A46" s="4" t="s">
        <v>30</v>
      </c>
      <c r="B46" s="12" t="s">
        <v>150</v>
      </c>
      <c r="C46" s="13"/>
      <c r="D46" s="13"/>
      <c r="E46" s="13">
        <v>44783.75</v>
      </c>
      <c r="F46" s="12">
        <v>6.2</v>
      </c>
      <c r="G46" s="159" t="s">
        <v>164</v>
      </c>
      <c r="H46" s="12" t="s">
        <v>955</v>
      </c>
      <c r="I46" s="12" t="s">
        <v>334</v>
      </c>
      <c r="J46" s="13">
        <v>44783.777777777781</v>
      </c>
      <c r="K46" s="32"/>
      <c r="L46" s="14">
        <f t="shared" si="0"/>
        <v>2.7777777781011537E-2</v>
      </c>
      <c r="M46" s="31">
        <f t="shared" si="3"/>
        <v>0.17222222224227154</v>
      </c>
      <c r="N46" s="15" t="str">
        <f>IF(Table2683257[[#This Row],[Fault Type]]="PM",IF(L46&lt;=(D46-C46),"Yes","No"),"")</f>
        <v/>
      </c>
      <c r="O46" s="16" t="str">
        <f t="shared" si="2"/>
        <v/>
      </c>
      <c r="P4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6" s="17"/>
    </row>
    <row r="47" spans="1:17" ht="15.5" x14ac:dyDescent="0.35">
      <c r="A47" s="4" t="s">
        <v>17</v>
      </c>
      <c r="B47" s="12" t="s">
        <v>150</v>
      </c>
      <c r="C47" s="13"/>
      <c r="D47" s="13"/>
      <c r="E47" s="13">
        <v>44783.831250000003</v>
      </c>
      <c r="F47" s="18">
        <v>12</v>
      </c>
      <c r="G47" s="159" t="s">
        <v>162</v>
      </c>
      <c r="H47" s="18" t="s">
        <v>526</v>
      </c>
      <c r="I47" s="18" t="s">
        <v>526</v>
      </c>
      <c r="J47" s="13">
        <v>44783.841666666667</v>
      </c>
      <c r="K47" s="32"/>
      <c r="L47" s="14">
        <f t="shared" si="0"/>
        <v>1.0416666664241347E-2</v>
      </c>
      <c r="M47" s="31">
        <f t="shared" si="3"/>
        <v>0.12499999997089617</v>
      </c>
      <c r="N47" s="15" t="str">
        <f>IF(Table2683257[[#This Row],[Fault Type]]="PM",IF(L47&lt;=(D47-C47),"Yes","No"),"")</f>
        <v/>
      </c>
      <c r="O47" s="16" t="str">
        <f t="shared" si="2"/>
        <v/>
      </c>
      <c r="P4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c r="Q47" s="17"/>
    </row>
    <row r="48" spans="1:17" ht="15.5" x14ac:dyDescent="0.35">
      <c r="A48" s="4" t="s">
        <v>51</v>
      </c>
      <c r="B48" s="49" t="s">
        <v>150</v>
      </c>
      <c r="C48" s="49"/>
      <c r="D48" s="49"/>
      <c r="E48" s="13">
        <v>44783.847222222219</v>
      </c>
      <c r="F48" s="64">
        <v>5.2</v>
      </c>
      <c r="G48" s="159" t="s">
        <v>164</v>
      </c>
      <c r="H48" s="54" t="s">
        <v>956</v>
      </c>
      <c r="I48" s="54" t="s">
        <v>334</v>
      </c>
      <c r="J48" s="13">
        <v>44783.90625</v>
      </c>
      <c r="K48" s="32"/>
      <c r="L48" s="14">
        <f t="shared" si="0"/>
        <v>5.9027777781011537E-2</v>
      </c>
      <c r="M48" s="53">
        <f t="shared" si="3"/>
        <v>0.30694444446126001</v>
      </c>
      <c r="N48" s="50" t="str">
        <f>IF(Table2683257[[#This Row],[Fault Type]]="PM",IF(L48&lt;=(D48-C48),"Yes","No"),"")</f>
        <v/>
      </c>
      <c r="O48" s="51" t="str">
        <f t="shared" si="2"/>
        <v/>
      </c>
      <c r="P4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Yes</v>
      </c>
    </row>
    <row r="49" spans="1:17" ht="15.5" x14ac:dyDescent="0.35">
      <c r="A49" s="58" t="s">
        <v>369</v>
      </c>
      <c r="B49" s="55" t="s">
        <v>150</v>
      </c>
      <c r="C49" s="56"/>
      <c r="D49" s="56"/>
      <c r="E49" s="13">
        <v>44783.909722222219</v>
      </c>
      <c r="F49" s="55"/>
      <c r="G49" s="159" t="s">
        <v>163</v>
      </c>
      <c r="H49" s="57" t="s">
        <v>957</v>
      </c>
      <c r="I49" s="18" t="s">
        <v>333</v>
      </c>
      <c r="J49" s="13">
        <v>44783.045138888891</v>
      </c>
      <c r="K49" s="32"/>
      <c r="L49" s="14">
        <f t="shared" si="0"/>
        <v>-0.86458333332848269</v>
      </c>
      <c r="M49" s="59">
        <f t="shared" si="3"/>
        <v>0</v>
      </c>
      <c r="N49" s="61" t="str">
        <f>IF(Table2683257[[#This Row],[Fault Type]]="PM",IF(L49&lt;=(D49-C49),"Yes","No"),"")</f>
        <v/>
      </c>
      <c r="O49" s="62" t="str">
        <f t="shared" si="2"/>
        <v/>
      </c>
      <c r="P4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49" s="63"/>
    </row>
    <row r="50" spans="1:17" ht="15.5" x14ac:dyDescent="0.35">
      <c r="A50" s="58" t="s">
        <v>122</v>
      </c>
      <c r="B50" s="55" t="s">
        <v>150</v>
      </c>
      <c r="C50" s="56"/>
      <c r="D50" s="56"/>
      <c r="E50" s="13">
        <v>44783.986111111109</v>
      </c>
      <c r="F50" s="55">
        <v>6.4</v>
      </c>
      <c r="G50" s="159" t="s">
        <v>164</v>
      </c>
      <c r="H50" s="57" t="s">
        <v>958</v>
      </c>
      <c r="I50" s="18" t="s">
        <v>333</v>
      </c>
      <c r="J50" s="13">
        <v>44784.521527777775</v>
      </c>
      <c r="K50" s="32"/>
      <c r="L50" s="14">
        <f t="shared" si="0"/>
        <v>0.53541666666569654</v>
      </c>
      <c r="M50" s="59">
        <f t="shared" si="3"/>
        <v>3.4266666666604579</v>
      </c>
      <c r="N50" s="61" t="str">
        <f>IF(Table2683257[[#This Row],[Fault Type]]="PM",IF(L50&lt;=(D50-C50),"Yes","No"),"")</f>
        <v/>
      </c>
      <c r="O50" s="62" t="str">
        <f t="shared" si="2"/>
        <v/>
      </c>
      <c r="P5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50" s="63"/>
    </row>
    <row r="51" spans="1:17" ht="15.5" x14ac:dyDescent="0.35">
      <c r="A51" s="58" t="s">
        <v>43</v>
      </c>
      <c r="B51" s="55" t="s">
        <v>150</v>
      </c>
      <c r="C51" s="56"/>
      <c r="D51" s="56"/>
      <c r="E51" s="13">
        <v>44783.990277777775</v>
      </c>
      <c r="F51" s="55">
        <v>2.1</v>
      </c>
      <c r="G51" s="159" t="s">
        <v>164</v>
      </c>
      <c r="H51" s="57" t="s">
        <v>959</v>
      </c>
      <c r="I51" s="18" t="s">
        <v>334</v>
      </c>
      <c r="J51" s="13">
        <v>44784.493055555555</v>
      </c>
      <c r="K51" s="32"/>
      <c r="L51" s="14">
        <f t="shared" si="0"/>
        <v>0.50277777777955635</v>
      </c>
      <c r="M51" s="59">
        <f t="shared" si="3"/>
        <v>1.0558333333370684</v>
      </c>
      <c r="N51" s="61" t="str">
        <f>IF(Table2683257[[#This Row],[Fault Type]]="PM",IF(L51&lt;=(D51-C51),"Yes","No"),"")</f>
        <v/>
      </c>
      <c r="O51" s="62" t="str">
        <f t="shared" si="2"/>
        <v/>
      </c>
      <c r="P5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No</v>
      </c>
      <c r="Q51" s="63"/>
    </row>
    <row r="52" spans="1:17" ht="15.5" x14ac:dyDescent="0.35">
      <c r="A52" s="58"/>
      <c r="B52" s="55"/>
      <c r="C52" s="56"/>
      <c r="D52" s="56"/>
      <c r="E52" s="13"/>
      <c r="F52" s="55"/>
      <c r="G52" s="159"/>
      <c r="H52" s="57"/>
      <c r="I52" s="18"/>
      <c r="J52" s="13"/>
      <c r="K52" s="83"/>
      <c r="L52" s="14">
        <f t="shared" si="0"/>
        <v>0</v>
      </c>
      <c r="M52" s="59">
        <f t="shared" si="3"/>
        <v>0</v>
      </c>
      <c r="N52" s="61" t="str">
        <f>IF(Table2683257[[#This Row],[Fault Type]]="PM",IF(L52&lt;=(D52-C52),"Yes","No"),"")</f>
        <v/>
      </c>
      <c r="O52" s="62" t="str">
        <f t="shared" si="2"/>
        <v/>
      </c>
      <c r="P5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2" s="63"/>
    </row>
    <row r="53" spans="1:17" ht="15.5" x14ac:dyDescent="0.35">
      <c r="A53" s="58"/>
      <c r="B53" s="55"/>
      <c r="C53" s="56"/>
      <c r="D53" s="56"/>
      <c r="E53" s="13"/>
      <c r="F53" s="55"/>
      <c r="G53" s="159"/>
      <c r="H53" s="57"/>
      <c r="I53" s="18"/>
      <c r="J53" s="13"/>
      <c r="K53" s="83"/>
      <c r="L53" s="14">
        <f t="shared" si="0"/>
        <v>0</v>
      </c>
      <c r="M53" s="59">
        <f t="shared" si="3"/>
        <v>0</v>
      </c>
      <c r="N53" s="61" t="str">
        <f>IF(Table2683257[[#This Row],[Fault Type]]="PM",IF(L53&lt;=(D53-C53),"Yes","No"),"")</f>
        <v/>
      </c>
      <c r="O53" s="62" t="str">
        <f t="shared" si="2"/>
        <v/>
      </c>
      <c r="P5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3" s="63"/>
    </row>
    <row r="54" spans="1:17" ht="15.5" x14ac:dyDescent="0.35">
      <c r="A54" s="58"/>
      <c r="B54" s="55"/>
      <c r="C54" s="56"/>
      <c r="D54" s="56"/>
      <c r="E54" s="13"/>
      <c r="F54" s="55"/>
      <c r="G54" s="159"/>
      <c r="H54" s="57"/>
      <c r="I54" s="18"/>
      <c r="J54" s="13"/>
      <c r="K54" s="83"/>
      <c r="L54" s="14">
        <f t="shared" si="0"/>
        <v>0</v>
      </c>
      <c r="M54" s="59">
        <f t="shared" si="3"/>
        <v>0</v>
      </c>
      <c r="N54" s="61" t="str">
        <f>IF(Table2683257[[#This Row],[Fault Type]]="PM",IF(L54&lt;=(D54-C54),"Yes","No"),"")</f>
        <v/>
      </c>
      <c r="O54" s="62" t="str">
        <f t="shared" si="2"/>
        <v/>
      </c>
      <c r="P5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4" s="63"/>
    </row>
    <row r="55" spans="1:17" ht="15.5" x14ac:dyDescent="0.35">
      <c r="A55" s="58"/>
      <c r="B55" s="55"/>
      <c r="C55" s="56"/>
      <c r="D55" s="56"/>
      <c r="E55" s="13"/>
      <c r="F55" s="55"/>
      <c r="G55" s="159"/>
      <c r="H55" s="57"/>
      <c r="I55" s="18"/>
      <c r="J55" s="13"/>
      <c r="K55" s="83"/>
      <c r="L55" s="14">
        <f t="shared" si="0"/>
        <v>0</v>
      </c>
      <c r="M55" s="59">
        <f t="shared" si="3"/>
        <v>0</v>
      </c>
      <c r="N55" s="61" t="str">
        <f>IF(Table2683257[[#This Row],[Fault Type]]="PM",IF(L55&lt;=(D55-C55),"Yes","No"),"")</f>
        <v/>
      </c>
      <c r="O55" s="62" t="str">
        <f t="shared" si="2"/>
        <v/>
      </c>
      <c r="P5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5" s="63"/>
    </row>
    <row r="56" spans="1:17" ht="15.5" x14ac:dyDescent="0.35">
      <c r="A56" s="58"/>
      <c r="B56" s="55"/>
      <c r="C56" s="56"/>
      <c r="D56" s="56"/>
      <c r="E56" s="13"/>
      <c r="F56" s="55"/>
      <c r="G56" s="159"/>
      <c r="H56" s="57"/>
      <c r="I56" s="18"/>
      <c r="J56" s="13"/>
      <c r="K56" s="83"/>
      <c r="L56" s="14">
        <f t="shared" si="0"/>
        <v>0</v>
      </c>
      <c r="M56" s="59">
        <f t="shared" si="3"/>
        <v>0</v>
      </c>
      <c r="N56" s="61" t="str">
        <f>IF(Table2683257[[#This Row],[Fault Type]]="PM",IF(L56&lt;=(D56-C56),"Yes","No"),"")</f>
        <v/>
      </c>
      <c r="O56" s="62" t="str">
        <f t="shared" si="2"/>
        <v/>
      </c>
      <c r="P5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61" t="str">
        <f>IF(Table2683257[[#This Row],[Fault Type]]="PM",IF(L57&lt;=(D57-C57),"Yes","No"),"")</f>
        <v/>
      </c>
      <c r="O57" s="62" t="str">
        <f t="shared" si="2"/>
        <v/>
      </c>
      <c r="P5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61" t="str">
        <f>IF(Table2683257[[#This Row],[Fault Type]]="PM",IF(L58&lt;=(D58-C58),"Yes","No"),"")</f>
        <v/>
      </c>
      <c r="O58" s="62" t="str">
        <f t="shared" si="2"/>
        <v/>
      </c>
      <c r="P5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61" t="str">
        <f>IF(Table2683257[[#This Row],[Fault Type]]="PM",IF(L59&lt;=(D59-C59),"Yes","No"),"")</f>
        <v/>
      </c>
      <c r="O59" s="62" t="str">
        <f t="shared" si="2"/>
        <v/>
      </c>
      <c r="P5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59" s="63"/>
    </row>
    <row r="60" spans="1:17" ht="15.5" x14ac:dyDescent="0.35">
      <c r="A60" s="58"/>
      <c r="B60" s="55"/>
      <c r="C60" s="56"/>
      <c r="D60" s="56"/>
      <c r="E60" s="13"/>
      <c r="F60" s="55"/>
      <c r="G60" s="159"/>
      <c r="H60" s="57"/>
      <c r="I60" s="18"/>
      <c r="J60" s="13"/>
      <c r="K60" s="83"/>
      <c r="L60" s="14">
        <f t="shared" si="0"/>
        <v>0</v>
      </c>
      <c r="M60" s="59">
        <f t="shared" si="3"/>
        <v>0</v>
      </c>
      <c r="N60" s="61" t="str">
        <f>IF(Table2683257[[#This Row],[Fault Type]]="PM",IF(L60&lt;=(D60-C60),"Yes","No"),"")</f>
        <v/>
      </c>
      <c r="O60" s="62" t="str">
        <f t="shared" si="2"/>
        <v/>
      </c>
      <c r="P6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0" s="63"/>
    </row>
    <row r="61" spans="1:17" ht="15.5" x14ac:dyDescent="0.35">
      <c r="A61" s="58"/>
      <c r="B61" s="55"/>
      <c r="C61" s="56"/>
      <c r="D61" s="56"/>
      <c r="E61" s="13"/>
      <c r="F61" s="55"/>
      <c r="G61" s="159"/>
      <c r="H61" s="57"/>
      <c r="I61" s="18"/>
      <c r="J61" s="13"/>
      <c r="K61" s="83"/>
      <c r="L61" s="14">
        <f t="shared" si="0"/>
        <v>0</v>
      </c>
      <c r="M61" s="59">
        <f t="shared" si="3"/>
        <v>0</v>
      </c>
      <c r="N61" s="61" t="str">
        <f>IF(Table2683257[[#This Row],[Fault Type]]="PM",IF(L61&lt;=(D61-C61),"Yes","No"),"")</f>
        <v/>
      </c>
      <c r="O61" s="62" t="str">
        <f t="shared" si="2"/>
        <v/>
      </c>
      <c r="P6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1" s="63"/>
    </row>
    <row r="62" spans="1:17" ht="15.5" x14ac:dyDescent="0.35">
      <c r="A62" s="58"/>
      <c r="B62" s="55"/>
      <c r="C62" s="56"/>
      <c r="D62" s="56"/>
      <c r="E62" s="13"/>
      <c r="F62" s="55"/>
      <c r="G62" s="159"/>
      <c r="H62" s="57"/>
      <c r="I62" s="18"/>
      <c r="J62" s="13"/>
      <c r="K62" s="83"/>
      <c r="L62" s="14">
        <f t="shared" si="0"/>
        <v>0</v>
      </c>
      <c r="M62" s="59">
        <f t="shared" si="3"/>
        <v>0</v>
      </c>
      <c r="N62" s="61" t="str">
        <f>IF(Table2683257[[#This Row],[Fault Type]]="PM",IF(L62&lt;=(D62-C62),"Yes","No"),"")</f>
        <v/>
      </c>
      <c r="O62" s="62" t="str">
        <f t="shared" si="2"/>
        <v/>
      </c>
      <c r="P6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2" s="63"/>
    </row>
    <row r="63" spans="1:17" ht="15.5" x14ac:dyDescent="0.35">
      <c r="A63" s="58"/>
      <c r="B63" s="55"/>
      <c r="C63" s="56"/>
      <c r="D63" s="56"/>
      <c r="E63" s="13"/>
      <c r="F63" s="55"/>
      <c r="G63" s="159"/>
      <c r="H63" s="57"/>
      <c r="I63" s="18"/>
      <c r="J63" s="13"/>
      <c r="K63" s="83"/>
      <c r="L63" s="14">
        <f t="shared" si="0"/>
        <v>0</v>
      </c>
      <c r="M63" s="59">
        <f t="shared" si="3"/>
        <v>0</v>
      </c>
      <c r="N63" s="61" t="str">
        <f>IF(Table2683257[[#This Row],[Fault Type]]="PM",IF(L63&lt;=(D63-C63),"Yes","No"),"")</f>
        <v/>
      </c>
      <c r="O63" s="62" t="str">
        <f t="shared" si="2"/>
        <v/>
      </c>
      <c r="P6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3" s="63"/>
    </row>
    <row r="64" spans="1:17" ht="15.5" x14ac:dyDescent="0.35">
      <c r="A64" s="58"/>
      <c r="B64" s="55"/>
      <c r="C64" s="56"/>
      <c r="D64" s="56"/>
      <c r="E64" s="13"/>
      <c r="F64" s="55"/>
      <c r="G64" s="159"/>
      <c r="H64" s="57"/>
      <c r="I64" s="18"/>
      <c r="J64" s="13"/>
      <c r="K64" s="83"/>
      <c r="L64" s="14">
        <f t="shared" si="0"/>
        <v>0</v>
      </c>
      <c r="M64" s="59">
        <f t="shared" si="3"/>
        <v>0</v>
      </c>
      <c r="N64" s="61" t="str">
        <f>IF(Table2683257[[#This Row],[Fault Type]]="PM",IF(L64&lt;=(D64-C64),"Yes","No"),"")</f>
        <v/>
      </c>
      <c r="O64" s="62" t="str">
        <f t="shared" si="2"/>
        <v/>
      </c>
      <c r="P6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4" s="63"/>
    </row>
    <row r="65" spans="1:17" ht="15.5" x14ac:dyDescent="0.35">
      <c r="A65" s="58"/>
      <c r="B65" s="55"/>
      <c r="C65" s="56"/>
      <c r="D65" s="56"/>
      <c r="E65" s="13"/>
      <c r="F65" s="55"/>
      <c r="G65" s="159"/>
      <c r="H65" s="57"/>
      <c r="I65" s="18"/>
      <c r="J65" s="13"/>
      <c r="K65" s="83"/>
      <c r="L65" s="14">
        <f t="shared" si="0"/>
        <v>0</v>
      </c>
      <c r="M65" s="59">
        <f t="shared" si="3"/>
        <v>0</v>
      </c>
      <c r="N65" s="61" t="str">
        <f>IF(Table2683257[[#This Row],[Fault Type]]="PM",IF(L65&lt;=(D65-C65),"Yes","No"),"")</f>
        <v/>
      </c>
      <c r="O65" s="62" t="str">
        <f t="shared" si="2"/>
        <v/>
      </c>
      <c r="P6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5" s="63"/>
    </row>
    <row r="66" spans="1:17" ht="15.5" x14ac:dyDescent="0.35">
      <c r="A66" s="58"/>
      <c r="B66" s="55"/>
      <c r="C66" s="56"/>
      <c r="D66" s="56"/>
      <c r="E66" s="13"/>
      <c r="F66" s="55"/>
      <c r="G66" s="159"/>
      <c r="H66" s="57"/>
      <c r="I66" s="18"/>
      <c r="J66" s="13"/>
      <c r="K66" s="83"/>
      <c r="L66" s="14">
        <f t="shared" si="0"/>
        <v>0</v>
      </c>
      <c r="M66" s="59">
        <f t="shared" si="3"/>
        <v>0</v>
      </c>
      <c r="N66" s="61" t="str">
        <f>IF(Table2683257[[#This Row],[Fault Type]]="PM",IF(L66&lt;=(D66-C66),"Yes","No"),"")</f>
        <v/>
      </c>
      <c r="O66" s="62" t="str">
        <f t="shared" si="2"/>
        <v/>
      </c>
      <c r="P6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6" s="63"/>
    </row>
    <row r="67" spans="1:17" ht="15.5" x14ac:dyDescent="0.35">
      <c r="A67" s="58"/>
      <c r="B67" s="55"/>
      <c r="C67" s="56"/>
      <c r="D67" s="56"/>
      <c r="E67" s="13"/>
      <c r="F67" s="55"/>
      <c r="G67" s="159"/>
      <c r="H67" s="57"/>
      <c r="I67" s="18"/>
      <c r="J67" s="13"/>
      <c r="K67" s="83"/>
      <c r="L67" s="14">
        <f t="shared" ref="L67:L80" si="4">J67-E67</f>
        <v>0</v>
      </c>
      <c r="M67" s="59">
        <f t="shared" si="3"/>
        <v>0</v>
      </c>
      <c r="N67" s="61" t="str">
        <f>IF(Table2683257[[#This Row],[Fault Type]]="PM",IF(L67&lt;=(D67-C67),"Yes","No"),"")</f>
        <v/>
      </c>
      <c r="O67" s="62" t="str">
        <f t="shared" ref="O67:O80" si="5">IF(N67="No",(L67-(D67-C67)),"")</f>
        <v/>
      </c>
      <c r="P6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7" s="63"/>
    </row>
    <row r="68" spans="1:17" ht="15.5" x14ac:dyDescent="0.35">
      <c r="A68" s="58"/>
      <c r="B68" s="55"/>
      <c r="C68" s="56"/>
      <c r="D68" s="56"/>
      <c r="E68" s="13"/>
      <c r="F68" s="55"/>
      <c r="G68" s="159"/>
      <c r="H68" s="57"/>
      <c r="I68" s="18"/>
      <c r="J68" s="13"/>
      <c r="K68" s="83"/>
      <c r="L68" s="14">
        <f t="shared" si="4"/>
        <v>0</v>
      </c>
      <c r="M68" s="59">
        <f t="shared" si="3"/>
        <v>0</v>
      </c>
      <c r="N68" s="61" t="str">
        <f>IF(Table2683257[[#This Row],[Fault Type]]="PM",IF(L68&lt;=(D68-C68),"Yes","No"),"")</f>
        <v/>
      </c>
      <c r="O68" s="62" t="str">
        <f t="shared" si="5"/>
        <v/>
      </c>
      <c r="P6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8" s="63"/>
    </row>
    <row r="69" spans="1:17" ht="15.5" x14ac:dyDescent="0.35">
      <c r="A69" s="58"/>
      <c r="B69" s="55"/>
      <c r="C69" s="56"/>
      <c r="D69" s="56"/>
      <c r="E69" s="13"/>
      <c r="F69" s="55"/>
      <c r="G69" s="159"/>
      <c r="H69" s="57"/>
      <c r="I69" s="18"/>
      <c r="J69" s="13"/>
      <c r="K69" s="83"/>
      <c r="L69" s="14">
        <f t="shared" si="4"/>
        <v>0</v>
      </c>
      <c r="M69" s="59">
        <f t="shared" si="3"/>
        <v>0</v>
      </c>
      <c r="N69" s="61" t="str">
        <f>IF(Table2683257[[#This Row],[Fault Type]]="PM",IF(L69&lt;=(D69-C69),"Yes","No"),"")</f>
        <v/>
      </c>
      <c r="O69" s="62" t="str">
        <f t="shared" si="5"/>
        <v/>
      </c>
      <c r="P6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69" s="63"/>
    </row>
    <row r="70" spans="1:17" ht="15.5" x14ac:dyDescent="0.35">
      <c r="A70" s="58"/>
      <c r="B70" s="55"/>
      <c r="C70" s="56"/>
      <c r="D70" s="56"/>
      <c r="E70" s="13"/>
      <c r="F70" s="55"/>
      <c r="G70" s="159"/>
      <c r="H70" s="57"/>
      <c r="I70" s="18"/>
      <c r="J70" s="13"/>
      <c r="K70" s="83"/>
      <c r="L70" s="14">
        <f t="shared" si="4"/>
        <v>0</v>
      </c>
      <c r="M70" s="59">
        <f t="shared" si="3"/>
        <v>0</v>
      </c>
      <c r="N70" s="61" t="str">
        <f>IF(Table2683257[[#This Row],[Fault Type]]="PM",IF(L70&lt;=(D70-C70),"Yes","No"),"")</f>
        <v/>
      </c>
      <c r="O70" s="62" t="str">
        <f t="shared" si="5"/>
        <v/>
      </c>
      <c r="P7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0" s="63"/>
    </row>
    <row r="71" spans="1:17" ht="15.5" x14ac:dyDescent="0.35">
      <c r="A71" s="58"/>
      <c r="B71" s="55"/>
      <c r="C71" s="56"/>
      <c r="D71" s="56"/>
      <c r="E71" s="13"/>
      <c r="F71" s="55"/>
      <c r="G71" s="159"/>
      <c r="H71" s="57"/>
      <c r="I71" s="18"/>
      <c r="J71" s="13"/>
      <c r="K71" s="83"/>
      <c r="L71" s="14">
        <f t="shared" si="4"/>
        <v>0</v>
      </c>
      <c r="M71" s="59">
        <f t="shared" si="3"/>
        <v>0</v>
      </c>
      <c r="N71" s="61" t="str">
        <f>IF(Table2683257[[#This Row],[Fault Type]]="PM",IF(L71&lt;=(D71-C71),"Yes","No"),"")</f>
        <v/>
      </c>
      <c r="O71" s="62" t="str">
        <f t="shared" si="5"/>
        <v/>
      </c>
      <c r="P7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1" s="63"/>
    </row>
    <row r="72" spans="1:17" ht="15.5" x14ac:dyDescent="0.35">
      <c r="A72" s="58"/>
      <c r="B72" s="55"/>
      <c r="C72" s="56"/>
      <c r="D72" s="56"/>
      <c r="E72" s="13"/>
      <c r="F72" s="55"/>
      <c r="G72" s="159"/>
      <c r="H72" s="57"/>
      <c r="I72" s="18"/>
      <c r="J72" s="13"/>
      <c r="K72" s="83"/>
      <c r="L72" s="14">
        <f t="shared" si="4"/>
        <v>0</v>
      </c>
      <c r="M72" s="59">
        <f t="shared" si="3"/>
        <v>0</v>
      </c>
      <c r="N72" s="61" t="str">
        <f>IF(Table2683257[[#This Row],[Fault Type]]="PM",IF(L72&lt;=(D72-C72),"Yes","No"),"")</f>
        <v/>
      </c>
      <c r="O72" s="62" t="str">
        <f t="shared" si="5"/>
        <v/>
      </c>
      <c r="P7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2" s="63"/>
    </row>
    <row r="73" spans="1:17" ht="15.5" x14ac:dyDescent="0.35">
      <c r="A73" s="58"/>
      <c r="B73" s="55"/>
      <c r="C73" s="56"/>
      <c r="D73" s="56"/>
      <c r="E73" s="13"/>
      <c r="F73" s="55"/>
      <c r="G73" s="159"/>
      <c r="H73" s="57"/>
      <c r="I73" s="18"/>
      <c r="J73" s="13"/>
      <c r="K73" s="83"/>
      <c r="L73" s="14">
        <f t="shared" si="4"/>
        <v>0</v>
      </c>
      <c r="M73" s="59">
        <f t="shared" si="3"/>
        <v>0</v>
      </c>
      <c r="N73" s="61" t="str">
        <f>IF(Table2683257[[#This Row],[Fault Type]]="PM",IF(L73&lt;=(D73-C73),"Yes","No"),"")</f>
        <v/>
      </c>
      <c r="O73" s="62" t="str">
        <f t="shared" si="5"/>
        <v/>
      </c>
      <c r="P7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3" s="63"/>
    </row>
    <row r="74" spans="1:17" ht="15.5" x14ac:dyDescent="0.35">
      <c r="A74" s="58"/>
      <c r="B74" s="55"/>
      <c r="C74" s="56"/>
      <c r="D74" s="56"/>
      <c r="E74" s="13"/>
      <c r="F74" s="55"/>
      <c r="G74" s="159"/>
      <c r="H74" s="57"/>
      <c r="I74" s="18"/>
      <c r="J74" s="13"/>
      <c r="K74" s="83"/>
      <c r="L74" s="14">
        <f t="shared" si="4"/>
        <v>0</v>
      </c>
      <c r="M74" s="59">
        <f t="shared" si="3"/>
        <v>0</v>
      </c>
      <c r="N74" s="61" t="str">
        <f>IF(Table2683257[[#This Row],[Fault Type]]="PM",IF(L74&lt;=(D74-C74),"Yes","No"),"")</f>
        <v/>
      </c>
      <c r="O74" s="62" t="str">
        <f t="shared" si="5"/>
        <v/>
      </c>
      <c r="P7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4" s="63"/>
    </row>
    <row r="75" spans="1:17" ht="15.5" x14ac:dyDescent="0.35">
      <c r="A75" s="58"/>
      <c r="B75" s="55"/>
      <c r="C75" s="56"/>
      <c r="D75" s="56"/>
      <c r="E75" s="13"/>
      <c r="F75" s="55"/>
      <c r="G75" s="159"/>
      <c r="H75" s="57"/>
      <c r="I75" s="18"/>
      <c r="J75" s="13"/>
      <c r="K75" s="83"/>
      <c r="L75" s="14">
        <f t="shared" si="4"/>
        <v>0</v>
      </c>
      <c r="M75" s="59">
        <f t="shared" si="3"/>
        <v>0</v>
      </c>
      <c r="N75" s="61" t="str">
        <f>IF(Table2683257[[#This Row],[Fault Type]]="PM",IF(L75&lt;=(D75-C75),"Yes","No"),"")</f>
        <v/>
      </c>
      <c r="O75" s="62" t="str">
        <f t="shared" si="5"/>
        <v/>
      </c>
      <c r="P7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5" s="63"/>
    </row>
    <row r="76" spans="1:17" ht="15.5" x14ac:dyDescent="0.35">
      <c r="A76" s="58"/>
      <c r="B76" s="55"/>
      <c r="C76" s="56"/>
      <c r="D76" s="56"/>
      <c r="E76" s="13"/>
      <c r="F76" s="55"/>
      <c r="G76" s="159"/>
      <c r="H76" s="57"/>
      <c r="I76" s="18"/>
      <c r="J76" s="13"/>
      <c r="K76" s="83"/>
      <c r="L76" s="14">
        <f t="shared" si="4"/>
        <v>0</v>
      </c>
      <c r="M76" s="59">
        <f t="shared" si="3"/>
        <v>0</v>
      </c>
      <c r="N76" s="61" t="str">
        <f>IF(Table2683257[[#This Row],[Fault Type]]="PM",IF(L76&lt;=(D76-C76),"Yes","No"),"")</f>
        <v/>
      </c>
      <c r="O76" s="62" t="str">
        <f t="shared" si="5"/>
        <v/>
      </c>
      <c r="P7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6" s="63"/>
    </row>
    <row r="77" spans="1:17" ht="15.5" x14ac:dyDescent="0.35">
      <c r="A77" s="58"/>
      <c r="B77" s="55"/>
      <c r="C77" s="56"/>
      <c r="D77" s="56"/>
      <c r="E77" s="13"/>
      <c r="F77" s="55"/>
      <c r="G77" s="159"/>
      <c r="H77" s="57"/>
      <c r="I77" s="18"/>
      <c r="J77" s="13"/>
      <c r="K77" s="83"/>
      <c r="L77" s="14">
        <f t="shared" si="4"/>
        <v>0</v>
      </c>
      <c r="M77" s="59">
        <f t="shared" si="3"/>
        <v>0</v>
      </c>
      <c r="N77" s="61" t="str">
        <f>IF(Table2683257[[#This Row],[Fault Type]]="PM",IF(L77&lt;=(D77-C77),"Yes","No"),"")</f>
        <v/>
      </c>
      <c r="O77" s="62" t="str">
        <f t="shared" si="5"/>
        <v/>
      </c>
      <c r="P7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7" s="63"/>
    </row>
    <row r="78" spans="1:17" ht="15.5" x14ac:dyDescent="0.35">
      <c r="A78" s="58"/>
      <c r="B78" s="55"/>
      <c r="C78" s="56"/>
      <c r="D78" s="56"/>
      <c r="E78" s="13"/>
      <c r="F78" s="55"/>
      <c r="G78" s="159"/>
      <c r="H78" s="57"/>
      <c r="I78" s="18"/>
      <c r="J78" s="13"/>
      <c r="K78" s="83"/>
      <c r="L78" s="14">
        <f t="shared" si="4"/>
        <v>0</v>
      </c>
      <c r="M78" s="59">
        <f t="shared" si="3"/>
        <v>0</v>
      </c>
      <c r="N78" s="61" t="str">
        <f>IF(Table2683257[[#This Row],[Fault Type]]="PM",IF(L78&lt;=(D78-C78),"Yes","No"),"")</f>
        <v/>
      </c>
      <c r="O78" s="62" t="str">
        <f t="shared" si="5"/>
        <v/>
      </c>
      <c r="P7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8" s="63"/>
    </row>
    <row r="79" spans="1:17" ht="15.5" x14ac:dyDescent="0.35">
      <c r="A79" s="58"/>
      <c r="B79" s="55"/>
      <c r="C79" s="56"/>
      <c r="D79" s="56"/>
      <c r="E79" s="13"/>
      <c r="F79" s="55"/>
      <c r="G79" s="159"/>
      <c r="H79" s="57"/>
      <c r="I79" s="18"/>
      <c r="J79" s="13"/>
      <c r="K79" s="83"/>
      <c r="L79" s="14">
        <f t="shared" si="4"/>
        <v>0</v>
      </c>
      <c r="M79" s="59">
        <f t="shared" si="3"/>
        <v>0</v>
      </c>
      <c r="N79" s="61" t="str">
        <f>IF(Table2683257[[#This Row],[Fault Type]]="PM",IF(L79&lt;=(D79-C79),"Yes","No"),"")</f>
        <v/>
      </c>
      <c r="O79" s="62" t="str">
        <f t="shared" si="5"/>
        <v/>
      </c>
      <c r="P7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79" s="63"/>
    </row>
    <row r="80" spans="1:17" ht="15.5" x14ac:dyDescent="0.35">
      <c r="A80" s="58"/>
      <c r="B80" s="55"/>
      <c r="C80" s="56"/>
      <c r="D80" s="56"/>
      <c r="E80" s="13"/>
      <c r="F80" s="55"/>
      <c r="G80" s="159"/>
      <c r="H80" s="57"/>
      <c r="I80" s="18"/>
      <c r="J80" s="13"/>
      <c r="K80" s="83"/>
      <c r="L80" s="14">
        <f t="shared" si="4"/>
        <v>0</v>
      </c>
      <c r="M80" s="59">
        <f t="shared" si="3"/>
        <v>0</v>
      </c>
      <c r="N80" s="61" t="str">
        <f>IF(Table2683257[[#This Row],[Fault Type]]="PM",IF(L80&lt;=(D80-C80),"Yes","No"),"")</f>
        <v/>
      </c>
      <c r="O80" s="62" t="str">
        <f t="shared" si="5"/>
        <v/>
      </c>
      <c r="P8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0" s="63"/>
    </row>
    <row r="81" spans="1:17" ht="15.5" x14ac:dyDescent="0.35">
      <c r="A81" s="92"/>
      <c r="B81" s="93"/>
      <c r="C81" s="94"/>
      <c r="D81" s="94"/>
      <c r="E81" s="94"/>
      <c r="F81" s="12"/>
      <c r="G81" s="159"/>
      <c r="H81" s="95"/>
      <c r="I81" s="95"/>
      <c r="J81" s="94"/>
      <c r="K81" s="100"/>
      <c r="L81" s="96">
        <f t="shared" ref="L81:L92" si="6">J81-E81</f>
        <v>0</v>
      </c>
      <c r="M81" s="97">
        <f t="shared" ref="M81:M92" si="7">L81*F81</f>
        <v>0</v>
      </c>
      <c r="N81" s="98" t="str">
        <f>IF(Table2683257[[#This Row],[Fault Type]]="PM",IF(L81&lt;=(D81-C81),"Yes","No"),"")</f>
        <v/>
      </c>
      <c r="O81" s="99" t="str">
        <f t="shared" ref="O81:O92" si="8">IF(N81="No",(L81-(D81-C81)),"")</f>
        <v/>
      </c>
      <c r="P8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1" s="91"/>
    </row>
    <row r="82" spans="1:17" ht="15.5" x14ac:dyDescent="0.35">
      <c r="A82" s="92"/>
      <c r="B82" s="93"/>
      <c r="C82" s="94"/>
      <c r="D82" s="94"/>
      <c r="E82" s="94"/>
      <c r="F82" s="12"/>
      <c r="G82" s="159"/>
      <c r="H82" s="95"/>
      <c r="I82" s="95"/>
      <c r="J82" s="94"/>
      <c r="K82" s="100"/>
      <c r="L82" s="96">
        <f t="shared" si="6"/>
        <v>0</v>
      </c>
      <c r="M82" s="97">
        <f t="shared" si="7"/>
        <v>0</v>
      </c>
      <c r="N82" s="98" t="str">
        <f>IF(Table2683257[[#This Row],[Fault Type]]="PM",IF(L82&lt;=(D82-C82),"Yes","No"),"")</f>
        <v/>
      </c>
      <c r="O82" s="99" t="str">
        <f t="shared" si="8"/>
        <v/>
      </c>
      <c r="P8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2" s="91"/>
    </row>
    <row r="83" spans="1:17" ht="15.5" x14ac:dyDescent="0.35">
      <c r="A83" s="92"/>
      <c r="B83" s="93"/>
      <c r="C83" s="94"/>
      <c r="D83" s="94"/>
      <c r="E83" s="94"/>
      <c r="F83" s="12"/>
      <c r="G83" s="159"/>
      <c r="H83" s="95"/>
      <c r="I83" s="95"/>
      <c r="J83" s="94"/>
      <c r="K83" s="100"/>
      <c r="L83" s="96">
        <f t="shared" si="6"/>
        <v>0</v>
      </c>
      <c r="M83" s="97">
        <f t="shared" si="7"/>
        <v>0</v>
      </c>
      <c r="N83" s="98" t="str">
        <f>IF(Table2683257[[#This Row],[Fault Type]]="PM",IF(L83&lt;=(D83-C83),"Yes","No"),"")</f>
        <v/>
      </c>
      <c r="O83" s="99" t="str">
        <f t="shared" si="8"/>
        <v/>
      </c>
      <c r="P83"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3" s="91"/>
    </row>
    <row r="84" spans="1:17" ht="15.5" x14ac:dyDescent="0.35">
      <c r="A84" s="92"/>
      <c r="B84" s="93"/>
      <c r="C84" s="94"/>
      <c r="D84" s="94"/>
      <c r="E84" s="94"/>
      <c r="F84" s="12"/>
      <c r="G84" s="159"/>
      <c r="H84" s="95"/>
      <c r="I84" s="95"/>
      <c r="J84" s="94"/>
      <c r="K84" s="100"/>
      <c r="L84" s="96">
        <f t="shared" si="6"/>
        <v>0</v>
      </c>
      <c r="M84" s="97">
        <f t="shared" si="7"/>
        <v>0</v>
      </c>
      <c r="N84" s="98" t="str">
        <f>IF(Table2683257[[#This Row],[Fault Type]]="PM",IF(L84&lt;=(D84-C84),"Yes","No"),"")</f>
        <v/>
      </c>
      <c r="O84" s="99" t="str">
        <f t="shared" si="8"/>
        <v/>
      </c>
      <c r="P84"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4" s="91"/>
    </row>
    <row r="85" spans="1:17" ht="15.5" x14ac:dyDescent="0.35">
      <c r="A85" s="92"/>
      <c r="B85" s="93"/>
      <c r="C85" s="94"/>
      <c r="D85" s="94"/>
      <c r="E85" s="94"/>
      <c r="F85" s="12"/>
      <c r="G85" s="159"/>
      <c r="H85" s="95"/>
      <c r="I85" s="95"/>
      <c r="J85" s="94"/>
      <c r="K85" s="100"/>
      <c r="L85" s="96">
        <f t="shared" si="6"/>
        <v>0</v>
      </c>
      <c r="M85" s="97">
        <f t="shared" si="7"/>
        <v>0</v>
      </c>
      <c r="N85" s="98" t="str">
        <f>IF(Table2683257[[#This Row],[Fault Type]]="PM",IF(L85&lt;=(D85-C85),"Yes","No"),"")</f>
        <v/>
      </c>
      <c r="O85" s="99" t="str">
        <f t="shared" si="8"/>
        <v/>
      </c>
      <c r="P85"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5" s="91"/>
    </row>
    <row r="86" spans="1:17" ht="15.5" x14ac:dyDescent="0.35">
      <c r="A86" s="92"/>
      <c r="B86" s="93"/>
      <c r="C86" s="94"/>
      <c r="D86" s="94"/>
      <c r="E86" s="94"/>
      <c r="F86" s="12"/>
      <c r="G86" s="159"/>
      <c r="H86" s="95"/>
      <c r="I86" s="95"/>
      <c r="J86" s="94"/>
      <c r="K86" s="100"/>
      <c r="L86" s="96">
        <f t="shared" si="6"/>
        <v>0</v>
      </c>
      <c r="M86" s="97">
        <f t="shared" si="7"/>
        <v>0</v>
      </c>
      <c r="N86" s="98" t="str">
        <f>IF(Table2683257[[#This Row],[Fault Type]]="PM",IF(L86&lt;=(D86-C86),"Yes","No"),"")</f>
        <v/>
      </c>
      <c r="O86" s="99" t="str">
        <f t="shared" si="8"/>
        <v/>
      </c>
      <c r="P86"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6" s="91"/>
    </row>
    <row r="87" spans="1:17" ht="15.5" x14ac:dyDescent="0.35">
      <c r="A87" s="92"/>
      <c r="B87" s="93"/>
      <c r="C87" s="94"/>
      <c r="D87" s="94"/>
      <c r="E87" s="94"/>
      <c r="F87" s="12"/>
      <c r="G87" s="159"/>
      <c r="H87" s="95"/>
      <c r="I87" s="95"/>
      <c r="J87" s="94"/>
      <c r="K87" s="100"/>
      <c r="L87" s="96">
        <f t="shared" si="6"/>
        <v>0</v>
      </c>
      <c r="M87" s="97">
        <f t="shared" si="7"/>
        <v>0</v>
      </c>
      <c r="N87" s="98" t="str">
        <f>IF(Table2683257[[#This Row],[Fault Type]]="PM",IF(L87&lt;=(D87-C87),"Yes","No"),"")</f>
        <v/>
      </c>
      <c r="O87" s="99" t="str">
        <f t="shared" si="8"/>
        <v/>
      </c>
      <c r="P87"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7" s="91"/>
    </row>
    <row r="88" spans="1:17" ht="15.5" x14ac:dyDescent="0.35">
      <c r="A88" s="92"/>
      <c r="B88" s="93"/>
      <c r="C88" s="94"/>
      <c r="D88" s="94"/>
      <c r="E88" s="94"/>
      <c r="F88" s="12"/>
      <c r="G88" s="159"/>
      <c r="H88" s="95"/>
      <c r="I88" s="95"/>
      <c r="J88" s="94"/>
      <c r="K88" s="100"/>
      <c r="L88" s="96">
        <f t="shared" si="6"/>
        <v>0</v>
      </c>
      <c r="M88" s="97">
        <f t="shared" si="7"/>
        <v>0</v>
      </c>
      <c r="N88" s="98" t="str">
        <f>IF(Table2683257[[#This Row],[Fault Type]]="PM",IF(L88&lt;=(D88-C88),"Yes","No"),"")</f>
        <v/>
      </c>
      <c r="O88" s="99" t="str">
        <f t="shared" si="8"/>
        <v/>
      </c>
      <c r="P88"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8" s="91"/>
    </row>
    <row r="89" spans="1:17" ht="15.5" x14ac:dyDescent="0.35">
      <c r="A89" s="92"/>
      <c r="B89" s="93"/>
      <c r="C89" s="94"/>
      <c r="D89" s="94"/>
      <c r="E89" s="94"/>
      <c r="F89" s="12"/>
      <c r="G89" s="159"/>
      <c r="H89" s="95"/>
      <c r="I89" s="95"/>
      <c r="J89" s="94"/>
      <c r="K89" s="100"/>
      <c r="L89" s="96">
        <f t="shared" si="6"/>
        <v>0</v>
      </c>
      <c r="M89" s="97">
        <f t="shared" si="7"/>
        <v>0</v>
      </c>
      <c r="N89" s="98" t="str">
        <f>IF(Table2683257[[#This Row],[Fault Type]]="PM",IF(L89&lt;=(D89-C89),"Yes","No"),"")</f>
        <v/>
      </c>
      <c r="O89" s="99" t="str">
        <f t="shared" si="8"/>
        <v/>
      </c>
      <c r="P89"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89" s="91"/>
    </row>
    <row r="90" spans="1:17" ht="15.5" x14ac:dyDescent="0.35">
      <c r="A90" s="92"/>
      <c r="B90" s="93"/>
      <c r="C90" s="94"/>
      <c r="D90" s="94"/>
      <c r="E90" s="94"/>
      <c r="F90" s="12"/>
      <c r="G90" s="159"/>
      <c r="H90" s="95"/>
      <c r="I90" s="95"/>
      <c r="J90" s="94"/>
      <c r="K90" s="100"/>
      <c r="L90" s="96">
        <f t="shared" si="6"/>
        <v>0</v>
      </c>
      <c r="M90" s="97">
        <f t="shared" si="7"/>
        <v>0</v>
      </c>
      <c r="N90" s="98" t="str">
        <f>IF(Table2683257[[#This Row],[Fault Type]]="PM",IF(L90&lt;=(D90-C90),"Yes","No"),"")</f>
        <v/>
      </c>
      <c r="O90" s="99" t="str">
        <f t="shared" si="8"/>
        <v/>
      </c>
      <c r="P90"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90" s="91"/>
    </row>
    <row r="91" spans="1:17" ht="15.5" x14ac:dyDescent="0.35">
      <c r="A91" s="92"/>
      <c r="B91" s="93"/>
      <c r="C91" s="94"/>
      <c r="D91" s="94"/>
      <c r="E91" s="94"/>
      <c r="F91" s="12"/>
      <c r="G91" s="159"/>
      <c r="H91" s="95"/>
      <c r="I91" s="95"/>
      <c r="J91" s="94"/>
      <c r="K91" s="100"/>
      <c r="L91" s="96">
        <f t="shared" si="6"/>
        <v>0</v>
      </c>
      <c r="M91" s="97">
        <f t="shared" si="7"/>
        <v>0</v>
      </c>
      <c r="N91" s="98" t="str">
        <f>IF(Table2683257[[#This Row],[Fault Type]]="PM",IF(L91&lt;=(D91-C91),"Yes","No"),"")</f>
        <v/>
      </c>
      <c r="O91" s="99" t="str">
        <f t="shared" si="8"/>
        <v/>
      </c>
      <c r="P91"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91" s="91"/>
    </row>
    <row r="92" spans="1:17" ht="15.5" x14ac:dyDescent="0.35">
      <c r="A92" s="92"/>
      <c r="B92" s="93"/>
      <c r="C92" s="94"/>
      <c r="D92" s="94"/>
      <c r="E92" s="94"/>
      <c r="F92" s="12"/>
      <c r="G92" s="159"/>
      <c r="H92" s="95"/>
      <c r="I92" s="95"/>
      <c r="J92" s="94"/>
      <c r="K92" s="100"/>
      <c r="L92" s="96">
        <f t="shared" si="6"/>
        <v>0</v>
      </c>
      <c r="M92" s="97">
        <f t="shared" si="7"/>
        <v>0</v>
      </c>
      <c r="N92" s="98" t="str">
        <f>IF(Table2683257[[#This Row],[Fault Type]]="PM",IF(L92&lt;=(D92-C92),"Yes","No"),"")</f>
        <v/>
      </c>
      <c r="O92" s="99" t="str">
        <f t="shared" si="8"/>
        <v/>
      </c>
      <c r="P92" s="166" t="str">
        <f>IF(AND(Table2683257[[#This Row],[Name of Feeder]]&lt;&gt;"",OR(Table2683257[[#This Row],[Fault Type]]="TL",Table2683257[[#This Row],[Fault Type]]="TS",Table2683257[[#This Row],[Fault Type]]="UF",Table2683257[[#This Row],[Fault Type]]="SE")),(IF(AND(VLOOKUP(Table2683257[[#This Row],[Name of Feeder]],Main!D:E,2,0)="URBAN",ISNUMBER(SEARCH("33KV",Table2683257[[#This Row],[Name of Feeder]]))),IF(AND(Table2683257[[#This Row],[Outage Duration]]&gt;0,Table2683257[[#This Row],[Outage Duration]]&lt;=0.25),"Yes","No"),IF(AND(VLOOKUP(Table2683257[[#This Row],[Name of Feeder]],Main!D:E,2,0)="RURAL",ISNUMBER(SEARCH("33KV",Table2683257[[#This Row],[Name of Feeder]]))),IF(AND(Table2683257[[#This Row],[Outage Duration]]&gt;0,Table2683257[[#This Row],[Outage Duration]]&lt;=0.33),"Yes","No"),IF(AND(VLOOKUP(Table2683257[[#This Row],[Name of Feeder]],Main!D:E,2,0)="RURAL",ISNUMBER(SEARCH("11KV",Table2683257[[#This Row],[Name of Feeder]]))),IF(AND(Table2683257[[#This Row],[Outage Duration]]&gt;0,Table2683257[[#This Row],[Outage Duration]]&lt;=0.17),"Yes","No"),IF(AND(VLOOKUP(Table2683257[[#This Row],[Name of Feeder]],Main!D:E,2,0)="URBAN",ISNUMBER(SEARCH("11KV",Table2683257[[#This Row],[Name of Feeder]]))),IF(AND(Table2683257[[#This Row],[Outage Duration]]&gt;0,Table2683257[[#This Row],[Outage Duration]]&lt;=0.17),"Yes","No"),""))))),"")</f>
        <v/>
      </c>
      <c r="Q92"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D00-000000000000}">
          <x14:formula1>
            <xm:f>Main!$F$226:$F$228</xm:f>
          </x14:formula1>
          <xm:sqref>I2:I92</xm:sqref>
        </x14:dataValidation>
        <x14:dataValidation type="list" allowBlank="1" showInputMessage="1" showErrorMessage="1" xr:uid="{00000000-0002-0000-0D00-000001000000}">
          <x14:formula1>
            <xm:f>Main!$D$2:$D$196</xm:f>
          </x14:formula1>
          <xm:sqref>A2:A92</xm:sqref>
        </x14:dataValidation>
        <x14:dataValidation type="list" allowBlank="1" showInputMessage="1" showErrorMessage="1" xr:uid="{00000000-0002-0000-0D00-000002000000}">
          <x14:formula1>
            <xm:f>Main!F$222:F$225</xm:f>
          </x14:formula1>
          <xm:sqref>G2:G92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35"/>
  <sheetViews>
    <sheetView zoomScale="70" zoomScaleNormal="70" workbookViewId="0">
      <selection activeCell="A2" sqref="A2:J135"/>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308</v>
      </c>
      <c r="B2" s="12" t="s">
        <v>150</v>
      </c>
      <c r="C2" s="13"/>
      <c r="D2" s="13"/>
      <c r="E2" s="13">
        <v>44784.034722222219</v>
      </c>
      <c r="F2" s="12">
        <v>1</v>
      </c>
      <c r="G2" s="12" t="s">
        <v>164</v>
      </c>
      <c r="H2" s="27" t="s">
        <v>960</v>
      </c>
      <c r="I2" s="27" t="s">
        <v>333</v>
      </c>
      <c r="J2" s="13">
        <v>44784.444444444445</v>
      </c>
      <c r="K2" s="32"/>
      <c r="L2" s="14">
        <f t="shared" ref="L2:L11" si="0">J2-E2</f>
        <v>0.40972222222626442</v>
      </c>
      <c r="M2" s="31">
        <f t="shared" ref="M2:M11" si="1">L2*F2</f>
        <v>0.40972222222626442</v>
      </c>
      <c r="N2" s="15" t="str">
        <f>IF(Table2683257[[#This Row],[Fault Type]]="PM",IF(L2&lt;=(D2-C2),"Yes","No"),"")</f>
        <v/>
      </c>
      <c r="O2" s="16" t="str">
        <f t="shared" ref="O2:O67" si="2">IF(N2="No",(L2-(D2-C2)),"")</f>
        <v/>
      </c>
      <c r="P2" s="30"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 s="17"/>
    </row>
    <row r="3" spans="1:17" ht="15.5" x14ac:dyDescent="0.35">
      <c r="A3" s="4" t="s">
        <v>25</v>
      </c>
      <c r="B3" s="12" t="s">
        <v>150</v>
      </c>
      <c r="C3" s="13"/>
      <c r="D3" s="13"/>
      <c r="E3" s="13">
        <v>44784.031944444447</v>
      </c>
      <c r="F3" s="12">
        <v>3.3</v>
      </c>
      <c r="G3" s="159" t="s">
        <v>163</v>
      </c>
      <c r="H3" s="27" t="s">
        <v>521</v>
      </c>
      <c r="I3" s="27" t="s">
        <v>334</v>
      </c>
      <c r="J3" s="13">
        <v>44784.40347222222</v>
      </c>
      <c r="K3" s="32"/>
      <c r="L3" s="14">
        <f t="shared" si="0"/>
        <v>0.37152777777373558</v>
      </c>
      <c r="M3" s="31">
        <f t="shared" si="1"/>
        <v>1.2260416666533274</v>
      </c>
      <c r="N3" s="15" t="str">
        <f>IF(Table2683257[[#This Row],[Fault Type]]="PM",IF(L3&lt;=(D3-C3),"Yes","No"),"")</f>
        <v/>
      </c>
      <c r="O3" s="16" t="str">
        <f t="shared" si="2"/>
        <v/>
      </c>
      <c r="P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3" s="17"/>
    </row>
    <row r="4" spans="1:17" ht="15.5" x14ac:dyDescent="0.35">
      <c r="A4" s="4" t="s">
        <v>48</v>
      </c>
      <c r="B4" s="12" t="s">
        <v>150</v>
      </c>
      <c r="C4" s="13"/>
      <c r="D4" s="13"/>
      <c r="E4" s="13">
        <v>44784.048611111109</v>
      </c>
      <c r="F4" s="12">
        <v>1</v>
      </c>
      <c r="G4" s="159" t="s">
        <v>164</v>
      </c>
      <c r="H4" s="12" t="s">
        <v>508</v>
      </c>
      <c r="I4" s="12" t="s">
        <v>334</v>
      </c>
      <c r="J4" s="13">
        <v>44784.505555555559</v>
      </c>
      <c r="K4" s="32"/>
      <c r="L4" s="14">
        <f t="shared" si="0"/>
        <v>0.45694444444961846</v>
      </c>
      <c r="M4" s="31">
        <f t="shared" si="1"/>
        <v>0.45694444444961846</v>
      </c>
      <c r="N4" s="15" t="str">
        <f>IF(Table2683257[[#This Row],[Fault Type]]="PM",IF(L4&lt;=(D4-C4),"Yes","No"),"")</f>
        <v/>
      </c>
      <c r="O4" s="16" t="str">
        <f t="shared" si="2"/>
        <v/>
      </c>
      <c r="P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4" s="17"/>
    </row>
    <row r="5" spans="1:17" ht="15.5" x14ac:dyDescent="0.35">
      <c r="A5" s="4" t="s">
        <v>49</v>
      </c>
      <c r="B5" s="12" t="s">
        <v>150</v>
      </c>
      <c r="C5" s="13"/>
      <c r="D5" s="13"/>
      <c r="E5" s="13">
        <v>44784.050694444442</v>
      </c>
      <c r="F5" s="12">
        <v>3</v>
      </c>
      <c r="G5" s="159" t="s">
        <v>164</v>
      </c>
      <c r="H5" s="12" t="s">
        <v>961</v>
      </c>
      <c r="I5" s="12" t="s">
        <v>334</v>
      </c>
      <c r="J5" s="13">
        <v>44784.414583333331</v>
      </c>
      <c r="K5" s="32"/>
      <c r="L5" s="14">
        <f t="shared" si="0"/>
        <v>0.36388888888905058</v>
      </c>
      <c r="M5" s="31">
        <f t="shared" si="1"/>
        <v>1.0916666666671517</v>
      </c>
      <c r="N5" s="15" t="str">
        <f>IF(Table2683257[[#This Row],[Fault Type]]="PM",IF(L5&lt;=(D5-C5),"Yes","No"),"")</f>
        <v/>
      </c>
      <c r="O5" s="16" t="str">
        <f t="shared" si="2"/>
        <v/>
      </c>
      <c r="P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 s="17"/>
    </row>
    <row r="6" spans="1:17" ht="15.5" x14ac:dyDescent="0.35">
      <c r="A6" s="4" t="s">
        <v>47</v>
      </c>
      <c r="B6" s="12" t="s">
        <v>150</v>
      </c>
      <c r="C6" s="13"/>
      <c r="D6" s="13"/>
      <c r="E6" s="13">
        <v>44784.060416666667</v>
      </c>
      <c r="F6" s="12">
        <v>3.4</v>
      </c>
      <c r="G6" s="159" t="s">
        <v>164</v>
      </c>
      <c r="H6" s="12" t="s">
        <v>962</v>
      </c>
      <c r="I6" s="12" t="s">
        <v>333</v>
      </c>
      <c r="J6" s="13">
        <v>44784.392361111109</v>
      </c>
      <c r="K6" s="32"/>
      <c r="L6" s="14">
        <f t="shared" si="0"/>
        <v>0.3319444444423425</v>
      </c>
      <c r="M6" s="31">
        <f t="shared" si="1"/>
        <v>1.1286111111039645</v>
      </c>
      <c r="N6" s="15" t="str">
        <f>IF(Table2683257[[#This Row],[Fault Type]]="PM",IF(L6&lt;=(D6-C6),"Yes","No"),"")</f>
        <v/>
      </c>
      <c r="O6" s="16" t="str">
        <f t="shared" si="2"/>
        <v/>
      </c>
      <c r="P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 s="17"/>
    </row>
    <row r="7" spans="1:17" ht="15.5" x14ac:dyDescent="0.35">
      <c r="A7" s="4" t="s">
        <v>98</v>
      </c>
      <c r="B7" s="12" t="s">
        <v>150</v>
      </c>
      <c r="C7" s="13"/>
      <c r="D7" s="13"/>
      <c r="E7" s="13">
        <v>44784.072916666664</v>
      </c>
      <c r="F7" s="12"/>
      <c r="G7" s="159" t="s">
        <v>163</v>
      </c>
      <c r="H7" s="12"/>
      <c r="I7" s="12"/>
      <c r="J7" s="13"/>
      <c r="K7" s="32"/>
      <c r="L7" s="14">
        <f t="shared" si="0"/>
        <v>-44784.072916666664</v>
      </c>
      <c r="M7" s="31">
        <f t="shared" si="1"/>
        <v>0</v>
      </c>
      <c r="N7" s="15" t="str">
        <f>IF(Table2683257[[#This Row],[Fault Type]]="PM",IF(L7&lt;=(D7-C7),"Yes","No"),"")</f>
        <v/>
      </c>
      <c r="O7" s="16" t="str">
        <f t="shared" si="2"/>
        <v/>
      </c>
      <c r="P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7" s="17"/>
    </row>
    <row r="8" spans="1:17" ht="15.5" x14ac:dyDescent="0.35">
      <c r="A8" s="4" t="s">
        <v>27</v>
      </c>
      <c r="B8" s="12" t="s">
        <v>150</v>
      </c>
      <c r="C8" s="13"/>
      <c r="D8" s="13"/>
      <c r="E8" s="13">
        <v>44784.121527777781</v>
      </c>
      <c r="F8" s="12">
        <v>5</v>
      </c>
      <c r="G8" s="159" t="s">
        <v>163</v>
      </c>
      <c r="H8" s="12" t="s">
        <v>963</v>
      </c>
      <c r="I8" s="12" t="s">
        <v>334</v>
      </c>
      <c r="J8" s="13">
        <v>44784.381944444445</v>
      </c>
      <c r="K8" s="32"/>
      <c r="L8" s="14">
        <f t="shared" si="0"/>
        <v>0.26041666666424135</v>
      </c>
      <c r="M8" s="31">
        <f t="shared" si="1"/>
        <v>1.3020833333212067</v>
      </c>
      <c r="N8" s="15" t="str">
        <f>IF(Table2683257[[#This Row],[Fault Type]]="PM",IF(L8&lt;=(D8-C8),"Yes","No"),"")</f>
        <v/>
      </c>
      <c r="O8" s="16" t="str">
        <f t="shared" si="2"/>
        <v/>
      </c>
      <c r="P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8" s="17"/>
    </row>
    <row r="9" spans="1:17" ht="15.5" x14ac:dyDescent="0.35">
      <c r="A9" s="4" t="s">
        <v>45</v>
      </c>
      <c r="B9" s="12" t="s">
        <v>150</v>
      </c>
      <c r="C9" s="13"/>
      <c r="D9" s="13"/>
      <c r="E9" s="13">
        <v>44784.118055555555</v>
      </c>
      <c r="F9" s="12">
        <v>2.4</v>
      </c>
      <c r="G9" s="159" t="s">
        <v>164</v>
      </c>
      <c r="H9" s="12" t="s">
        <v>964</v>
      </c>
      <c r="I9" s="12" t="s">
        <v>334</v>
      </c>
      <c r="J9" s="13">
        <v>44784.493055555555</v>
      </c>
      <c r="K9" s="32"/>
      <c r="L9" s="14">
        <f t="shared" si="0"/>
        <v>0.375</v>
      </c>
      <c r="M9" s="31">
        <f t="shared" si="1"/>
        <v>0.89999999999999991</v>
      </c>
      <c r="N9" s="15" t="str">
        <f>IF(Table2683257[[#This Row],[Fault Type]]="PM",IF(L9&lt;=(D9-C9),"Yes","No"),"")</f>
        <v/>
      </c>
      <c r="O9" s="16" t="str">
        <f t="shared" si="2"/>
        <v/>
      </c>
      <c r="P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9" s="17"/>
    </row>
    <row r="10" spans="1:17" ht="15.5" x14ac:dyDescent="0.35">
      <c r="A10" s="4" t="s">
        <v>464</v>
      </c>
      <c r="B10" s="12" t="s">
        <v>150</v>
      </c>
      <c r="C10" s="13"/>
      <c r="D10" s="13"/>
      <c r="E10" s="13">
        <v>44784.090277777781</v>
      </c>
      <c r="F10" s="12">
        <v>1.8</v>
      </c>
      <c r="G10" s="159" t="s">
        <v>163</v>
      </c>
      <c r="H10" s="12" t="s">
        <v>965</v>
      </c>
      <c r="I10" s="12" t="s">
        <v>334</v>
      </c>
      <c r="J10" s="13">
        <v>44784.362500000003</v>
      </c>
      <c r="K10" s="32"/>
      <c r="L10" s="14">
        <f t="shared" si="0"/>
        <v>0.27222222222189885</v>
      </c>
      <c r="M10" s="31">
        <f t="shared" si="1"/>
        <v>0.48999999999941796</v>
      </c>
      <c r="N10" s="15" t="str">
        <f>IF(Table2683257[[#This Row],[Fault Type]]="PM",IF(L10&lt;=(D10-C10),"Yes","No"),"")</f>
        <v/>
      </c>
      <c r="O10" s="16" t="str">
        <f t="shared" si="2"/>
        <v/>
      </c>
      <c r="P1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0" s="144"/>
    </row>
    <row r="11" spans="1:17" ht="15.5" x14ac:dyDescent="0.35">
      <c r="A11" s="4" t="s">
        <v>40</v>
      </c>
      <c r="B11" s="12" t="s">
        <v>150</v>
      </c>
      <c r="C11" s="13"/>
      <c r="D11" s="13"/>
      <c r="E11" s="13">
        <v>44784.176388888889</v>
      </c>
      <c r="F11" s="12">
        <v>10.8</v>
      </c>
      <c r="G11" s="159" t="s">
        <v>163</v>
      </c>
      <c r="H11" s="12" t="s">
        <v>966</v>
      </c>
      <c r="I11" s="12" t="s">
        <v>334</v>
      </c>
      <c r="J11" s="13">
        <v>44784.397222222222</v>
      </c>
      <c r="K11" s="32"/>
      <c r="L11" s="14">
        <f t="shared" si="0"/>
        <v>0.22083333333284827</v>
      </c>
      <c r="M11" s="31">
        <f t="shared" si="1"/>
        <v>2.3849999999947613</v>
      </c>
      <c r="N11" s="15" t="str">
        <f>IF(Table2683257[[#This Row],[Fault Type]]="PM",IF(L11&lt;=(D11-C11),"Yes","No"),"")</f>
        <v/>
      </c>
      <c r="O11" s="16" t="str">
        <f t="shared" si="2"/>
        <v/>
      </c>
      <c r="P1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 s="144"/>
    </row>
    <row r="12" spans="1:17" ht="15.5" x14ac:dyDescent="0.35">
      <c r="A12" s="4" t="s">
        <v>38</v>
      </c>
      <c r="B12" s="12" t="s">
        <v>150</v>
      </c>
      <c r="C12" s="13"/>
      <c r="D12" s="13"/>
      <c r="E12" s="13">
        <v>44784.177777777775</v>
      </c>
      <c r="F12" s="12">
        <v>12</v>
      </c>
      <c r="G12" s="159" t="s">
        <v>163</v>
      </c>
      <c r="H12" s="12" t="s">
        <v>967</v>
      </c>
      <c r="I12" s="12" t="s">
        <v>333</v>
      </c>
      <c r="J12" s="13">
        <v>44784.497916666667</v>
      </c>
      <c r="K12" s="32"/>
      <c r="L12" s="14">
        <f t="shared" ref="L12:L30" si="3">J12-E12</f>
        <v>0.32013888889196096</v>
      </c>
      <c r="M12" s="31">
        <f t="shared" ref="M12:M52" si="4">L12*F12</f>
        <v>3.8416666667035315</v>
      </c>
      <c r="N12" s="15" t="str">
        <f>IF(Table2683257[[#This Row],[Fault Type]]="PM",IF(L12&lt;=(D12-C12),"Yes","No"),"")</f>
        <v/>
      </c>
      <c r="O12" s="16" t="str">
        <f t="shared" si="2"/>
        <v/>
      </c>
      <c r="P1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2" s="144"/>
    </row>
    <row r="13" spans="1:17" ht="15.5" x14ac:dyDescent="0.35">
      <c r="A13" s="4" t="s">
        <v>41</v>
      </c>
      <c r="B13" s="12" t="s">
        <v>150</v>
      </c>
      <c r="C13" s="13"/>
      <c r="D13" s="13"/>
      <c r="E13" s="13">
        <v>44784.179861111108</v>
      </c>
      <c r="F13" s="12">
        <v>3.5</v>
      </c>
      <c r="G13" s="159" t="s">
        <v>163</v>
      </c>
      <c r="H13" s="12" t="s">
        <v>968</v>
      </c>
      <c r="I13" s="12" t="s">
        <v>334</v>
      </c>
      <c r="J13" s="13">
        <v>44784.462500000001</v>
      </c>
      <c r="K13" s="32"/>
      <c r="L13" s="14">
        <f t="shared" si="3"/>
        <v>0.28263888889341615</v>
      </c>
      <c r="M13" s="31">
        <f t="shared" si="4"/>
        <v>0.98923611112695653</v>
      </c>
      <c r="N13" s="15" t="str">
        <f>IF(Table2683257[[#This Row],[Fault Type]]="PM",IF(L13&lt;=(D13-C13),"Yes","No"),"")</f>
        <v/>
      </c>
      <c r="O13" s="16" t="str">
        <f t="shared" si="2"/>
        <v/>
      </c>
      <c r="P1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3" s="144"/>
    </row>
    <row r="14" spans="1:17" ht="15.5" x14ac:dyDescent="0.35">
      <c r="A14" s="4" t="s">
        <v>37</v>
      </c>
      <c r="B14" s="12" t="s">
        <v>150</v>
      </c>
      <c r="C14" s="13"/>
      <c r="D14" s="13"/>
      <c r="E14" s="13">
        <v>44784.179166666669</v>
      </c>
      <c r="F14" s="12">
        <v>8.4</v>
      </c>
      <c r="G14" s="159" t="s">
        <v>163</v>
      </c>
      <c r="H14" s="12" t="s">
        <v>969</v>
      </c>
      <c r="I14" s="12" t="s">
        <v>334</v>
      </c>
      <c r="J14" s="13">
        <v>44784.429861111108</v>
      </c>
      <c r="K14" s="32"/>
      <c r="L14" s="14">
        <f t="shared" si="3"/>
        <v>0.25069444443943212</v>
      </c>
      <c r="M14" s="31">
        <f t="shared" si="4"/>
        <v>2.1058333332912298</v>
      </c>
      <c r="N14" s="15" t="str">
        <f>IF(Table2683257[[#This Row],[Fault Type]]="PM",IF(L14&lt;=(D14-C14),"Yes","No"),"")</f>
        <v/>
      </c>
      <c r="O14" s="16" t="str">
        <f t="shared" si="2"/>
        <v/>
      </c>
      <c r="P1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4" s="144"/>
    </row>
    <row r="15" spans="1:17" ht="15.5" x14ac:dyDescent="0.35">
      <c r="A15" s="4" t="s">
        <v>354</v>
      </c>
      <c r="B15" s="12" t="s">
        <v>150</v>
      </c>
      <c r="C15" s="13"/>
      <c r="D15" s="13"/>
      <c r="E15" s="13">
        <v>44784.180555555555</v>
      </c>
      <c r="F15" s="12">
        <v>5.9</v>
      </c>
      <c r="G15" s="159" t="s">
        <v>163</v>
      </c>
      <c r="H15" s="12" t="s">
        <v>526</v>
      </c>
      <c r="I15" s="12" t="s">
        <v>526</v>
      </c>
      <c r="J15" s="13">
        <v>44784.213888888888</v>
      </c>
      <c r="K15" s="32"/>
      <c r="L15" s="14">
        <f t="shared" si="3"/>
        <v>3.3333333332848269E-2</v>
      </c>
      <c r="M15" s="31">
        <f t="shared" si="4"/>
        <v>0.19666666666380481</v>
      </c>
      <c r="N15" s="15" t="str">
        <f>IF(Table2683257[[#This Row],[Fault Type]]="PM",IF(L15&lt;=(D15-C15),"Yes","No"),"")</f>
        <v/>
      </c>
      <c r="O15" s="16" t="str">
        <f t="shared" si="2"/>
        <v/>
      </c>
      <c r="P1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5" s="144"/>
    </row>
    <row r="16" spans="1:17" ht="15.5" x14ac:dyDescent="0.35">
      <c r="A16" s="4" t="s">
        <v>39</v>
      </c>
      <c r="B16" s="12" t="s">
        <v>150</v>
      </c>
      <c r="C16" s="13"/>
      <c r="D16" s="13"/>
      <c r="E16" s="13">
        <v>44784.185416666667</v>
      </c>
      <c r="F16" s="18">
        <v>13.5</v>
      </c>
      <c r="G16" s="159" t="s">
        <v>163</v>
      </c>
      <c r="H16" s="18" t="s">
        <v>970</v>
      </c>
      <c r="I16" s="18" t="s">
        <v>333</v>
      </c>
      <c r="J16" s="13">
        <v>44784.45208333333</v>
      </c>
      <c r="K16" s="32"/>
      <c r="L16" s="14">
        <f t="shared" si="3"/>
        <v>0.26666666666278616</v>
      </c>
      <c r="M16" s="31">
        <f t="shared" si="4"/>
        <v>3.5999999999476131</v>
      </c>
      <c r="N16" s="15" t="str">
        <f>IF(Table2683257[[#This Row],[Fault Type]]="PM",IF(L16&lt;=(D16-C16),"Yes","No"),"")</f>
        <v/>
      </c>
      <c r="O16" s="16" t="str">
        <f t="shared" si="2"/>
        <v/>
      </c>
      <c r="P1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6" s="144"/>
    </row>
    <row r="17" spans="1:17" ht="15.5" x14ac:dyDescent="0.35">
      <c r="A17" s="4" t="s">
        <v>363</v>
      </c>
      <c r="B17" s="12" t="s">
        <v>150</v>
      </c>
      <c r="C17" s="13"/>
      <c r="D17" s="13"/>
      <c r="E17" s="13">
        <v>44784.170138888891</v>
      </c>
      <c r="F17" s="18"/>
      <c r="G17" s="159" t="s">
        <v>162</v>
      </c>
      <c r="H17" s="18" t="s">
        <v>971</v>
      </c>
      <c r="I17" s="18" t="s">
        <v>333</v>
      </c>
      <c r="J17" s="13">
        <v>44784.674305555556</v>
      </c>
      <c r="K17" s="32"/>
      <c r="L17" s="14">
        <f>J17-E17</f>
        <v>0.50416666666569654</v>
      </c>
      <c r="M17" s="31">
        <f>L17*F17</f>
        <v>0</v>
      </c>
      <c r="N17" s="15" t="str">
        <f>IF(Table2683257[[#This Row],[Fault Type]]="PM",IF(L17&lt;=(D17-C17),"Yes","No"),"")</f>
        <v>No</v>
      </c>
      <c r="O17" s="16">
        <f>IF(N17="No",(L17-(D17-C17)),"")</f>
        <v>0.50416666666569654</v>
      </c>
      <c r="P1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7" s="144"/>
    </row>
    <row r="18" spans="1:17" ht="15.5" x14ac:dyDescent="0.35">
      <c r="A18" s="4" t="s">
        <v>42</v>
      </c>
      <c r="B18" s="12" t="s">
        <v>150</v>
      </c>
      <c r="C18" s="13"/>
      <c r="D18" s="13"/>
      <c r="E18" s="13">
        <v>44784.170138888891</v>
      </c>
      <c r="F18" s="12">
        <v>1</v>
      </c>
      <c r="G18" s="159" t="s">
        <v>164</v>
      </c>
      <c r="H18" s="12" t="s">
        <v>902</v>
      </c>
      <c r="I18" s="12" t="s">
        <v>334</v>
      </c>
      <c r="J18" s="13">
        <v>44784.246527777781</v>
      </c>
      <c r="K18" s="32"/>
      <c r="L18" s="14">
        <f t="shared" si="3"/>
        <v>7.6388888890505768E-2</v>
      </c>
      <c r="M18" s="31">
        <f t="shared" si="4"/>
        <v>7.6388888890505768E-2</v>
      </c>
      <c r="N18" s="15" t="str">
        <f>IF(Table2683257[[#This Row],[Fault Type]]="PM",IF(L18&lt;=(D18-C18),"Yes","No"),"")</f>
        <v>No</v>
      </c>
      <c r="O18" s="16">
        <f t="shared" si="2"/>
        <v>7.6388888890505768E-2</v>
      </c>
      <c r="P1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8" s="144"/>
    </row>
    <row r="19" spans="1:17" s="116" customFormat="1" ht="15.5" x14ac:dyDescent="0.35">
      <c r="A19" s="131" t="s">
        <v>121</v>
      </c>
      <c r="B19" s="132" t="s">
        <v>150</v>
      </c>
      <c r="C19" s="133"/>
      <c r="D19" s="133"/>
      <c r="E19" s="133">
        <v>44784.183333333334</v>
      </c>
      <c r="F19" s="134">
        <v>3</v>
      </c>
      <c r="G19" s="159" t="s">
        <v>164</v>
      </c>
      <c r="H19" s="134" t="s">
        <v>508</v>
      </c>
      <c r="I19" s="134" t="s">
        <v>334</v>
      </c>
      <c r="J19" s="133">
        <v>44784.525000000001</v>
      </c>
      <c r="K19" s="136"/>
      <c r="L19" s="14">
        <f>J19-E19</f>
        <v>0.34166666666715173</v>
      </c>
      <c r="M19" s="31">
        <f>L19*F19</f>
        <v>1.0250000000014552</v>
      </c>
      <c r="N19" s="15" t="str">
        <f>IF(Table2683257[[#This Row],[Fault Type]]="PM",IF(L19&lt;=(D19-C19),"Yes","No"),"")</f>
        <v>No</v>
      </c>
      <c r="O19" s="16">
        <f>IF(N19="No",(L19-(D19-C19)),"")</f>
        <v>0.34166666666715173</v>
      </c>
      <c r="P1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9" s="144"/>
    </row>
    <row r="20" spans="1:17" ht="15.5" x14ac:dyDescent="0.35">
      <c r="A20" s="4" t="s">
        <v>370</v>
      </c>
      <c r="B20" s="12" t="s">
        <v>150</v>
      </c>
      <c r="C20" s="13"/>
      <c r="D20" s="13"/>
      <c r="E20" s="13">
        <v>44784.170138888891</v>
      </c>
      <c r="F20" s="18">
        <v>8</v>
      </c>
      <c r="G20" s="159" t="s">
        <v>162</v>
      </c>
      <c r="H20" s="18" t="s">
        <v>526</v>
      </c>
      <c r="I20" s="18" t="s">
        <v>526</v>
      </c>
      <c r="J20" s="13">
        <v>44784.246527777781</v>
      </c>
      <c r="K20" s="32"/>
      <c r="L20" s="14">
        <f t="shared" si="3"/>
        <v>7.6388888890505768E-2</v>
      </c>
      <c r="M20" s="31">
        <f t="shared" si="4"/>
        <v>0.61111111112404615</v>
      </c>
      <c r="N20" s="15" t="str">
        <f>IF(Table2683257[[#This Row],[Fault Type]]="PM",IF(L20&lt;=(D20-C20),"Yes","No"),"")</f>
        <v/>
      </c>
      <c r="O20" s="16" t="str">
        <f t="shared" si="2"/>
        <v/>
      </c>
      <c r="P2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20" s="144"/>
    </row>
    <row r="21" spans="1:17" ht="15.5" x14ac:dyDescent="0.35">
      <c r="A21" s="4" t="s">
        <v>60</v>
      </c>
      <c r="B21" s="12" t="s">
        <v>150</v>
      </c>
      <c r="C21" s="13"/>
      <c r="D21" s="13"/>
      <c r="E21" s="13">
        <v>44784.178472222222</v>
      </c>
      <c r="F21" s="18">
        <v>3.3</v>
      </c>
      <c r="G21" s="159" t="s">
        <v>164</v>
      </c>
      <c r="H21" s="18" t="s">
        <v>972</v>
      </c>
      <c r="I21" s="18" t="s">
        <v>333</v>
      </c>
      <c r="J21" s="13">
        <v>44784.616666666669</v>
      </c>
      <c r="K21" s="32"/>
      <c r="L21" s="14">
        <f t="shared" si="3"/>
        <v>0.43819444444670808</v>
      </c>
      <c r="M21" s="31">
        <f t="shared" si="4"/>
        <v>1.4460416666741365</v>
      </c>
      <c r="N21" s="15" t="str">
        <f>IF(Table2683257[[#This Row],[Fault Type]]="PM",IF(L21&lt;=(D21-C21),"Yes","No"),"")</f>
        <v>No</v>
      </c>
      <c r="O21" s="16">
        <f t="shared" si="2"/>
        <v>0.43819444444670808</v>
      </c>
      <c r="P2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1" s="144"/>
    </row>
    <row r="22" spans="1:17" ht="15.5" x14ac:dyDescent="0.35">
      <c r="A22" s="4" t="s">
        <v>61</v>
      </c>
      <c r="B22" s="12" t="s">
        <v>150</v>
      </c>
      <c r="C22" s="13"/>
      <c r="D22" s="13"/>
      <c r="E22" s="13">
        <v>44784.179166666669</v>
      </c>
      <c r="F22" s="165">
        <v>1.4</v>
      </c>
      <c r="G22" s="159" t="s">
        <v>162</v>
      </c>
      <c r="H22" s="54"/>
      <c r="I22" s="54"/>
      <c r="J22" s="13"/>
      <c r="K22" s="32"/>
      <c r="L22" s="14">
        <f t="shared" si="3"/>
        <v>-44784.179166666669</v>
      </c>
      <c r="M22" s="31">
        <f t="shared" si="4"/>
        <v>-62697.85083333333</v>
      </c>
      <c r="N22" s="15" t="str">
        <f>IF(Table2683257[[#This Row],[Fault Type]]="PM",IF(L22&lt;=(D22-C22),"Yes","No"),"")</f>
        <v/>
      </c>
      <c r="O22" s="16" t="str">
        <f t="shared" si="2"/>
        <v/>
      </c>
      <c r="P2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2" s="17"/>
    </row>
    <row r="23" spans="1:17" ht="15.5" x14ac:dyDescent="0.35">
      <c r="A23" s="4" t="s">
        <v>63</v>
      </c>
      <c r="B23" s="12" t="s">
        <v>150</v>
      </c>
      <c r="C23" s="13"/>
      <c r="D23" s="13"/>
      <c r="E23" s="13">
        <v>44784.181944444441</v>
      </c>
      <c r="F23" s="18">
        <v>1.6</v>
      </c>
      <c r="G23" s="159" t="s">
        <v>164</v>
      </c>
      <c r="H23" s="18" t="s">
        <v>973</v>
      </c>
      <c r="I23" s="18" t="s">
        <v>334</v>
      </c>
      <c r="J23" s="13">
        <v>44784.422222222223</v>
      </c>
      <c r="K23" s="32"/>
      <c r="L23" s="14">
        <f t="shared" si="3"/>
        <v>0.24027777778246673</v>
      </c>
      <c r="M23" s="31">
        <f t="shared" si="4"/>
        <v>0.38444444445194681</v>
      </c>
      <c r="N23" s="15" t="str">
        <f>IF(Table2683257[[#This Row],[Fault Type]]="PM",IF(L23&lt;=(D23-C23),"Yes","No"),"")</f>
        <v/>
      </c>
      <c r="O23" s="16" t="str">
        <f t="shared" si="2"/>
        <v/>
      </c>
      <c r="P2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3" s="17"/>
    </row>
    <row r="24" spans="1:17" ht="15.5" x14ac:dyDescent="0.35">
      <c r="A24" s="4" t="s">
        <v>64</v>
      </c>
      <c r="B24" s="12" t="s">
        <v>150</v>
      </c>
      <c r="C24" s="13"/>
      <c r="D24" s="13"/>
      <c r="E24" s="13">
        <v>44784.184027777781</v>
      </c>
      <c r="F24" s="18">
        <v>3.3</v>
      </c>
      <c r="G24" s="159" t="s">
        <v>162</v>
      </c>
      <c r="H24" s="18" t="s">
        <v>974</v>
      </c>
      <c r="I24" s="18" t="s">
        <v>334</v>
      </c>
      <c r="J24" s="13">
        <v>44784.484722222223</v>
      </c>
      <c r="K24" s="32"/>
      <c r="L24" s="14">
        <f t="shared" si="3"/>
        <v>0.3006944444423425</v>
      </c>
      <c r="M24" s="31">
        <f t="shared" si="4"/>
        <v>0.99229166665973023</v>
      </c>
      <c r="N24" s="15" t="str">
        <f>IF(Table2683257[[#This Row],[Fault Type]]="PM",IF(L24&lt;=(D24-C24),"Yes","No"),"")</f>
        <v/>
      </c>
      <c r="O24" s="16" t="str">
        <f t="shared" si="2"/>
        <v/>
      </c>
      <c r="P2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4" s="17"/>
    </row>
    <row r="25" spans="1:17" ht="15.5" x14ac:dyDescent="0.35">
      <c r="A25" s="4" t="s">
        <v>792</v>
      </c>
      <c r="B25" s="12" t="s">
        <v>150</v>
      </c>
      <c r="C25" s="13"/>
      <c r="D25" s="13"/>
      <c r="E25" s="13">
        <v>44784.185416666667</v>
      </c>
      <c r="F25" s="18">
        <v>0.8</v>
      </c>
      <c r="G25" s="159" t="s">
        <v>162</v>
      </c>
      <c r="H25" s="18" t="s">
        <v>975</v>
      </c>
      <c r="I25" s="18" t="s">
        <v>334</v>
      </c>
      <c r="J25" s="13">
        <v>44784.393750000003</v>
      </c>
      <c r="K25" s="32"/>
      <c r="L25" s="14">
        <f t="shared" si="3"/>
        <v>0.20833333333575865</v>
      </c>
      <c r="M25" s="31">
        <f t="shared" si="4"/>
        <v>0.16666666666860694</v>
      </c>
      <c r="N25" s="15" t="str">
        <f>IF(Table2683257[[#This Row],[Fault Type]]="PM",IF(L25&lt;=(D25-C25),"Yes","No"),"")</f>
        <v>No</v>
      </c>
      <c r="O25" s="16">
        <f t="shared" si="2"/>
        <v>0.20833333333575865</v>
      </c>
      <c r="P25"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25" s="17"/>
    </row>
    <row r="26" spans="1:17" ht="15.5" x14ac:dyDescent="0.35">
      <c r="A26" s="4" t="s">
        <v>62</v>
      </c>
      <c r="B26" s="12" t="s">
        <v>150</v>
      </c>
      <c r="C26" s="13"/>
      <c r="D26" s="13"/>
      <c r="E26" s="13">
        <v>44784.181944444441</v>
      </c>
      <c r="F26" s="18">
        <v>2</v>
      </c>
      <c r="G26" s="159" t="s">
        <v>162</v>
      </c>
      <c r="H26" s="18" t="s">
        <v>976</v>
      </c>
      <c r="I26" s="18" t="s">
        <v>334</v>
      </c>
      <c r="J26" s="13">
        <v>44784.422222222223</v>
      </c>
      <c r="K26" s="32"/>
      <c r="L26" s="14">
        <f t="shared" si="3"/>
        <v>0.24027777778246673</v>
      </c>
      <c r="M26" s="31">
        <f t="shared" si="4"/>
        <v>0.48055555556493346</v>
      </c>
      <c r="N26" s="15" t="str">
        <f>IF(Table2683257[[#This Row],[Fault Type]]="PM",IF(L26&lt;=(D26-C26),"Yes","No"),"")</f>
        <v/>
      </c>
      <c r="O26" s="16" t="str">
        <f t="shared" si="2"/>
        <v/>
      </c>
      <c r="P2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6" s="17"/>
    </row>
    <row r="27" spans="1:17" ht="15.5" x14ac:dyDescent="0.35">
      <c r="A27" s="4" t="s">
        <v>546</v>
      </c>
      <c r="B27" s="12" t="s">
        <v>150</v>
      </c>
      <c r="C27" s="13"/>
      <c r="D27" s="13"/>
      <c r="E27" s="13">
        <v>44784.134722222225</v>
      </c>
      <c r="F27" s="18">
        <v>4</v>
      </c>
      <c r="G27" s="159" t="s">
        <v>162</v>
      </c>
      <c r="H27" s="18" t="s">
        <v>526</v>
      </c>
      <c r="I27" s="18" t="s">
        <v>526</v>
      </c>
      <c r="J27" s="13">
        <v>44784.143055555556</v>
      </c>
      <c r="K27" s="32"/>
      <c r="L27" s="14">
        <f t="shared" si="3"/>
        <v>8.333333331393078E-3</v>
      </c>
      <c r="M27" s="31">
        <f t="shared" si="4"/>
        <v>3.3333333325572312E-2</v>
      </c>
      <c r="N27" s="15" t="str">
        <f>IF(Table2683257[[#This Row],[Fault Type]]="PM",IF(L27&lt;=(D27-C27),"Yes","No"),"")</f>
        <v/>
      </c>
      <c r="O27" s="16" t="str">
        <f t="shared" si="2"/>
        <v/>
      </c>
      <c r="P27"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27" s="17"/>
    </row>
    <row r="28" spans="1:17" ht="15.5" x14ac:dyDescent="0.35">
      <c r="A28" s="4" t="s">
        <v>44</v>
      </c>
      <c r="B28" s="12" t="s">
        <v>150</v>
      </c>
      <c r="C28" s="13"/>
      <c r="D28" s="13"/>
      <c r="E28" s="13">
        <v>44784.140277777777</v>
      </c>
      <c r="F28" s="12">
        <v>3.1</v>
      </c>
      <c r="G28" s="159" t="s">
        <v>164</v>
      </c>
      <c r="H28" s="12" t="s">
        <v>977</v>
      </c>
      <c r="I28" s="12" t="s">
        <v>334</v>
      </c>
      <c r="J28" s="13">
        <v>44784.493055555555</v>
      </c>
      <c r="K28" s="32"/>
      <c r="L28" s="14">
        <f t="shared" si="3"/>
        <v>0.35277777777810115</v>
      </c>
      <c r="M28" s="31">
        <f t="shared" si="4"/>
        <v>1.0936111111121136</v>
      </c>
      <c r="N28" s="15" t="str">
        <f>IF(Table2683257[[#This Row],[Fault Type]]="PM",IF(L28&lt;=(D28-C28),"Yes","No"),"")</f>
        <v/>
      </c>
      <c r="O28" s="16" t="str">
        <f t="shared" si="2"/>
        <v/>
      </c>
      <c r="P2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28" s="17"/>
    </row>
    <row r="29" spans="1:17" ht="15.5" x14ac:dyDescent="0.35">
      <c r="A29" s="4" t="s">
        <v>580</v>
      </c>
      <c r="B29" s="12" t="s">
        <v>150</v>
      </c>
      <c r="C29" s="13"/>
      <c r="D29" s="13"/>
      <c r="E29" s="13">
        <v>44784.176388888889</v>
      </c>
      <c r="F29" s="18">
        <v>2.6</v>
      </c>
      <c r="G29" s="159" t="s">
        <v>162</v>
      </c>
      <c r="H29" s="18" t="s">
        <v>526</v>
      </c>
      <c r="I29" s="18" t="s">
        <v>526</v>
      </c>
      <c r="J29" s="13">
        <v>44784.324999999997</v>
      </c>
      <c r="K29" s="32"/>
      <c r="L29" s="14">
        <f t="shared" si="3"/>
        <v>0.14861111110803904</v>
      </c>
      <c r="M29" s="31">
        <f t="shared" si="4"/>
        <v>0.3863888888809015</v>
      </c>
      <c r="N29" s="15" t="str">
        <f>IF(Table2683257[[#This Row],[Fault Type]]="PM",IF(L29&lt;=(D29-C29),"Yes","No"),"")</f>
        <v/>
      </c>
      <c r="O29" s="16" t="str">
        <f t="shared" si="2"/>
        <v/>
      </c>
      <c r="P29"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29" s="17"/>
    </row>
    <row r="30" spans="1:17" ht="15.5" x14ac:dyDescent="0.35">
      <c r="A30" s="4" t="s">
        <v>92</v>
      </c>
      <c r="B30" s="12" t="s">
        <v>150</v>
      </c>
      <c r="C30" s="13"/>
      <c r="D30" s="13"/>
      <c r="E30" s="13">
        <v>44784.177083333336</v>
      </c>
      <c r="F30" s="18">
        <v>1.6</v>
      </c>
      <c r="G30" s="159" t="s">
        <v>162</v>
      </c>
      <c r="H30" s="18" t="s">
        <v>526</v>
      </c>
      <c r="I30" s="18" t="s">
        <v>526</v>
      </c>
      <c r="J30" s="13">
        <v>44784.32708333333</v>
      </c>
      <c r="K30" s="32"/>
      <c r="L30" s="14">
        <f t="shared" si="3"/>
        <v>0.14999999999417923</v>
      </c>
      <c r="M30" s="31">
        <f t="shared" si="4"/>
        <v>0.23999999999068677</v>
      </c>
      <c r="N30" s="15" t="str">
        <f>IF(Table2683257[[#This Row],[Fault Type]]="PM",IF(L30&lt;=(D30-C30),"Yes","No"),"")</f>
        <v/>
      </c>
      <c r="O30" s="16" t="str">
        <f t="shared" si="2"/>
        <v/>
      </c>
      <c r="P3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0" s="17"/>
    </row>
    <row r="31" spans="1:17" ht="15.5" x14ac:dyDescent="0.35">
      <c r="A31" s="4" t="s">
        <v>93</v>
      </c>
      <c r="B31" s="12" t="s">
        <v>150</v>
      </c>
      <c r="C31" s="13"/>
      <c r="D31" s="13"/>
      <c r="E31" s="13">
        <v>44784.177777777775</v>
      </c>
      <c r="F31" s="12">
        <v>1.4</v>
      </c>
      <c r="G31" s="159" t="s">
        <v>162</v>
      </c>
      <c r="H31" s="12" t="s">
        <v>526</v>
      </c>
      <c r="I31" s="12" t="s">
        <v>526</v>
      </c>
      <c r="J31" s="13">
        <v>44784.327777777777</v>
      </c>
      <c r="K31" s="32"/>
      <c r="L31" s="14">
        <f t="shared" ref="L31:L67" si="5">J31-E31</f>
        <v>0.15000000000145519</v>
      </c>
      <c r="M31" s="31">
        <f t="shared" si="4"/>
        <v>0.21000000000203725</v>
      </c>
      <c r="N31" s="15" t="str">
        <f>IF(Table2683257[[#This Row],[Fault Type]]="PM",IF(L31&lt;=(D31-C31),"Yes","No"),"")</f>
        <v/>
      </c>
      <c r="O31" s="16" t="str">
        <f t="shared" si="2"/>
        <v/>
      </c>
      <c r="P3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1" s="17"/>
    </row>
    <row r="32" spans="1:17" ht="15.5" x14ac:dyDescent="0.35">
      <c r="A32" s="4" t="s">
        <v>94</v>
      </c>
      <c r="B32" s="12" t="s">
        <v>150</v>
      </c>
      <c r="C32" s="13"/>
      <c r="D32" s="13"/>
      <c r="E32" s="13">
        <v>44784.177777777775</v>
      </c>
      <c r="F32" s="18">
        <v>1.8</v>
      </c>
      <c r="G32" s="159" t="s">
        <v>162</v>
      </c>
      <c r="H32" s="18" t="s">
        <v>526</v>
      </c>
      <c r="I32" s="18" t="s">
        <v>526</v>
      </c>
      <c r="J32" s="13">
        <v>44784.326388888891</v>
      </c>
      <c r="K32" s="32"/>
      <c r="L32" s="14">
        <f t="shared" si="5"/>
        <v>0.148611111115315</v>
      </c>
      <c r="M32" s="31">
        <f t="shared" si="4"/>
        <v>0.26750000000756702</v>
      </c>
      <c r="N32" s="15" t="str">
        <f>IF(Table2683257[[#This Row],[Fault Type]]="PM",IF(L32&lt;=(D32-C32),"Yes","No"),"")</f>
        <v/>
      </c>
      <c r="O32" s="16" t="str">
        <f t="shared" si="2"/>
        <v/>
      </c>
      <c r="P3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2" s="17"/>
    </row>
    <row r="33" spans="1:17" ht="15.5" x14ac:dyDescent="0.35">
      <c r="A33" s="4" t="s">
        <v>95</v>
      </c>
      <c r="B33" s="12" t="s">
        <v>150</v>
      </c>
      <c r="C33" s="13"/>
      <c r="D33" s="13"/>
      <c r="E33" s="13">
        <v>44784.179166666669</v>
      </c>
      <c r="F33" s="18">
        <v>1.4</v>
      </c>
      <c r="G33" s="159" t="s">
        <v>162</v>
      </c>
      <c r="H33" s="18" t="s">
        <v>526</v>
      </c>
      <c r="I33" s="18" t="s">
        <v>526</v>
      </c>
      <c r="J33" s="13">
        <v>44784.325694444444</v>
      </c>
      <c r="K33" s="32"/>
      <c r="L33" s="14">
        <f t="shared" si="5"/>
        <v>0.14652777777519077</v>
      </c>
      <c r="M33" s="31">
        <f t="shared" si="4"/>
        <v>0.20513888888526707</v>
      </c>
      <c r="N33" s="15" t="str">
        <f>IF(Table2683257[[#This Row],[Fault Type]]="PM",IF(L33&lt;=(D33-C33),"Yes","No"),"")</f>
        <v/>
      </c>
      <c r="O33" s="16" t="str">
        <f t="shared" si="2"/>
        <v/>
      </c>
      <c r="P3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3" s="17"/>
    </row>
    <row r="34" spans="1:17" ht="15.5" x14ac:dyDescent="0.35">
      <c r="A34" s="4" t="s">
        <v>737</v>
      </c>
      <c r="B34" s="12" t="s">
        <v>150</v>
      </c>
      <c r="C34" s="13"/>
      <c r="D34" s="13"/>
      <c r="E34" s="13">
        <v>44784.18472222222</v>
      </c>
      <c r="F34" s="18">
        <v>3</v>
      </c>
      <c r="G34" s="159" t="s">
        <v>163</v>
      </c>
      <c r="H34" s="18" t="s">
        <v>978</v>
      </c>
      <c r="I34" s="18" t="s">
        <v>333</v>
      </c>
      <c r="J34" s="13">
        <v>44784.552777777775</v>
      </c>
      <c r="K34" s="32"/>
      <c r="L34" s="14">
        <f t="shared" si="5"/>
        <v>0.36805555555474712</v>
      </c>
      <c r="M34" s="31">
        <f t="shared" si="4"/>
        <v>1.1041666666642413</v>
      </c>
      <c r="N34" s="15" t="str">
        <f>IF(Table2683257[[#This Row],[Fault Type]]="PM",IF(L34&lt;=(D34-C34),"Yes","No"),"")</f>
        <v/>
      </c>
      <c r="O34" s="16" t="str">
        <f t="shared" si="2"/>
        <v/>
      </c>
      <c r="P34"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34" s="17"/>
    </row>
    <row r="35" spans="1:17" ht="15.5" x14ac:dyDescent="0.35">
      <c r="A35" s="4" t="s">
        <v>29</v>
      </c>
      <c r="B35" s="12" t="s">
        <v>150</v>
      </c>
      <c r="C35" s="13"/>
      <c r="D35" s="13"/>
      <c r="E35" s="13">
        <v>44784.18472222222</v>
      </c>
      <c r="F35" s="18">
        <v>16</v>
      </c>
      <c r="G35" s="159" t="s">
        <v>163</v>
      </c>
      <c r="H35" s="18" t="s">
        <v>508</v>
      </c>
      <c r="I35" s="18" t="s">
        <v>334</v>
      </c>
      <c r="J35" s="13">
        <v>44784.393750000003</v>
      </c>
      <c r="K35" s="32"/>
      <c r="L35" s="14">
        <f t="shared" si="5"/>
        <v>0.20902777778246673</v>
      </c>
      <c r="M35" s="31">
        <f t="shared" si="4"/>
        <v>3.3444444445194677</v>
      </c>
      <c r="N35" s="15" t="str">
        <f>IF(Table2683257[[#This Row],[Fault Type]]="PM",IF(L35&lt;=(D35-C35),"Yes","No"),"")</f>
        <v/>
      </c>
      <c r="O35" s="16" t="str">
        <f t="shared" si="2"/>
        <v/>
      </c>
      <c r="P3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5" s="17"/>
    </row>
    <row r="36" spans="1:17" ht="15.5" x14ac:dyDescent="0.35">
      <c r="A36" s="4" t="s">
        <v>563</v>
      </c>
      <c r="B36" s="12" t="s">
        <v>150</v>
      </c>
      <c r="C36" s="13"/>
      <c r="D36" s="13"/>
      <c r="E36" s="13">
        <v>44784.186111111114</v>
      </c>
      <c r="F36" s="18">
        <v>1.6</v>
      </c>
      <c r="G36" s="159" t="s">
        <v>162</v>
      </c>
      <c r="H36" s="18" t="s">
        <v>979</v>
      </c>
      <c r="I36" s="18" t="s">
        <v>333</v>
      </c>
      <c r="J36" s="13">
        <v>44784.70208333333</v>
      </c>
      <c r="K36" s="32"/>
      <c r="L36" s="14">
        <f t="shared" si="5"/>
        <v>0.51597222221607808</v>
      </c>
      <c r="M36" s="31">
        <f t="shared" si="4"/>
        <v>0.82555555554572502</v>
      </c>
      <c r="N36" s="15" t="str">
        <f>IF(Table2683257[[#This Row],[Fault Type]]="PM",IF(L36&lt;=(D36-C36),"Yes","No"),"")</f>
        <v/>
      </c>
      <c r="O36" s="16" t="str">
        <f t="shared" si="2"/>
        <v/>
      </c>
      <c r="P36"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36" s="17"/>
    </row>
    <row r="37" spans="1:17" ht="15.5" x14ac:dyDescent="0.35">
      <c r="A37" s="4" t="s">
        <v>96</v>
      </c>
      <c r="B37" s="12" t="s">
        <v>150</v>
      </c>
      <c r="C37" s="13"/>
      <c r="D37" s="13"/>
      <c r="E37" s="13">
        <v>44784.1875</v>
      </c>
      <c r="F37" s="18">
        <v>1.6</v>
      </c>
      <c r="G37" s="159" t="s">
        <v>164</v>
      </c>
      <c r="H37" s="18" t="s">
        <v>980</v>
      </c>
      <c r="I37" s="18" t="s">
        <v>334</v>
      </c>
      <c r="J37" s="13">
        <v>44784.79583333333</v>
      </c>
      <c r="K37" s="32"/>
      <c r="L37" s="14">
        <f t="shared" si="5"/>
        <v>0.60833333332993789</v>
      </c>
      <c r="M37" s="31">
        <f t="shared" si="4"/>
        <v>0.97333333332790062</v>
      </c>
      <c r="N37" s="15"/>
      <c r="O37" s="16" t="str">
        <f t="shared" si="2"/>
        <v/>
      </c>
      <c r="P3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37" s="17"/>
    </row>
    <row r="38" spans="1:17" ht="15.5" x14ac:dyDescent="0.35">
      <c r="A38" s="4" t="s">
        <v>21</v>
      </c>
      <c r="B38" s="12" t="s">
        <v>150</v>
      </c>
      <c r="C38" s="13"/>
      <c r="D38" s="13"/>
      <c r="E38" s="13">
        <v>44784.188888888886</v>
      </c>
      <c r="F38" s="18">
        <v>10.1</v>
      </c>
      <c r="G38" s="159" t="s">
        <v>163</v>
      </c>
      <c r="H38" s="18" t="s">
        <v>981</v>
      </c>
      <c r="I38" s="18" t="s">
        <v>334</v>
      </c>
      <c r="J38" s="13">
        <v>44784.406944444447</v>
      </c>
      <c r="K38" s="32"/>
      <c r="L38" s="14">
        <f t="shared" si="5"/>
        <v>0.21805555556056788</v>
      </c>
      <c r="M38" s="31">
        <f t="shared" si="4"/>
        <v>2.2023611111617356</v>
      </c>
      <c r="N38" s="15" t="str">
        <f>IF(Table2683257[[#This Row],[Fault Type]]="PM",IF(L38&lt;=(D38-C38),"Yes","No"),"")</f>
        <v/>
      </c>
      <c r="O38" s="16" t="str">
        <f t="shared" si="2"/>
        <v/>
      </c>
      <c r="P3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38" s="17"/>
    </row>
    <row r="39" spans="1:17" ht="15.5" x14ac:dyDescent="0.35">
      <c r="A39" s="4" t="s">
        <v>546</v>
      </c>
      <c r="B39" s="12" t="s">
        <v>150</v>
      </c>
      <c r="C39" s="13"/>
      <c r="D39" s="13"/>
      <c r="E39" s="13">
        <v>44784.191666666666</v>
      </c>
      <c r="F39" s="18">
        <v>1.7</v>
      </c>
      <c r="G39" s="159" t="s">
        <v>163</v>
      </c>
      <c r="H39" s="18" t="s">
        <v>508</v>
      </c>
      <c r="I39" s="18" t="s">
        <v>334</v>
      </c>
      <c r="J39" s="13">
        <v>44784.463888888888</v>
      </c>
      <c r="K39" s="32"/>
      <c r="L39" s="14">
        <f t="shared" si="5"/>
        <v>0.27222222222189885</v>
      </c>
      <c r="M39" s="31">
        <f t="shared" si="4"/>
        <v>0.46277777777722801</v>
      </c>
      <c r="N39" s="15" t="str">
        <f>IF(Table2683257[[#This Row],[Fault Type]]="PM",IF(L39&lt;=(D39-C39),"Yes","No"),"")</f>
        <v/>
      </c>
      <c r="O39" s="16" t="str">
        <f t="shared" si="2"/>
        <v/>
      </c>
      <c r="P39"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39" s="17"/>
    </row>
    <row r="40" spans="1:17" ht="15.5" x14ac:dyDescent="0.35">
      <c r="A40" s="4" t="s">
        <v>30</v>
      </c>
      <c r="B40" s="12" t="s">
        <v>150</v>
      </c>
      <c r="C40" s="13"/>
      <c r="D40" s="13"/>
      <c r="E40" s="13">
        <v>44784.185416666667</v>
      </c>
      <c r="F40" s="18">
        <v>5.8</v>
      </c>
      <c r="G40" s="159" t="s">
        <v>164</v>
      </c>
      <c r="H40" s="18"/>
      <c r="I40" s="18"/>
      <c r="J40" s="13"/>
      <c r="K40" s="32"/>
      <c r="L40" s="14">
        <f t="shared" si="5"/>
        <v>-44784.185416666667</v>
      </c>
      <c r="M40" s="31">
        <f t="shared" si="4"/>
        <v>-259748.27541666667</v>
      </c>
      <c r="N40" s="15" t="str">
        <f>IF(Table2683257[[#This Row],[Fault Type]]="PM",IF(L40&lt;=(D40-C40),"Yes","No"),"")</f>
        <v/>
      </c>
      <c r="O40" s="16" t="str">
        <f t="shared" si="2"/>
        <v/>
      </c>
      <c r="P4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40" s="17"/>
    </row>
    <row r="41" spans="1:17" ht="15.5" x14ac:dyDescent="0.35">
      <c r="A41" s="4" t="s">
        <v>31</v>
      </c>
      <c r="B41" s="12" t="s">
        <v>150</v>
      </c>
      <c r="C41" s="13"/>
      <c r="D41" s="13"/>
      <c r="E41" s="13">
        <v>44784.188888888886</v>
      </c>
      <c r="F41" s="18">
        <v>10.199999999999999</v>
      </c>
      <c r="G41" s="159" t="s">
        <v>163</v>
      </c>
      <c r="H41" s="18" t="s">
        <v>982</v>
      </c>
      <c r="I41" s="18" t="s">
        <v>334</v>
      </c>
      <c r="J41" s="13">
        <v>44784.40347222222</v>
      </c>
      <c r="K41" s="32"/>
      <c r="L41" s="14">
        <f t="shared" si="5"/>
        <v>0.21458333333430346</v>
      </c>
      <c r="M41" s="31">
        <f t="shared" si="4"/>
        <v>2.1887500000098949</v>
      </c>
      <c r="N41" s="15" t="str">
        <f>IF(Table2683257[[#This Row],[Fault Type]]="PM",IF(L41&lt;=(D41-C41),"Yes","No"),"")</f>
        <v/>
      </c>
      <c r="O41" s="16" t="str">
        <f t="shared" si="2"/>
        <v/>
      </c>
      <c r="P4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41" s="17"/>
    </row>
    <row r="42" spans="1:17" ht="15.5" x14ac:dyDescent="0.35">
      <c r="A42" s="4" t="s">
        <v>32</v>
      </c>
      <c r="B42" s="12" t="s">
        <v>150</v>
      </c>
      <c r="C42" s="13"/>
      <c r="D42" s="13"/>
      <c r="E42" s="13">
        <v>44784.19027777778</v>
      </c>
      <c r="F42" s="18">
        <v>1.7</v>
      </c>
      <c r="G42" s="159" t="s">
        <v>163</v>
      </c>
      <c r="H42" s="18"/>
      <c r="I42" s="18"/>
      <c r="J42" s="13"/>
      <c r="K42" s="32"/>
      <c r="L42" s="14">
        <f t="shared" si="5"/>
        <v>-44784.19027777778</v>
      </c>
      <c r="M42" s="31">
        <f t="shared" si="4"/>
        <v>-76133.123472222229</v>
      </c>
      <c r="N42" s="15" t="str">
        <f>IF(Table2683257[[#This Row],[Fault Type]]="PM",IF(L42&lt;=(D42-C42),"Yes","No"),"")</f>
        <v/>
      </c>
      <c r="O42" s="16" t="str">
        <f t="shared" si="2"/>
        <v/>
      </c>
      <c r="P4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42" s="17"/>
    </row>
    <row r="43" spans="1:17" ht="15.5" x14ac:dyDescent="0.35">
      <c r="A43" s="4" t="s">
        <v>23</v>
      </c>
      <c r="B43" s="12" t="s">
        <v>150</v>
      </c>
      <c r="C43" s="13"/>
      <c r="D43" s="13"/>
      <c r="E43" s="13">
        <v>44784.185416666667</v>
      </c>
      <c r="F43" s="18">
        <v>2.8</v>
      </c>
      <c r="G43" s="159" t="s">
        <v>164</v>
      </c>
      <c r="H43" s="18" t="s">
        <v>983</v>
      </c>
      <c r="I43" s="18" t="s">
        <v>334</v>
      </c>
      <c r="J43" s="13">
        <v>44784.393750000003</v>
      </c>
      <c r="K43" s="32"/>
      <c r="L43" s="14">
        <f t="shared" si="5"/>
        <v>0.20833333333575865</v>
      </c>
      <c r="M43" s="31">
        <f t="shared" si="4"/>
        <v>0.58333333334012416</v>
      </c>
      <c r="N43" s="15" t="str">
        <f>IF(Table2683257[[#This Row],[Fault Type]]="PM",IF(L43&lt;=(D43-C43),"Yes","No"),"")</f>
        <v/>
      </c>
      <c r="O43" s="16" t="str">
        <f t="shared" si="2"/>
        <v/>
      </c>
      <c r="P4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43" s="17"/>
    </row>
    <row r="44" spans="1:17" ht="15.5" x14ac:dyDescent="0.35">
      <c r="A44" s="4" t="s">
        <v>22</v>
      </c>
      <c r="B44" s="12" t="s">
        <v>150</v>
      </c>
      <c r="C44" s="13"/>
      <c r="D44" s="13"/>
      <c r="E44" s="13">
        <v>44784.188888888886</v>
      </c>
      <c r="F44" s="18">
        <v>5.0999999999999996</v>
      </c>
      <c r="G44" s="159" t="s">
        <v>162</v>
      </c>
      <c r="H44" s="18" t="s">
        <v>526</v>
      </c>
      <c r="I44" s="18" t="s">
        <v>526</v>
      </c>
      <c r="J44" s="13">
        <v>44784.385416666664</v>
      </c>
      <c r="K44" s="32"/>
      <c r="L44" s="14">
        <f t="shared" si="5"/>
        <v>0.19652777777810115</v>
      </c>
      <c r="M44" s="31">
        <f t="shared" si="4"/>
        <v>1.0022916666683157</v>
      </c>
      <c r="N44" s="15" t="str">
        <f>IF(Table2683257[[#This Row],[Fault Type]]="PM",IF(L44&lt;=(D44-C44),"Yes","No"),"")</f>
        <v/>
      </c>
      <c r="O44" s="16" t="str">
        <f t="shared" si="2"/>
        <v/>
      </c>
      <c r="P4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44" s="17"/>
    </row>
    <row r="45" spans="1:17" ht="15.5" x14ac:dyDescent="0.35">
      <c r="A45" s="4" t="s">
        <v>20</v>
      </c>
      <c r="B45" s="12" t="s">
        <v>150</v>
      </c>
      <c r="C45" s="13"/>
      <c r="D45" s="13"/>
      <c r="E45" s="13">
        <v>44784.194444444445</v>
      </c>
      <c r="F45" s="18">
        <v>17.5</v>
      </c>
      <c r="G45" s="159" t="s">
        <v>162</v>
      </c>
      <c r="H45" s="18" t="s">
        <v>526</v>
      </c>
      <c r="I45" s="18" t="s">
        <v>526</v>
      </c>
      <c r="J45" s="13">
        <v>44784.425694444442</v>
      </c>
      <c r="K45" s="32"/>
      <c r="L45" s="14">
        <f t="shared" si="5"/>
        <v>0.23124999999708962</v>
      </c>
      <c r="M45" s="31">
        <f t="shared" si="4"/>
        <v>4.0468749999490683</v>
      </c>
      <c r="N45" s="15" t="str">
        <f>IF(Table2683257[[#This Row],[Fault Type]]="PM",IF(L45&lt;=(D45-C45),"Yes","No"),"")</f>
        <v/>
      </c>
      <c r="O45" s="16" t="str">
        <f t="shared" si="2"/>
        <v/>
      </c>
      <c r="P4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45" s="17"/>
    </row>
    <row r="46" spans="1:17" ht="15.5" x14ac:dyDescent="0.35">
      <c r="A46" s="4" t="s">
        <v>17</v>
      </c>
      <c r="B46" s="12" t="s">
        <v>150</v>
      </c>
      <c r="C46" s="13"/>
      <c r="D46" s="13"/>
      <c r="E46" s="13">
        <v>44784.195833333331</v>
      </c>
      <c r="F46" s="18">
        <v>4.8</v>
      </c>
      <c r="G46" s="159" t="s">
        <v>163</v>
      </c>
      <c r="H46" s="18" t="s">
        <v>984</v>
      </c>
      <c r="I46" s="18" t="s">
        <v>333</v>
      </c>
      <c r="J46" s="13">
        <v>44784.717361111114</v>
      </c>
      <c r="K46" s="32"/>
      <c r="L46" s="14">
        <f t="shared" si="5"/>
        <v>0.52152777778246673</v>
      </c>
      <c r="M46" s="31">
        <f t="shared" si="4"/>
        <v>2.5033333333558403</v>
      </c>
      <c r="N46" s="15" t="str">
        <f>IF(Table2683257[[#This Row],[Fault Type]]="PM",IF(L46&lt;=(D46-C46),"Yes","No"),"")</f>
        <v/>
      </c>
      <c r="O46" s="16" t="str">
        <f t="shared" si="2"/>
        <v/>
      </c>
      <c r="P4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46" s="17"/>
    </row>
    <row r="47" spans="1:17" ht="15.75" customHeight="1" x14ac:dyDescent="0.35">
      <c r="A47" s="4" t="s">
        <v>18</v>
      </c>
      <c r="B47" s="12" t="s">
        <v>150</v>
      </c>
      <c r="C47" s="13"/>
      <c r="D47" s="13"/>
      <c r="E47" s="13">
        <v>44784.201388888891</v>
      </c>
      <c r="F47" s="12">
        <v>13.2</v>
      </c>
      <c r="G47" s="159" t="s">
        <v>164</v>
      </c>
      <c r="H47" s="12" t="s">
        <v>974</v>
      </c>
      <c r="I47" s="12" t="s">
        <v>334</v>
      </c>
      <c r="J47" s="13">
        <v>44784.385416666664</v>
      </c>
      <c r="K47" s="32"/>
      <c r="L47" s="14">
        <f t="shared" si="5"/>
        <v>0.18402777777373558</v>
      </c>
      <c r="M47" s="31">
        <f t="shared" si="4"/>
        <v>2.4291666666133094</v>
      </c>
      <c r="N47" s="15" t="str">
        <f>IF(Table2683257[[#This Row],[Fault Type]]="PM",IF(L47&lt;=(D47-C47),"Yes","No"),"")</f>
        <v/>
      </c>
      <c r="O47" s="16" t="str">
        <f t="shared" si="2"/>
        <v/>
      </c>
      <c r="P4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47" s="17"/>
    </row>
    <row r="48" spans="1:17" ht="15.5" x14ac:dyDescent="0.35">
      <c r="A48" s="4" t="s">
        <v>83</v>
      </c>
      <c r="B48" s="12" t="s">
        <v>150</v>
      </c>
      <c r="C48" s="13"/>
      <c r="D48" s="13"/>
      <c r="E48" s="13">
        <v>44784.188888888886</v>
      </c>
      <c r="F48" s="18">
        <v>1.3</v>
      </c>
      <c r="G48" s="159" t="s">
        <v>162</v>
      </c>
      <c r="H48" s="18" t="s">
        <v>985</v>
      </c>
      <c r="I48" s="18" t="s">
        <v>333</v>
      </c>
      <c r="J48" s="13">
        <v>44784.815972222219</v>
      </c>
      <c r="K48" s="32"/>
      <c r="L48" s="14">
        <f t="shared" si="5"/>
        <v>0.62708333333284827</v>
      </c>
      <c r="M48" s="31">
        <f t="shared" si="4"/>
        <v>0.81520833333270282</v>
      </c>
      <c r="N48" s="15" t="str">
        <f>IF(Table2683257[[#This Row],[Fault Type]]="PM",IF(L48&lt;=(D48-C48),"Yes","No"),"")</f>
        <v/>
      </c>
      <c r="O48" s="16" t="str">
        <f t="shared" si="2"/>
        <v/>
      </c>
      <c r="P4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48" s="17"/>
    </row>
    <row r="49" spans="1:17" ht="15.5" x14ac:dyDescent="0.35">
      <c r="A49" s="4" t="s">
        <v>119</v>
      </c>
      <c r="B49" s="49" t="s">
        <v>150</v>
      </c>
      <c r="C49" s="49"/>
      <c r="D49" s="49"/>
      <c r="E49" s="13">
        <v>44784.1875</v>
      </c>
      <c r="F49" s="64">
        <v>2.4</v>
      </c>
      <c r="G49" s="159" t="s">
        <v>164</v>
      </c>
      <c r="H49" s="54" t="s">
        <v>986</v>
      </c>
      <c r="I49" s="54" t="s">
        <v>334</v>
      </c>
      <c r="J49" s="13">
        <v>44784.451388888891</v>
      </c>
      <c r="K49" s="32"/>
      <c r="L49" s="14">
        <f t="shared" si="5"/>
        <v>0.26388888889050577</v>
      </c>
      <c r="M49" s="31">
        <f t="shared" si="4"/>
        <v>0.63333333333721387</v>
      </c>
      <c r="N49" s="50" t="str">
        <f>IF(Table2683257[[#This Row],[Fault Type]]="PM",IF(L49&lt;=(D49-C49),"Yes","No"),"")</f>
        <v/>
      </c>
      <c r="O49" s="51" t="str">
        <f t="shared" si="2"/>
        <v/>
      </c>
      <c r="P4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row>
    <row r="50" spans="1:17" ht="15.5" x14ac:dyDescent="0.35">
      <c r="A50" s="58" t="s">
        <v>371</v>
      </c>
      <c r="B50" s="55" t="s">
        <v>150</v>
      </c>
      <c r="C50" s="56"/>
      <c r="D50" s="56"/>
      <c r="E50" s="13">
        <v>44784.1875</v>
      </c>
      <c r="F50" s="55"/>
      <c r="G50" s="159" t="s">
        <v>164</v>
      </c>
      <c r="H50" s="57" t="s">
        <v>987</v>
      </c>
      <c r="I50" s="18" t="s">
        <v>334</v>
      </c>
      <c r="J50" s="13">
        <v>44784.555555555555</v>
      </c>
      <c r="K50" s="32"/>
      <c r="L50" s="14">
        <f t="shared" si="5"/>
        <v>0.36805555555474712</v>
      </c>
      <c r="M50" s="31">
        <f t="shared" si="4"/>
        <v>0</v>
      </c>
      <c r="N50" s="61" t="str">
        <f>IF(Table2683257[[#This Row],[Fault Type]]="PM",IF(L50&lt;=(D50-C50),"Yes","No"),"")</f>
        <v/>
      </c>
      <c r="O50" s="62" t="str">
        <f t="shared" si="2"/>
        <v/>
      </c>
      <c r="P5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0" s="63"/>
    </row>
    <row r="51" spans="1:17" ht="15.5" x14ac:dyDescent="0.35">
      <c r="A51" s="58" t="s">
        <v>512</v>
      </c>
      <c r="B51" s="55" t="s">
        <v>150</v>
      </c>
      <c r="C51" s="56"/>
      <c r="D51" s="56"/>
      <c r="E51" s="13">
        <v>44784.190972222219</v>
      </c>
      <c r="F51" s="55">
        <v>3</v>
      </c>
      <c r="G51" s="159" t="s">
        <v>162</v>
      </c>
      <c r="H51" s="57"/>
      <c r="I51" s="18"/>
      <c r="J51" s="13"/>
      <c r="K51" s="32"/>
      <c r="L51" s="14">
        <f t="shared" si="5"/>
        <v>-44784.190972222219</v>
      </c>
      <c r="M51" s="31">
        <f t="shared" si="4"/>
        <v>-134352.57291666666</v>
      </c>
      <c r="N51" s="61" t="str">
        <f>IF(Table2683257[[#This Row],[Fault Type]]="PM",IF(L51&lt;=(D51-C51),"Yes","No"),"")</f>
        <v/>
      </c>
      <c r="O51" s="62" t="str">
        <f t="shared" si="2"/>
        <v/>
      </c>
      <c r="P51"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51" s="63"/>
    </row>
    <row r="52" spans="1:17" ht="15.5" x14ac:dyDescent="0.35">
      <c r="A52" s="58" t="s">
        <v>499</v>
      </c>
      <c r="B52" s="55" t="s">
        <v>150</v>
      </c>
      <c r="C52" s="56"/>
      <c r="D52" s="56"/>
      <c r="E52" s="13">
        <v>44784.220138888886</v>
      </c>
      <c r="F52" s="55">
        <v>0.4</v>
      </c>
      <c r="G52" s="159" t="s">
        <v>164</v>
      </c>
      <c r="H52" s="57" t="s">
        <v>988</v>
      </c>
      <c r="I52" s="18" t="s">
        <v>333</v>
      </c>
      <c r="J52" s="13">
        <v>44784.561805555553</v>
      </c>
      <c r="K52" s="32"/>
      <c r="L52" s="14">
        <f t="shared" si="5"/>
        <v>0.34166666666715173</v>
      </c>
      <c r="M52" s="31">
        <f t="shared" si="4"/>
        <v>0.1366666666668607</v>
      </c>
      <c r="N52" s="61" t="str">
        <f>IF(Table2683257[[#This Row],[Fault Type]]="PM",IF(L52&lt;=(D52-C52),"Yes","No"),"")</f>
        <v/>
      </c>
      <c r="O52" s="62" t="str">
        <f t="shared" si="2"/>
        <v/>
      </c>
      <c r="P5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2" s="63"/>
    </row>
    <row r="53" spans="1:17" ht="15.5" x14ac:dyDescent="0.35">
      <c r="A53" s="58" t="s">
        <v>357</v>
      </c>
      <c r="B53" s="55" t="s">
        <v>150</v>
      </c>
      <c r="C53" s="56"/>
      <c r="D53" s="56"/>
      <c r="E53" s="13">
        <v>44784.241666666669</v>
      </c>
      <c r="F53" s="55">
        <v>1.2</v>
      </c>
      <c r="G53" s="159" t="s">
        <v>163</v>
      </c>
      <c r="H53" s="57"/>
      <c r="I53" s="18"/>
      <c r="J53" s="13"/>
      <c r="K53" s="60"/>
      <c r="L53" s="14">
        <f t="shared" si="5"/>
        <v>-44784.241666666669</v>
      </c>
      <c r="M53" s="59">
        <f t="shared" ref="M53:M81" si="6">L53*F53</f>
        <v>-53741.090000000004</v>
      </c>
      <c r="N53" s="61" t="str">
        <f>IF(Table2683257[[#This Row],[Fault Type]]="PM",IF(L53&lt;=(D53-C53),"Yes","No"),"")</f>
        <v/>
      </c>
      <c r="O53" s="62" t="str">
        <f t="shared" si="2"/>
        <v/>
      </c>
      <c r="P5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3" s="63"/>
    </row>
    <row r="54" spans="1:17" ht="15.5" x14ac:dyDescent="0.35">
      <c r="A54" s="58" t="s">
        <v>110</v>
      </c>
      <c r="B54" s="55" t="s">
        <v>150</v>
      </c>
      <c r="C54" s="56"/>
      <c r="D54" s="56"/>
      <c r="E54" s="13">
        <v>44784.180555555555</v>
      </c>
      <c r="F54" s="55">
        <v>1.9</v>
      </c>
      <c r="G54" s="159" t="s">
        <v>164</v>
      </c>
      <c r="H54" s="57" t="s">
        <v>989</v>
      </c>
      <c r="I54" s="18" t="s">
        <v>333</v>
      </c>
      <c r="J54" s="13">
        <v>44784.852083333331</v>
      </c>
      <c r="K54" s="60"/>
      <c r="L54" s="14">
        <f t="shared" si="5"/>
        <v>0.67152777777664596</v>
      </c>
      <c r="M54" s="59">
        <f t="shared" si="6"/>
        <v>1.2759027777756273</v>
      </c>
      <c r="N54" s="61" t="str">
        <f>IF(Table2683257[[#This Row],[Fault Type]]="PM",IF(L54&lt;=(D54-C54),"Yes","No"),"")</f>
        <v/>
      </c>
      <c r="O54" s="62" t="str">
        <f t="shared" si="2"/>
        <v/>
      </c>
      <c r="P5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4" s="63"/>
    </row>
    <row r="55" spans="1:17" ht="15.5" x14ac:dyDescent="0.35">
      <c r="A55" s="58" t="s">
        <v>117</v>
      </c>
      <c r="B55" s="55" t="s">
        <v>150</v>
      </c>
      <c r="C55" s="56"/>
      <c r="D55" s="56"/>
      <c r="E55" s="13">
        <v>44784.331944444442</v>
      </c>
      <c r="F55" s="55">
        <v>1.4</v>
      </c>
      <c r="G55" s="159" t="s">
        <v>164</v>
      </c>
      <c r="H55" s="57" t="s">
        <v>990</v>
      </c>
      <c r="I55" s="18" t="s">
        <v>334</v>
      </c>
      <c r="J55" s="13">
        <v>44784.434027777781</v>
      </c>
      <c r="K55" s="60"/>
      <c r="L55" s="14">
        <f t="shared" si="5"/>
        <v>0.10208333333866904</v>
      </c>
      <c r="M55" s="59">
        <f t="shared" si="6"/>
        <v>0.14291666667413663</v>
      </c>
      <c r="N55" s="61" t="str">
        <f>IF(Table2683257[[#This Row],[Fault Type]]="PM",IF(L55&lt;=(D55-C55),"Yes","No"),"")</f>
        <v/>
      </c>
      <c r="O55" s="62" t="str">
        <f t="shared" si="2"/>
        <v/>
      </c>
      <c r="P5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55" s="63"/>
    </row>
    <row r="56" spans="1:17" ht="15.5" x14ac:dyDescent="0.35">
      <c r="A56" s="58" t="s">
        <v>74</v>
      </c>
      <c r="B56" s="55" t="s">
        <v>150</v>
      </c>
      <c r="C56" s="56"/>
      <c r="D56" s="56"/>
      <c r="E56" s="13">
        <v>44784.181250000001</v>
      </c>
      <c r="F56" s="55">
        <v>0.6</v>
      </c>
      <c r="G56" s="159" t="s">
        <v>162</v>
      </c>
      <c r="H56" s="57" t="s">
        <v>991</v>
      </c>
      <c r="I56" s="18" t="s">
        <v>333</v>
      </c>
      <c r="J56" s="13">
        <v>44784.253472222219</v>
      </c>
      <c r="K56" s="60"/>
      <c r="L56" s="14">
        <f t="shared" si="5"/>
        <v>7.2222222217533272E-2</v>
      </c>
      <c r="M56" s="59">
        <f t="shared" si="6"/>
        <v>4.333333333051996E-2</v>
      </c>
      <c r="N56" s="61" t="str">
        <f>IF(Table2683257[[#This Row],[Fault Type]]="PM",IF(L56&lt;=(D56-C56),"Yes","No"),"")</f>
        <v/>
      </c>
      <c r="O56" s="62" t="str">
        <f t="shared" si="2"/>
        <v/>
      </c>
      <c r="P5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56" s="63"/>
    </row>
    <row r="57" spans="1:17" ht="15.5" x14ac:dyDescent="0.35">
      <c r="A57" s="58" t="s">
        <v>73</v>
      </c>
      <c r="B57" s="55" t="s">
        <v>150</v>
      </c>
      <c r="C57" s="56"/>
      <c r="D57" s="56"/>
      <c r="E57" s="13">
        <v>44784.184027777781</v>
      </c>
      <c r="F57" s="55">
        <v>1.5</v>
      </c>
      <c r="G57" s="159" t="s">
        <v>162</v>
      </c>
      <c r="H57" s="57" t="s">
        <v>992</v>
      </c>
      <c r="I57" s="18" t="s">
        <v>333</v>
      </c>
      <c r="J57" s="13">
        <v>44784.544444444444</v>
      </c>
      <c r="K57" s="60"/>
      <c r="L57" s="14">
        <f t="shared" si="5"/>
        <v>0.36041666666278616</v>
      </c>
      <c r="M57" s="59">
        <f t="shared" si="6"/>
        <v>0.54062499999417923</v>
      </c>
      <c r="N57" s="61" t="str">
        <f>IF(Table2683257[[#This Row],[Fault Type]]="PM",IF(L57&lt;=(D57-C57),"Yes","No"),"")</f>
        <v/>
      </c>
      <c r="O57" s="62" t="str">
        <f t="shared" si="2"/>
        <v/>
      </c>
      <c r="P5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7" s="63"/>
    </row>
    <row r="58" spans="1:17" ht="15.5" x14ac:dyDescent="0.35">
      <c r="A58" s="58" t="s">
        <v>139</v>
      </c>
      <c r="B58" s="55" t="s">
        <v>150</v>
      </c>
      <c r="C58" s="56"/>
      <c r="D58" s="56"/>
      <c r="E58" s="13">
        <v>44784.21597222222</v>
      </c>
      <c r="F58" s="55">
        <v>0.5</v>
      </c>
      <c r="G58" s="159" t="s">
        <v>163</v>
      </c>
      <c r="H58" s="57" t="s">
        <v>993</v>
      </c>
      <c r="I58" s="18" t="s">
        <v>333</v>
      </c>
      <c r="J58" s="13">
        <v>44784.4375</v>
      </c>
      <c r="K58" s="60"/>
      <c r="L58" s="14">
        <f t="shared" si="5"/>
        <v>0.22152777777955635</v>
      </c>
      <c r="M58" s="59">
        <f t="shared" si="6"/>
        <v>0.11076388888977817</v>
      </c>
      <c r="N58" s="61" t="str">
        <f>IF(Table2683257[[#This Row],[Fault Type]]="PM",IF(L58&lt;=(D58-C58),"Yes","No"),"")</f>
        <v/>
      </c>
      <c r="O58" s="62" t="str">
        <f t="shared" si="2"/>
        <v/>
      </c>
      <c r="P5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8" s="63"/>
    </row>
    <row r="59" spans="1:17" ht="15.5" x14ac:dyDescent="0.35">
      <c r="A59" s="58" t="s">
        <v>118</v>
      </c>
      <c r="B59" s="55" t="s">
        <v>150</v>
      </c>
      <c r="C59" s="56"/>
      <c r="D59" s="56"/>
      <c r="E59" s="13">
        <v>44784.284722222219</v>
      </c>
      <c r="F59" s="55">
        <v>2.7</v>
      </c>
      <c r="G59" s="159" t="s">
        <v>164</v>
      </c>
      <c r="H59" s="57" t="s">
        <v>994</v>
      </c>
      <c r="I59" s="18" t="s">
        <v>334</v>
      </c>
      <c r="J59" s="13">
        <v>44784.838194444441</v>
      </c>
      <c r="K59" s="60"/>
      <c r="L59" s="14">
        <f t="shared" si="5"/>
        <v>0.55347222222189885</v>
      </c>
      <c r="M59" s="59">
        <f t="shared" si="6"/>
        <v>1.4943749999991269</v>
      </c>
      <c r="N59" s="61" t="str">
        <f>IF(Table2683257[[#This Row],[Fault Type]]="PM",IF(L59&lt;=(D59-C59),"Yes","No"),"")</f>
        <v/>
      </c>
      <c r="O59" s="62" t="str">
        <f t="shared" si="2"/>
        <v/>
      </c>
      <c r="P5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59" s="63"/>
    </row>
    <row r="60" spans="1:17" ht="15.5" x14ac:dyDescent="0.35">
      <c r="A60" s="58" t="s">
        <v>120</v>
      </c>
      <c r="B60" s="55" t="s">
        <v>150</v>
      </c>
      <c r="C60" s="56"/>
      <c r="D60" s="56"/>
      <c r="E60" s="13">
        <v>44784.286111111112</v>
      </c>
      <c r="F60" s="55">
        <v>2.9</v>
      </c>
      <c r="G60" s="159" t="s">
        <v>164</v>
      </c>
      <c r="H60" s="57" t="s">
        <v>995</v>
      </c>
      <c r="I60" s="18" t="s">
        <v>333</v>
      </c>
      <c r="J60" s="13">
        <v>44784.444444444445</v>
      </c>
      <c r="K60" s="60"/>
      <c r="L60" s="14">
        <f t="shared" si="5"/>
        <v>0.15833333333284827</v>
      </c>
      <c r="M60" s="59">
        <f t="shared" si="6"/>
        <v>0.45916666666525996</v>
      </c>
      <c r="N60" s="61" t="str">
        <f>IF(Table2683257[[#This Row],[Fault Type]]="PM",IF(L60&lt;=(D60-C60),"Yes","No"),"")</f>
        <v/>
      </c>
      <c r="O60" s="62" t="str">
        <f t="shared" si="2"/>
        <v/>
      </c>
      <c r="P6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60" s="63"/>
    </row>
    <row r="61" spans="1:17" ht="15.5" x14ac:dyDescent="0.35">
      <c r="A61" s="58" t="s">
        <v>65</v>
      </c>
      <c r="B61" s="55" t="s">
        <v>150</v>
      </c>
      <c r="C61" s="56"/>
      <c r="D61" s="56"/>
      <c r="E61" s="13">
        <v>44784.284722222219</v>
      </c>
      <c r="F61" s="55"/>
      <c r="G61" s="159" t="s">
        <v>164</v>
      </c>
      <c r="H61" s="57" t="s">
        <v>994</v>
      </c>
      <c r="I61" s="18" t="s">
        <v>334</v>
      </c>
      <c r="J61" s="13">
        <v>44784.496527777781</v>
      </c>
      <c r="K61" s="60"/>
      <c r="L61" s="14">
        <f t="shared" si="5"/>
        <v>0.21180555556202307</v>
      </c>
      <c r="M61" s="59">
        <f t="shared" si="6"/>
        <v>0</v>
      </c>
      <c r="N61" s="61" t="str">
        <f>IF(Table2683257[[#This Row],[Fault Type]]="PM",IF(L61&lt;=(D61-C61),"Yes","No"),"")</f>
        <v/>
      </c>
      <c r="O61" s="62" t="str">
        <f t="shared" si="2"/>
        <v/>
      </c>
      <c r="P6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1" s="63"/>
    </row>
    <row r="62" spans="1:17" ht="15.5" x14ac:dyDescent="0.35">
      <c r="A62" s="58" t="s">
        <v>354</v>
      </c>
      <c r="B62" s="55" t="s">
        <v>150</v>
      </c>
      <c r="C62" s="56"/>
      <c r="D62" s="56"/>
      <c r="E62" s="13">
        <v>44784.270833333336</v>
      </c>
      <c r="F62" s="55">
        <v>0.5</v>
      </c>
      <c r="G62" s="159" t="s">
        <v>164</v>
      </c>
      <c r="H62" s="57"/>
      <c r="I62" s="18"/>
      <c r="J62" s="13"/>
      <c r="K62" s="60"/>
      <c r="L62" s="14">
        <f t="shared" si="5"/>
        <v>-44784.270833333336</v>
      </c>
      <c r="M62" s="59">
        <f t="shared" si="6"/>
        <v>-22392.135416666668</v>
      </c>
      <c r="N62" s="61" t="str">
        <f>IF(Table2683257[[#This Row],[Fault Type]]="PM",IF(L62&lt;=(D62-C62),"Yes","No"),"")</f>
        <v/>
      </c>
      <c r="O62" s="62" t="str">
        <f t="shared" si="2"/>
        <v/>
      </c>
      <c r="P6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2" s="63"/>
    </row>
    <row r="63" spans="1:17" ht="15.5" x14ac:dyDescent="0.35">
      <c r="A63" s="58" t="s">
        <v>996</v>
      </c>
      <c r="B63" s="55" t="s">
        <v>150</v>
      </c>
      <c r="C63" s="56"/>
      <c r="D63" s="56"/>
      <c r="E63" s="13">
        <v>44784.327777777777</v>
      </c>
      <c r="F63" s="55">
        <v>2.7</v>
      </c>
      <c r="G63" s="159" t="s">
        <v>163</v>
      </c>
      <c r="H63" s="57" t="s">
        <v>997</v>
      </c>
      <c r="I63" s="18" t="s">
        <v>333</v>
      </c>
      <c r="J63" s="13">
        <v>44784.46875</v>
      </c>
      <c r="K63" s="60"/>
      <c r="L63" s="14">
        <f t="shared" si="5"/>
        <v>0.14097222222335404</v>
      </c>
      <c r="M63" s="59">
        <f t="shared" si="6"/>
        <v>0.38062500000305594</v>
      </c>
      <c r="N63" s="61" t="str">
        <f>IF(Table2683257[[#This Row],[Fault Type]]="PM",IF(L63&lt;=(D63-C63),"Yes","No"),"")</f>
        <v/>
      </c>
      <c r="O63" s="62" t="str">
        <f t="shared" si="2"/>
        <v/>
      </c>
      <c r="P63"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63" s="63"/>
    </row>
    <row r="64" spans="1:17" ht="15.5" x14ac:dyDescent="0.35">
      <c r="A64" s="58" t="s">
        <v>212</v>
      </c>
      <c r="B64" s="55" t="s">
        <v>150</v>
      </c>
      <c r="C64" s="56"/>
      <c r="D64" s="56"/>
      <c r="E64" s="13">
        <v>44784.256944444445</v>
      </c>
      <c r="F64" s="55">
        <v>1.2</v>
      </c>
      <c r="G64" s="159" t="s">
        <v>164</v>
      </c>
      <c r="H64" s="57"/>
      <c r="I64" s="18"/>
      <c r="J64" s="13"/>
      <c r="K64" s="60"/>
      <c r="L64" s="14">
        <f t="shared" si="5"/>
        <v>-44784.256944444445</v>
      </c>
      <c r="M64" s="59">
        <f t="shared" si="6"/>
        <v>-53741.10833333333</v>
      </c>
      <c r="N64" s="61" t="str">
        <f>IF(Table2683257[[#This Row],[Fault Type]]="PM",IF(L64&lt;=(D64-C64),"Yes","No"),"")</f>
        <v/>
      </c>
      <c r="O64" s="62" t="str">
        <f t="shared" si="2"/>
        <v/>
      </c>
      <c r="P6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4" s="63"/>
    </row>
    <row r="65" spans="1:17" ht="15.5" x14ac:dyDescent="0.35">
      <c r="A65" s="58" t="s">
        <v>370</v>
      </c>
      <c r="B65" s="55" t="s">
        <v>150</v>
      </c>
      <c r="C65" s="56"/>
      <c r="D65" s="56"/>
      <c r="E65" s="13">
        <v>44784.297222222223</v>
      </c>
      <c r="F65" s="55">
        <v>6.8</v>
      </c>
      <c r="G65" s="159" t="s">
        <v>164</v>
      </c>
      <c r="H65" s="57" t="s">
        <v>998</v>
      </c>
      <c r="I65" s="18" t="s">
        <v>333</v>
      </c>
      <c r="J65" s="13">
        <v>44784.555555555555</v>
      </c>
      <c r="K65" s="60"/>
      <c r="L65" s="14">
        <f t="shared" si="5"/>
        <v>0.25833333333139308</v>
      </c>
      <c r="M65" s="59">
        <f t="shared" si="6"/>
        <v>1.7566666666534729</v>
      </c>
      <c r="N65" s="61" t="str">
        <f>IF(Table2683257[[#This Row],[Fault Type]]="PM",IF(L65&lt;=(D65-C65),"Yes","No"),"")</f>
        <v/>
      </c>
      <c r="O65" s="62" t="str">
        <f t="shared" si="2"/>
        <v/>
      </c>
      <c r="P6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5" s="63"/>
    </row>
    <row r="66" spans="1:17" ht="15.5" x14ac:dyDescent="0.35">
      <c r="A66" s="58" t="s">
        <v>126</v>
      </c>
      <c r="B66" s="55" t="s">
        <v>150</v>
      </c>
      <c r="C66" s="56"/>
      <c r="D66" s="56"/>
      <c r="E66" s="13">
        <v>44784.304166666669</v>
      </c>
      <c r="F66" s="55">
        <v>3.3</v>
      </c>
      <c r="G66" s="159" t="s">
        <v>164</v>
      </c>
      <c r="H66" s="57"/>
      <c r="I66" s="18"/>
      <c r="J66" s="13"/>
      <c r="K66" s="60"/>
      <c r="L66" s="14">
        <f t="shared" si="5"/>
        <v>-44784.304166666669</v>
      </c>
      <c r="M66" s="59">
        <f t="shared" si="6"/>
        <v>-147788.20374999999</v>
      </c>
      <c r="N66" s="61" t="str">
        <f>IF(Table2683257[[#This Row],[Fault Type]]="PM",IF(L66&lt;=(D66-C66),"Yes","No"),"")</f>
        <v/>
      </c>
      <c r="O66" s="62" t="str">
        <f t="shared" si="2"/>
        <v/>
      </c>
      <c r="P6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6" s="63"/>
    </row>
    <row r="67" spans="1:17" ht="15.5" x14ac:dyDescent="0.35">
      <c r="A67" s="58" t="s">
        <v>59</v>
      </c>
      <c r="B67" s="55" t="s">
        <v>150</v>
      </c>
      <c r="C67" s="56"/>
      <c r="D67" s="56"/>
      <c r="E67" s="13">
        <v>44784.306250000001</v>
      </c>
      <c r="F67" s="55">
        <v>6.2</v>
      </c>
      <c r="G67" s="159" t="s">
        <v>164</v>
      </c>
      <c r="H67" s="57"/>
      <c r="I67" s="18"/>
      <c r="J67" s="13"/>
      <c r="K67" s="60"/>
      <c r="L67" s="14">
        <f t="shared" si="5"/>
        <v>-44784.306250000001</v>
      </c>
      <c r="M67" s="59">
        <f t="shared" si="6"/>
        <v>-277662.69875000004</v>
      </c>
      <c r="N67" s="61" t="str">
        <f>IF(Table2683257[[#This Row],[Fault Type]]="PM",IF(L67&lt;=(D67-C67),"Yes","No"),"")</f>
        <v/>
      </c>
      <c r="O67" s="62" t="str">
        <f t="shared" si="2"/>
        <v/>
      </c>
      <c r="P6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7" s="63"/>
    </row>
    <row r="68" spans="1:17" ht="15.5" x14ac:dyDescent="0.35">
      <c r="A68" s="58" t="s">
        <v>999</v>
      </c>
      <c r="B68" s="55" t="s">
        <v>150</v>
      </c>
      <c r="C68" s="56"/>
      <c r="D68" s="56"/>
      <c r="E68" s="13">
        <v>44784.347222222219</v>
      </c>
      <c r="F68" s="55">
        <v>3.1</v>
      </c>
      <c r="G68" s="55" t="s">
        <v>164</v>
      </c>
      <c r="H68" s="57" t="s">
        <v>1000</v>
      </c>
      <c r="I68" s="18" t="s">
        <v>333</v>
      </c>
      <c r="J68" s="13">
        <v>44784.449305555558</v>
      </c>
      <c r="K68" s="60"/>
      <c r="L68" s="14">
        <f t="shared" ref="L68:L81" si="7">J68-E68</f>
        <v>0.10208333333866904</v>
      </c>
      <c r="M68" s="59">
        <f t="shared" si="6"/>
        <v>0.316458333349874</v>
      </c>
      <c r="N68" s="61" t="str">
        <f>IF(Table2683257[[#This Row],[Fault Type]]="PM",IF(L68&lt;=(D68-C68),"Yes","No"),"")</f>
        <v/>
      </c>
      <c r="O68" s="62" t="str">
        <f t="shared" ref="O68:O81" si="8">IF(N68="No",(L68-(D68-C68)),"")</f>
        <v/>
      </c>
      <c r="P68" s="166"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68" s="63"/>
    </row>
    <row r="69" spans="1:17" ht="15.5" x14ac:dyDescent="0.35">
      <c r="A69" s="58" t="s">
        <v>116</v>
      </c>
      <c r="B69" s="55" t="s">
        <v>150</v>
      </c>
      <c r="C69" s="56"/>
      <c r="D69" s="56"/>
      <c r="E69" s="13">
        <v>44784.398611111108</v>
      </c>
      <c r="F69" s="55"/>
      <c r="G69" s="55" t="s">
        <v>163</v>
      </c>
      <c r="H69" s="57" t="s">
        <v>1001</v>
      </c>
      <c r="I69" s="18" t="s">
        <v>333</v>
      </c>
      <c r="J69" s="13">
        <v>44784.602083333331</v>
      </c>
      <c r="K69" s="60"/>
      <c r="L69" s="14">
        <f t="shared" si="7"/>
        <v>0.20347222222335404</v>
      </c>
      <c r="M69" s="59">
        <f t="shared" si="6"/>
        <v>0</v>
      </c>
      <c r="N69" s="61" t="str">
        <f>IF(Table2683257[[#This Row],[Fault Type]]="PM",IF(L69&lt;=(D69-C69),"Yes","No"),"")</f>
        <v/>
      </c>
      <c r="O69" s="62" t="str">
        <f t="shared" si="8"/>
        <v/>
      </c>
      <c r="P6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69" s="63"/>
    </row>
    <row r="70" spans="1:17" ht="15.5" x14ac:dyDescent="0.35">
      <c r="A70" s="58" t="s">
        <v>67</v>
      </c>
      <c r="B70" s="55" t="s">
        <v>150</v>
      </c>
      <c r="C70" s="56"/>
      <c r="D70" s="56"/>
      <c r="E70" s="13">
        <v>44784.398611111108</v>
      </c>
      <c r="F70" s="55"/>
      <c r="G70" s="55" t="s">
        <v>164</v>
      </c>
      <c r="H70" s="57" t="s">
        <v>1002</v>
      </c>
      <c r="I70" s="18" t="s">
        <v>333</v>
      </c>
      <c r="J70" s="13">
        <v>44784.545138888891</v>
      </c>
      <c r="K70" s="60"/>
      <c r="L70" s="14">
        <f t="shared" si="7"/>
        <v>0.14652777778246673</v>
      </c>
      <c r="M70" s="59">
        <f t="shared" si="6"/>
        <v>0</v>
      </c>
      <c r="N70" s="61" t="str">
        <f>IF(Table2683257[[#This Row],[Fault Type]]="PM",IF(L70&lt;=(D70-C70),"Yes","No"),"")</f>
        <v/>
      </c>
      <c r="O70" s="62" t="str">
        <f t="shared" si="8"/>
        <v/>
      </c>
      <c r="P7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70" s="63"/>
    </row>
    <row r="71" spans="1:17" ht="15.5" x14ac:dyDescent="0.35">
      <c r="A71" s="58" t="s">
        <v>179</v>
      </c>
      <c r="B71" s="55" t="s">
        <v>150</v>
      </c>
      <c r="C71" s="56"/>
      <c r="D71" s="56"/>
      <c r="E71" s="13">
        <v>44784.359722222223</v>
      </c>
      <c r="F71" s="55">
        <v>0.4</v>
      </c>
      <c r="G71" s="55" t="s">
        <v>164</v>
      </c>
      <c r="H71" s="57" t="s">
        <v>1003</v>
      </c>
      <c r="I71" s="18" t="s">
        <v>333</v>
      </c>
      <c r="J71" s="13">
        <v>46976.477777777778</v>
      </c>
      <c r="K71" s="60"/>
      <c r="L71" s="14">
        <f t="shared" si="7"/>
        <v>2192.1180555555547</v>
      </c>
      <c r="M71" s="59">
        <f t="shared" si="6"/>
        <v>876.84722222222194</v>
      </c>
      <c r="N71" s="61" t="str">
        <f>IF(Table2683257[[#This Row],[Fault Type]]="PM",IF(L71&lt;=(D71-C71),"Yes","No"),"")</f>
        <v/>
      </c>
      <c r="O71" s="62" t="str">
        <f t="shared" si="8"/>
        <v/>
      </c>
      <c r="P7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71" s="63"/>
    </row>
    <row r="72" spans="1:17" ht="15.5" x14ac:dyDescent="0.35">
      <c r="A72" s="58" t="s">
        <v>66</v>
      </c>
      <c r="B72" s="55" t="s">
        <v>150</v>
      </c>
      <c r="C72" s="56"/>
      <c r="D72" s="56"/>
      <c r="E72" s="13">
        <v>44784.395833333336</v>
      </c>
      <c r="F72" s="55"/>
      <c r="G72" s="55" t="s">
        <v>164</v>
      </c>
      <c r="H72" s="57" t="s">
        <v>1004</v>
      </c>
      <c r="I72" s="18" t="s">
        <v>333</v>
      </c>
      <c r="J72" s="13">
        <v>44784.811805555553</v>
      </c>
      <c r="K72" s="60"/>
      <c r="L72" s="14">
        <f t="shared" si="7"/>
        <v>0.41597222221753327</v>
      </c>
      <c r="M72" s="59">
        <f t="shared" si="6"/>
        <v>0</v>
      </c>
      <c r="N72" s="61" t="str">
        <f>IF(Table2683257[[#This Row],[Fault Type]]="PM",IF(L72&lt;=(D72-C72),"Yes","No"),"")</f>
        <v/>
      </c>
      <c r="O72" s="62" t="str">
        <f t="shared" si="8"/>
        <v/>
      </c>
      <c r="P72"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72" s="63"/>
    </row>
    <row r="73" spans="1:17" ht="15.5" x14ac:dyDescent="0.35">
      <c r="A73" s="58" t="s">
        <v>30</v>
      </c>
      <c r="B73" s="55" t="s">
        <v>150</v>
      </c>
      <c r="C73" s="56"/>
      <c r="D73" s="56"/>
      <c r="E73" s="13">
        <v>44784.40902777778</v>
      </c>
      <c r="F73" s="55">
        <v>5</v>
      </c>
      <c r="G73" s="55" t="s">
        <v>164</v>
      </c>
      <c r="H73" s="57" t="s">
        <v>1005</v>
      </c>
      <c r="I73" s="18" t="s">
        <v>333</v>
      </c>
      <c r="J73" s="13">
        <v>44784.418749999997</v>
      </c>
      <c r="K73" s="60"/>
      <c r="L73" s="14">
        <f t="shared" si="7"/>
        <v>9.7222222175332718E-3</v>
      </c>
      <c r="M73" s="59">
        <f t="shared" si="6"/>
        <v>4.8611111087666359E-2</v>
      </c>
      <c r="N73" s="61" t="str">
        <f>IF(Table2683257[[#This Row],[Fault Type]]="PM",IF(L73&lt;=(D73-C73),"Yes","No"),"")</f>
        <v/>
      </c>
      <c r="O73" s="62" t="str">
        <f t="shared" si="8"/>
        <v/>
      </c>
      <c r="P73"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73" s="63"/>
    </row>
    <row r="74" spans="1:17" ht="15.5" x14ac:dyDescent="0.35">
      <c r="A74" s="58" t="s">
        <v>26</v>
      </c>
      <c r="B74" s="55" t="s">
        <v>150</v>
      </c>
      <c r="C74" s="56"/>
      <c r="D74" s="56"/>
      <c r="E74" s="13">
        <v>44784.425000000003</v>
      </c>
      <c r="F74" s="55">
        <v>0.6</v>
      </c>
      <c r="G74" s="55" t="s">
        <v>164</v>
      </c>
      <c r="H74" s="57" t="s">
        <v>1006</v>
      </c>
      <c r="I74" s="18" t="s">
        <v>334</v>
      </c>
      <c r="J74" s="13">
        <v>44784.52847222222</v>
      </c>
      <c r="K74" s="60"/>
      <c r="L74" s="14">
        <f t="shared" si="7"/>
        <v>0.10347222221753327</v>
      </c>
      <c r="M74" s="59">
        <f t="shared" si="6"/>
        <v>6.2083333330519963E-2</v>
      </c>
      <c r="N74" s="61" t="str">
        <f>IF(Table2683257[[#This Row],[Fault Type]]="PM",IF(L74&lt;=(D74-C74),"Yes","No"),"")</f>
        <v/>
      </c>
      <c r="O74" s="62" t="str">
        <f t="shared" si="8"/>
        <v/>
      </c>
      <c r="P74"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74" s="63"/>
    </row>
    <row r="75" spans="1:17" ht="15.5" x14ac:dyDescent="0.35">
      <c r="A75" s="58" t="s">
        <v>449</v>
      </c>
      <c r="B75" s="55" t="s">
        <v>150</v>
      </c>
      <c r="C75" s="56"/>
      <c r="D75" s="56"/>
      <c r="E75" s="13">
        <v>44784.427083333336</v>
      </c>
      <c r="F75" s="55"/>
      <c r="G75" s="55" t="s">
        <v>162</v>
      </c>
      <c r="H75" s="57" t="s">
        <v>1007</v>
      </c>
      <c r="I75" s="18" t="s">
        <v>333</v>
      </c>
      <c r="J75" s="13">
        <v>44784.731944444444</v>
      </c>
      <c r="K75" s="60"/>
      <c r="L75" s="14">
        <f t="shared" si="7"/>
        <v>0.30486111110803904</v>
      </c>
      <c r="M75" s="59">
        <f t="shared" si="6"/>
        <v>0</v>
      </c>
      <c r="N75" s="61" t="str">
        <f>IF(Table2683257[[#This Row],[Fault Type]]="PM",IF(L75&lt;=(D75-C75),"Yes","No"),"")</f>
        <v/>
      </c>
      <c r="O75" s="62" t="str">
        <f t="shared" si="8"/>
        <v/>
      </c>
      <c r="P75"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75" s="63"/>
    </row>
    <row r="76" spans="1:17" ht="15.5" x14ac:dyDescent="0.35">
      <c r="A76" s="58" t="s">
        <v>450</v>
      </c>
      <c r="B76" s="55" t="s">
        <v>150</v>
      </c>
      <c r="C76" s="56"/>
      <c r="D76" s="56"/>
      <c r="E76" s="13">
        <v>44784.427777777775</v>
      </c>
      <c r="F76" s="55"/>
      <c r="G76" s="55" t="s">
        <v>162</v>
      </c>
      <c r="H76" s="57" t="s">
        <v>1008</v>
      </c>
      <c r="I76" s="18" t="s">
        <v>334</v>
      </c>
      <c r="J76" s="13">
        <v>44784.808333333334</v>
      </c>
      <c r="K76" s="60"/>
      <c r="L76" s="14">
        <f t="shared" si="7"/>
        <v>0.38055555555911269</v>
      </c>
      <c r="M76" s="59">
        <f t="shared" si="6"/>
        <v>0</v>
      </c>
      <c r="N76" s="61" t="str">
        <f>IF(Table2683257[[#This Row],[Fault Type]]="PM",IF(L76&lt;=(D76-C76),"Yes","No"),"")</f>
        <v/>
      </c>
      <c r="O76" s="62" t="str">
        <f t="shared" si="8"/>
        <v/>
      </c>
      <c r="P76"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76" s="63"/>
    </row>
    <row r="77" spans="1:17" ht="15.5" x14ac:dyDescent="0.35">
      <c r="A77" s="58" t="s">
        <v>37</v>
      </c>
      <c r="B77" s="55" t="s">
        <v>158</v>
      </c>
      <c r="C77" s="56"/>
      <c r="D77" s="56"/>
      <c r="E77" s="13">
        <v>44784.429861111108</v>
      </c>
      <c r="F77" s="55">
        <v>15.5</v>
      </c>
      <c r="G77" s="159"/>
      <c r="H77" s="57" t="s">
        <v>1009</v>
      </c>
      <c r="I77" s="18" t="s">
        <v>333</v>
      </c>
      <c r="J77" s="13">
        <v>44784.488194444442</v>
      </c>
      <c r="K77" s="60"/>
      <c r="L77" s="14">
        <f t="shared" si="7"/>
        <v>5.8333333334303461E-2</v>
      </c>
      <c r="M77" s="59">
        <f t="shared" si="6"/>
        <v>0.90416666668170365</v>
      </c>
      <c r="N77" s="61" t="str">
        <f>IF(Table2683257[[#This Row],[Fault Type]]="PM",IF(L77&lt;=(D77-C77),"Yes","No"),"")</f>
        <v/>
      </c>
      <c r="O77" s="62" t="str">
        <f t="shared" si="8"/>
        <v/>
      </c>
      <c r="P77"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77" s="63"/>
    </row>
    <row r="78" spans="1:17" ht="15.5" x14ac:dyDescent="0.35">
      <c r="A78" s="58" t="s">
        <v>112</v>
      </c>
      <c r="B78" s="55" t="s">
        <v>156</v>
      </c>
      <c r="C78" s="56">
        <v>44784.416666666664</v>
      </c>
      <c r="D78" s="56">
        <v>44784.75</v>
      </c>
      <c r="E78" s="13">
        <v>44784.426388888889</v>
      </c>
      <c r="F78" s="55"/>
      <c r="G78" s="159"/>
      <c r="H78" s="57" t="s">
        <v>1010</v>
      </c>
      <c r="I78" s="18"/>
      <c r="J78" s="13">
        <v>44784.684027777781</v>
      </c>
      <c r="K78" s="60"/>
      <c r="L78" s="14">
        <f t="shared" si="7"/>
        <v>0.25763888889196096</v>
      </c>
      <c r="M78" s="59">
        <f t="shared" si="6"/>
        <v>0</v>
      </c>
      <c r="N78" s="61" t="str">
        <f>IF(Table2683257[[#This Row],[Fault Type]]="PM",IF(L78&lt;=(D78-C78),"Yes","No"),"")</f>
        <v/>
      </c>
      <c r="O78" s="62" t="str">
        <f t="shared" si="8"/>
        <v/>
      </c>
      <c r="P78"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
      </c>
      <c r="Q78" s="63"/>
    </row>
    <row r="79" spans="1:17" ht="15.5" x14ac:dyDescent="0.35">
      <c r="A79" s="58" t="s">
        <v>91</v>
      </c>
      <c r="B79" s="55" t="s">
        <v>156</v>
      </c>
      <c r="C79" s="56">
        <v>44784.416666666664</v>
      </c>
      <c r="D79" s="56">
        <v>44784.708333333336</v>
      </c>
      <c r="E79" s="13">
        <v>44784.444444444445</v>
      </c>
      <c r="F79" s="55">
        <v>3.6</v>
      </c>
      <c r="G79" s="159"/>
      <c r="H79" s="57" t="s">
        <v>1011</v>
      </c>
      <c r="I79" s="18"/>
      <c r="J79" s="13"/>
      <c r="K79" s="60"/>
      <c r="L79" s="14">
        <f t="shared" si="7"/>
        <v>-44784.444444444445</v>
      </c>
      <c r="M79" s="59">
        <f t="shared" si="6"/>
        <v>-161224</v>
      </c>
      <c r="N79" s="61" t="str">
        <f>IF(Table2683257[[#This Row],[Fault Type]]="PM",IF(L79&lt;=(D79-C79),"Yes","No"),"")</f>
        <v/>
      </c>
      <c r="O79" s="62" t="str">
        <f t="shared" si="8"/>
        <v/>
      </c>
      <c r="P79"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
      </c>
      <c r="Q79" s="63"/>
    </row>
    <row r="80" spans="1:17" ht="15.5" x14ac:dyDescent="0.35">
      <c r="A80" s="58" t="s">
        <v>29</v>
      </c>
      <c r="B80" s="55" t="s">
        <v>150</v>
      </c>
      <c r="C80" s="56"/>
      <c r="D80" s="56"/>
      <c r="E80" s="13">
        <v>44784.40902777778</v>
      </c>
      <c r="F80" s="55">
        <v>12</v>
      </c>
      <c r="G80" s="159" t="s">
        <v>164</v>
      </c>
      <c r="H80" s="57" t="s">
        <v>508</v>
      </c>
      <c r="I80" s="18" t="s">
        <v>334</v>
      </c>
      <c r="J80" s="13">
        <v>44784.446527777778</v>
      </c>
      <c r="K80" s="60"/>
      <c r="L80" s="14">
        <f t="shared" si="7"/>
        <v>3.7499999998544808E-2</v>
      </c>
      <c r="M80" s="59">
        <f t="shared" si="6"/>
        <v>0.4499999999825377</v>
      </c>
      <c r="N80" s="61" t="str">
        <f>IF(Table2683257[[#This Row],[Fault Type]]="PM",IF(L80&lt;=(D80-C80),"Yes","No"),"")</f>
        <v/>
      </c>
      <c r="O80" s="62" t="str">
        <f t="shared" si="8"/>
        <v/>
      </c>
      <c r="P80"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80" s="63"/>
    </row>
    <row r="81" spans="1:17" ht="15.5" x14ac:dyDescent="0.35">
      <c r="A81" s="58" t="s">
        <v>191</v>
      </c>
      <c r="B81" s="55" t="s">
        <v>150</v>
      </c>
      <c r="C81" s="56"/>
      <c r="D81" s="56"/>
      <c r="E81" s="13">
        <v>44784.451388888891</v>
      </c>
      <c r="F81" s="55"/>
      <c r="G81" s="159" t="s">
        <v>163</v>
      </c>
      <c r="H81" s="57" t="s">
        <v>1012</v>
      </c>
      <c r="I81" s="18" t="s">
        <v>333</v>
      </c>
      <c r="J81" s="13">
        <v>44784.868055555555</v>
      </c>
      <c r="K81" s="60"/>
      <c r="L81" s="14">
        <f t="shared" si="7"/>
        <v>0.41666666666424135</v>
      </c>
      <c r="M81" s="59">
        <f t="shared" si="6"/>
        <v>0</v>
      </c>
      <c r="N81" s="61" t="str">
        <f>IF(Table2683257[[#This Row],[Fault Type]]="PM",IF(L81&lt;=(D81-C81),"Yes","No"),"")</f>
        <v/>
      </c>
      <c r="O81" s="62" t="str">
        <f t="shared" si="8"/>
        <v/>
      </c>
      <c r="P81" s="166"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81" s="63"/>
    </row>
    <row r="82" spans="1:17" ht="15.5" x14ac:dyDescent="0.35">
      <c r="A82" s="203" t="s">
        <v>29</v>
      </c>
      <c r="B82" s="204" t="s">
        <v>150</v>
      </c>
      <c r="C82" s="205"/>
      <c r="D82" s="205"/>
      <c r="E82" s="205">
        <v>44784.451388888891</v>
      </c>
      <c r="F82" s="159">
        <v>11</v>
      </c>
      <c r="G82" s="159" t="s">
        <v>163</v>
      </c>
      <c r="H82" s="206" t="s">
        <v>1013</v>
      </c>
      <c r="I82" s="206" t="s">
        <v>333</v>
      </c>
      <c r="J82" s="205">
        <v>44784.474999999999</v>
      </c>
      <c r="K82" s="207"/>
      <c r="L82" s="208">
        <f t="shared" ref="L82:L98" si="9">J82-E82</f>
        <v>2.361111110803904E-2</v>
      </c>
      <c r="M82" s="209">
        <f t="shared" ref="M82:M98" si="10">L82*F82</f>
        <v>0.25972222218842944</v>
      </c>
      <c r="N82" s="214" t="str">
        <f>IF(Table2683257[[#This Row],[Fault Type]]="PM",IF(L82&lt;=(D82-C82),"Yes","No"),"")</f>
        <v/>
      </c>
      <c r="O82" s="211" t="str">
        <f t="shared" ref="O82:O98" si="11">IF(N82="No",(L82-(D82-C82)),"")</f>
        <v/>
      </c>
      <c r="P8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82" s="91"/>
    </row>
    <row r="83" spans="1:17" ht="15.5" x14ac:dyDescent="0.35">
      <c r="A83" s="203" t="s">
        <v>784</v>
      </c>
      <c r="B83" s="204" t="s">
        <v>156</v>
      </c>
      <c r="C83" s="205">
        <v>44784.416666666664</v>
      </c>
      <c r="D83" s="205">
        <v>44784.541666666664</v>
      </c>
      <c r="E83" s="205">
        <v>44784.445138888892</v>
      </c>
      <c r="F83" s="159">
        <v>3.6</v>
      </c>
      <c r="G83" s="159"/>
      <c r="H83" s="206" t="s">
        <v>1014</v>
      </c>
      <c r="I83" s="206"/>
      <c r="J83" s="205">
        <v>44784.631944444445</v>
      </c>
      <c r="K83" s="207"/>
      <c r="L83" s="208">
        <f t="shared" si="9"/>
        <v>0.18680555555329192</v>
      </c>
      <c r="M83" s="209">
        <f t="shared" si="10"/>
        <v>0.67249999999185095</v>
      </c>
      <c r="N83" s="214" t="str">
        <f>IF(Table2683257[[#This Row],[Fault Type]]="PM",IF(L83&lt;=(D83-C83),"Yes","No"),"")</f>
        <v/>
      </c>
      <c r="O83" s="211" t="str">
        <f t="shared" si="11"/>
        <v/>
      </c>
      <c r="P8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
      </c>
      <c r="Q83" s="91"/>
    </row>
    <row r="84" spans="1:17" ht="15.5" x14ac:dyDescent="0.35">
      <c r="A84" s="203" t="s">
        <v>97</v>
      </c>
      <c r="B84" s="204" t="s">
        <v>150</v>
      </c>
      <c r="C84" s="205"/>
      <c r="D84" s="205"/>
      <c r="E84" s="205">
        <v>44784.443055555559</v>
      </c>
      <c r="F84" s="159"/>
      <c r="G84" s="159" t="s">
        <v>164</v>
      </c>
      <c r="H84" s="206" t="s">
        <v>1015</v>
      </c>
      <c r="I84" s="206" t="s">
        <v>333</v>
      </c>
      <c r="J84" s="205">
        <v>44784.70208333333</v>
      </c>
      <c r="K84" s="207"/>
      <c r="L84" s="208">
        <f t="shared" si="9"/>
        <v>0.2590277777708252</v>
      </c>
      <c r="M84" s="209">
        <f t="shared" si="10"/>
        <v>0</v>
      </c>
      <c r="N84" s="214" t="str">
        <f>IF(Table2683257[[#This Row],[Fault Type]]="PM",IF(L84&lt;=(D84-C84),"Yes","No"),"")</f>
        <v/>
      </c>
      <c r="O84" s="211" t="str">
        <f t="shared" si="11"/>
        <v/>
      </c>
      <c r="P84"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84" s="91"/>
    </row>
    <row r="85" spans="1:17" ht="15.5" x14ac:dyDescent="0.35">
      <c r="A85" s="203" t="s">
        <v>113</v>
      </c>
      <c r="B85" s="204" t="s">
        <v>150</v>
      </c>
      <c r="C85" s="205"/>
      <c r="D85" s="205"/>
      <c r="E85" s="205">
        <v>44784.474999999999</v>
      </c>
      <c r="F85" s="159"/>
      <c r="G85" s="159" t="s">
        <v>439</v>
      </c>
      <c r="H85" s="206" t="s">
        <v>1016</v>
      </c>
      <c r="I85" s="206" t="s">
        <v>333</v>
      </c>
      <c r="J85" s="205">
        <v>44784.701388888891</v>
      </c>
      <c r="K85" s="207"/>
      <c r="L85" s="208">
        <f t="shared" si="9"/>
        <v>0.22638888889196096</v>
      </c>
      <c r="M85" s="209">
        <f t="shared" si="10"/>
        <v>0</v>
      </c>
      <c r="N85" s="214" t="str">
        <f>IF(Table2683257[[#This Row],[Fault Type]]="PM",IF(L85&lt;=(D85-C85),"Yes","No"),"")</f>
        <v/>
      </c>
      <c r="O85" s="211" t="str">
        <f t="shared" si="11"/>
        <v/>
      </c>
      <c r="P85"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85" s="91"/>
    </row>
    <row r="86" spans="1:17" ht="15.5" x14ac:dyDescent="0.35">
      <c r="A86" s="203" t="s">
        <v>77</v>
      </c>
      <c r="B86" s="204" t="s">
        <v>150</v>
      </c>
      <c r="C86" s="205"/>
      <c r="D86" s="205"/>
      <c r="E86" s="205">
        <v>44784.454861111109</v>
      </c>
      <c r="F86" s="159"/>
      <c r="G86" s="159" t="s">
        <v>162</v>
      </c>
      <c r="H86" s="206" t="s">
        <v>1017</v>
      </c>
      <c r="I86" s="206" t="s">
        <v>333</v>
      </c>
      <c r="J86" s="205">
        <v>44784.517361111109</v>
      </c>
      <c r="K86" s="207"/>
      <c r="L86" s="208">
        <f t="shared" si="9"/>
        <v>6.25E-2</v>
      </c>
      <c r="M86" s="209">
        <f t="shared" si="10"/>
        <v>0</v>
      </c>
      <c r="N86" s="214" t="str">
        <f>IF(Table2683257[[#This Row],[Fault Type]]="PM",IF(L86&lt;=(D86-C86),"Yes","No"),"")</f>
        <v/>
      </c>
      <c r="O86" s="211" t="str">
        <f t="shared" si="11"/>
        <v/>
      </c>
      <c r="P86"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86" s="91"/>
    </row>
    <row r="87" spans="1:17" ht="15.5" x14ac:dyDescent="0.35">
      <c r="A87" s="203" t="s">
        <v>116</v>
      </c>
      <c r="B87" s="204" t="s">
        <v>156</v>
      </c>
      <c r="C87" s="205">
        <v>44784.416666666664</v>
      </c>
      <c r="D87" s="205">
        <v>44784.541666666664</v>
      </c>
      <c r="E87" s="205">
        <v>44784.451388888891</v>
      </c>
      <c r="F87" s="159"/>
      <c r="G87" s="159"/>
      <c r="H87" s="206" t="s">
        <v>1018</v>
      </c>
      <c r="I87" s="206"/>
      <c r="J87" s="205">
        <v>44784.59652777778</v>
      </c>
      <c r="K87" s="207"/>
      <c r="L87" s="208">
        <f t="shared" si="9"/>
        <v>0.14513888888905058</v>
      </c>
      <c r="M87" s="209">
        <f t="shared" si="10"/>
        <v>0</v>
      </c>
      <c r="N87" s="214" t="str">
        <f>IF(Table2683257[[#This Row],[Fault Type]]="PM",IF(L87&lt;=(D87-C87),"Yes","No"),"")</f>
        <v/>
      </c>
      <c r="O87" s="211" t="str">
        <f t="shared" si="11"/>
        <v/>
      </c>
      <c r="P87"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
      </c>
      <c r="Q87" s="91"/>
    </row>
    <row r="88" spans="1:17" ht="15.5" x14ac:dyDescent="0.35">
      <c r="A88" s="203" t="s">
        <v>35</v>
      </c>
      <c r="B88" s="204" t="s">
        <v>150</v>
      </c>
      <c r="C88" s="205"/>
      <c r="D88" s="205"/>
      <c r="E88" s="205">
        <v>44784.455555555556</v>
      </c>
      <c r="F88" s="159">
        <v>0.7</v>
      </c>
      <c r="G88" s="159" t="s">
        <v>163</v>
      </c>
      <c r="H88" s="206"/>
      <c r="I88" s="206"/>
      <c r="J88" s="205"/>
      <c r="K88" s="207"/>
      <c r="L88" s="208">
        <f t="shared" si="9"/>
        <v>-44784.455555555556</v>
      </c>
      <c r="M88" s="209">
        <f t="shared" si="10"/>
        <v>-31349.118888888886</v>
      </c>
      <c r="N88" s="214" t="str">
        <f>IF(Table2683257[[#This Row],[Fault Type]]="PM",IF(L88&lt;=(D88-C88),"Yes","No"),"")</f>
        <v/>
      </c>
      <c r="O88" s="211" t="str">
        <f t="shared" si="11"/>
        <v/>
      </c>
      <c r="P88"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88" s="91"/>
    </row>
    <row r="89" spans="1:17" ht="15.5" x14ac:dyDescent="0.35">
      <c r="A89" s="203" t="s">
        <v>31</v>
      </c>
      <c r="B89" s="204" t="s">
        <v>150</v>
      </c>
      <c r="C89" s="205"/>
      <c r="D89" s="205"/>
      <c r="E89" s="205">
        <v>44784.474999999999</v>
      </c>
      <c r="F89" s="159">
        <v>2.2000000000000002</v>
      </c>
      <c r="G89" s="159" t="s">
        <v>163</v>
      </c>
      <c r="H89" s="206" t="s">
        <v>1019</v>
      </c>
      <c r="I89" s="206" t="s">
        <v>333</v>
      </c>
      <c r="J89" s="205">
        <v>44784.474999999999</v>
      </c>
      <c r="K89" s="207"/>
      <c r="L89" s="208">
        <f t="shared" si="9"/>
        <v>0</v>
      </c>
      <c r="M89" s="209">
        <f t="shared" si="10"/>
        <v>0</v>
      </c>
      <c r="N89" s="214" t="str">
        <f>IF(Table2683257[[#This Row],[Fault Type]]="PM",IF(L89&lt;=(D89-C89),"Yes","No"),"")</f>
        <v/>
      </c>
      <c r="O89" s="211" t="str">
        <f t="shared" si="11"/>
        <v/>
      </c>
      <c r="P89"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89" s="91"/>
    </row>
    <row r="90" spans="1:17" ht="15.5" x14ac:dyDescent="0.35">
      <c r="A90" s="203" t="s">
        <v>861</v>
      </c>
      <c r="B90" s="204" t="s">
        <v>150</v>
      </c>
      <c r="C90" s="205"/>
      <c r="D90" s="205"/>
      <c r="E90" s="205">
        <v>44784.211111111108</v>
      </c>
      <c r="F90" s="159">
        <v>3.8</v>
      </c>
      <c r="G90" s="159" t="s">
        <v>163</v>
      </c>
      <c r="H90" s="206" t="s">
        <v>508</v>
      </c>
      <c r="I90" s="206" t="s">
        <v>333</v>
      </c>
      <c r="J90" s="205">
        <v>44784.462500000001</v>
      </c>
      <c r="K90" s="207"/>
      <c r="L90" s="208">
        <f t="shared" si="9"/>
        <v>0.25138888889341615</v>
      </c>
      <c r="M90" s="209">
        <f t="shared" si="10"/>
        <v>0.95527777779498135</v>
      </c>
      <c r="N90" s="214" t="str">
        <f>IF(Table2683257[[#This Row],[Fault Type]]="PM",IF(L90&lt;=(D90-C90),"Yes","No"),"")</f>
        <v/>
      </c>
      <c r="O90" s="211" t="str">
        <f t="shared" si="11"/>
        <v/>
      </c>
      <c r="P90"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90" s="91"/>
    </row>
    <row r="91" spans="1:17" ht="15.5" x14ac:dyDescent="0.35">
      <c r="A91" s="203" t="s">
        <v>40</v>
      </c>
      <c r="B91" s="204" t="s">
        <v>150</v>
      </c>
      <c r="C91" s="205"/>
      <c r="D91" s="205"/>
      <c r="E91" s="205">
        <v>44784.478472222225</v>
      </c>
      <c r="F91" s="159">
        <v>7</v>
      </c>
      <c r="G91" s="159" t="s">
        <v>163</v>
      </c>
      <c r="H91" s="206"/>
      <c r="I91" s="206"/>
      <c r="J91" s="205"/>
      <c r="K91" s="207"/>
      <c r="L91" s="208">
        <f t="shared" si="9"/>
        <v>-44784.478472222225</v>
      </c>
      <c r="M91" s="209">
        <f t="shared" si="10"/>
        <v>-313491.34930555557</v>
      </c>
      <c r="N91" s="214" t="str">
        <f>IF(Table2683257[[#This Row],[Fault Type]]="PM",IF(L91&lt;=(D91-C91),"Yes","No"),"")</f>
        <v/>
      </c>
      <c r="O91" s="211" t="str">
        <f t="shared" si="11"/>
        <v/>
      </c>
      <c r="P91"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91" s="91"/>
    </row>
    <row r="92" spans="1:17" ht="15.5" x14ac:dyDescent="0.35">
      <c r="A92" s="203" t="s">
        <v>32</v>
      </c>
      <c r="B92" s="204" t="s">
        <v>150</v>
      </c>
      <c r="C92" s="205"/>
      <c r="D92" s="205"/>
      <c r="E92" s="205">
        <v>44784.487500000003</v>
      </c>
      <c r="F92" s="159">
        <v>12.8</v>
      </c>
      <c r="G92" s="159" t="s">
        <v>163</v>
      </c>
      <c r="H92" s="206" t="s">
        <v>1020</v>
      </c>
      <c r="I92" s="206" t="s">
        <v>334</v>
      </c>
      <c r="J92" s="205">
        <v>44784.573611111111</v>
      </c>
      <c r="K92" s="207"/>
      <c r="L92" s="208">
        <f t="shared" si="9"/>
        <v>8.611111110803904E-2</v>
      </c>
      <c r="M92" s="209">
        <f t="shared" si="10"/>
        <v>1.1022222221828997</v>
      </c>
      <c r="N92" s="214" t="str">
        <f>IF(Table2683257[[#This Row],[Fault Type]]="PM",IF(L92&lt;=(D92-C92),"Yes","No"),"")</f>
        <v/>
      </c>
      <c r="O92" s="211" t="str">
        <f t="shared" si="11"/>
        <v/>
      </c>
      <c r="P9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92" s="91"/>
    </row>
    <row r="93" spans="1:17" ht="15.5" x14ac:dyDescent="0.35">
      <c r="A93" s="203" t="s">
        <v>134</v>
      </c>
      <c r="B93" s="204" t="s">
        <v>150</v>
      </c>
      <c r="C93" s="205"/>
      <c r="D93" s="205"/>
      <c r="E93" s="205">
        <v>44784.470833333333</v>
      </c>
      <c r="F93" s="159">
        <v>3</v>
      </c>
      <c r="G93" s="159" t="s">
        <v>164</v>
      </c>
      <c r="H93" s="206" t="s">
        <v>1021</v>
      </c>
      <c r="I93" s="206" t="s">
        <v>333</v>
      </c>
      <c r="J93" s="205">
        <v>44784.512499999997</v>
      </c>
      <c r="K93" s="207"/>
      <c r="L93" s="208">
        <f t="shared" si="9"/>
        <v>4.1666666664241347E-2</v>
      </c>
      <c r="M93" s="209">
        <f t="shared" si="10"/>
        <v>0.12499999999272404</v>
      </c>
      <c r="N93" s="214" t="e">
        <f>IF(Table2683257[[#This Row],[Fault Type]]="PM",IF(L93&lt;=(D93-C93),"Yes","No"),"")</f>
        <v>#VALUE!</v>
      </c>
      <c r="O93" s="211" t="e">
        <f t="shared" si="11"/>
        <v>#VALUE!</v>
      </c>
      <c r="P9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93" s="91"/>
    </row>
    <row r="94" spans="1:17" ht="15.5" x14ac:dyDescent="0.35">
      <c r="A94" s="203" t="s">
        <v>42</v>
      </c>
      <c r="B94" s="204" t="s">
        <v>150</v>
      </c>
      <c r="C94" s="205"/>
      <c r="D94" s="205"/>
      <c r="E94" s="205">
        <v>44784.479861111111</v>
      </c>
      <c r="F94" s="159">
        <v>1.8</v>
      </c>
      <c r="G94" s="159" t="s">
        <v>164</v>
      </c>
      <c r="H94" s="206" t="s">
        <v>1022</v>
      </c>
      <c r="I94" s="206" t="s">
        <v>333</v>
      </c>
      <c r="J94" s="205">
        <v>44784.667361111111</v>
      </c>
      <c r="K94" s="207"/>
      <c r="L94" s="208">
        <f t="shared" si="9"/>
        <v>0.1875</v>
      </c>
      <c r="M94" s="209">
        <f t="shared" si="10"/>
        <v>0.33750000000000002</v>
      </c>
      <c r="N94" s="214" t="e">
        <f>IF(Table2683257[[#This Row],[Fault Type]]="PM",IF(L94&lt;=(D94-C94),"Yes","No"),"")</f>
        <v>#VALUE!</v>
      </c>
      <c r="O94" s="211" t="e">
        <f t="shared" si="11"/>
        <v>#VALUE!</v>
      </c>
      <c r="P94"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94" s="91"/>
    </row>
    <row r="95" spans="1:17" ht="15.5" x14ac:dyDescent="0.35">
      <c r="A95" s="203" t="s">
        <v>861</v>
      </c>
      <c r="B95" s="204" t="s">
        <v>150</v>
      </c>
      <c r="C95" s="205"/>
      <c r="D95" s="205"/>
      <c r="E95" s="205">
        <v>44784.511111111111</v>
      </c>
      <c r="F95" s="159"/>
      <c r="G95" s="159" t="s">
        <v>162</v>
      </c>
      <c r="H95" s="206" t="s">
        <v>526</v>
      </c>
      <c r="I95" s="206" t="s">
        <v>526</v>
      </c>
      <c r="J95" s="205">
        <v>44784.517361111109</v>
      </c>
      <c r="K95" s="207"/>
      <c r="L95" s="208">
        <f t="shared" si="9"/>
        <v>6.2499999985448085E-3</v>
      </c>
      <c r="M95" s="209">
        <f t="shared" si="10"/>
        <v>0</v>
      </c>
      <c r="N95" s="214" t="e">
        <f>IF(Table2683257[[#This Row],[Fault Type]]="PM",IF(L95&lt;=(D95-C95),"Yes","No"),"")</f>
        <v>#VALUE!</v>
      </c>
      <c r="O95" s="211" t="e">
        <f t="shared" si="11"/>
        <v>#VALUE!</v>
      </c>
      <c r="P95"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95" s="91"/>
    </row>
    <row r="96" spans="1:17" ht="15.5" x14ac:dyDescent="0.35">
      <c r="A96" s="203" t="s">
        <v>546</v>
      </c>
      <c r="B96" s="204" t="s">
        <v>150</v>
      </c>
      <c r="C96" s="205"/>
      <c r="D96" s="205"/>
      <c r="E96" s="205">
        <v>44784.486805555556</v>
      </c>
      <c r="F96" s="159">
        <v>1</v>
      </c>
      <c r="G96" s="159" t="s">
        <v>164</v>
      </c>
      <c r="H96" s="206" t="s">
        <v>1023</v>
      </c>
      <c r="I96" s="206" t="s">
        <v>333</v>
      </c>
      <c r="J96" s="205">
        <v>44784.510416666664</v>
      </c>
      <c r="K96" s="207"/>
      <c r="L96" s="208">
        <f t="shared" si="9"/>
        <v>2.361111110803904E-2</v>
      </c>
      <c r="M96" s="209">
        <f t="shared" si="10"/>
        <v>2.361111110803904E-2</v>
      </c>
      <c r="N96" s="214" t="e">
        <f>IF(Table2683257[[#This Row],[Fault Type]]="PM",IF(L96&lt;=(D96-C96),"Yes","No"),"")</f>
        <v>#VALUE!</v>
      </c>
      <c r="O96" s="211" t="e">
        <f t="shared" si="11"/>
        <v>#VALUE!</v>
      </c>
      <c r="P96"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96" s="91"/>
    </row>
    <row r="97" spans="1:17" ht="15.5" x14ac:dyDescent="0.35">
      <c r="A97" s="203" t="s">
        <v>23</v>
      </c>
      <c r="B97" s="204" t="s">
        <v>156</v>
      </c>
      <c r="C97" s="205">
        <v>44784.416666666664</v>
      </c>
      <c r="D97" s="205">
        <v>44784.666666666664</v>
      </c>
      <c r="E97" s="205">
        <v>44784.493055555555</v>
      </c>
      <c r="F97" s="159">
        <v>0.6</v>
      </c>
      <c r="G97" s="159"/>
      <c r="H97" s="206" t="s">
        <v>1024</v>
      </c>
      <c r="I97" s="206"/>
      <c r="J97" s="205">
        <v>44784.709722222222</v>
      </c>
      <c r="K97" s="207"/>
      <c r="L97" s="208">
        <f t="shared" si="9"/>
        <v>0.21666666666715173</v>
      </c>
      <c r="M97" s="209">
        <f t="shared" si="10"/>
        <v>0.13000000000029102</v>
      </c>
      <c r="N97" s="214" t="e">
        <f>IF(Table2683257[[#This Row],[Fault Type]]="PM",IF(L97&lt;=(D97-C97),"Yes","No"),"")</f>
        <v>#VALUE!</v>
      </c>
      <c r="O97" s="211" t="e">
        <f t="shared" si="11"/>
        <v>#VALUE!</v>
      </c>
      <c r="P97"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
      </c>
      <c r="Q97" s="91"/>
    </row>
    <row r="98" spans="1:17" ht="15.5" x14ac:dyDescent="0.35">
      <c r="A98" s="203" t="s">
        <v>44</v>
      </c>
      <c r="B98" s="204" t="s">
        <v>150</v>
      </c>
      <c r="C98" s="205"/>
      <c r="D98" s="205"/>
      <c r="E98" s="205">
        <v>44784.509027777778</v>
      </c>
      <c r="F98" s="159">
        <v>1.1000000000000001</v>
      </c>
      <c r="G98" s="159" t="s">
        <v>589</v>
      </c>
      <c r="H98" s="206" t="s">
        <v>1025</v>
      </c>
      <c r="I98" s="206" t="s">
        <v>1026</v>
      </c>
      <c r="J98" s="205">
        <v>44784.597916666666</v>
      </c>
      <c r="K98" s="207"/>
      <c r="L98" s="208">
        <f t="shared" si="9"/>
        <v>8.8888888887595385E-2</v>
      </c>
      <c r="M98" s="209">
        <f t="shared" si="10"/>
        <v>9.7777777776354935E-2</v>
      </c>
      <c r="N98" s="214" t="e">
        <f>IF(Table2683257[[#This Row],[Fault Type]]="PM",IF(L98&lt;=(D98-C98),"Yes","No"),"")</f>
        <v>#VALUE!</v>
      </c>
      <c r="O98" s="211" t="e">
        <f t="shared" si="11"/>
        <v>#VALUE!</v>
      </c>
      <c r="P98"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98" s="91"/>
    </row>
    <row r="99" spans="1:17" ht="15.5" x14ac:dyDescent="0.35">
      <c r="A99" s="203" t="s">
        <v>546</v>
      </c>
      <c r="B99" s="204" t="s">
        <v>150</v>
      </c>
      <c r="C99" s="205"/>
      <c r="D99" s="205"/>
      <c r="E99" s="205">
        <v>44784.51458333333</v>
      </c>
      <c r="F99" s="159">
        <v>1.2</v>
      </c>
      <c r="G99" s="204" t="s">
        <v>163</v>
      </c>
      <c r="H99" s="206" t="s">
        <v>1027</v>
      </c>
      <c r="I99" s="206" t="s">
        <v>333</v>
      </c>
      <c r="J99" s="205">
        <v>44784.656944444447</v>
      </c>
      <c r="K99" s="207"/>
      <c r="L99" s="208">
        <f t="shared" ref="L99:L135" si="12">J99-E99</f>
        <v>0.14236111111677019</v>
      </c>
      <c r="M99" s="209">
        <f t="shared" ref="M99:M135" si="13">L99*F99</f>
        <v>0.17083333334012421</v>
      </c>
      <c r="N99" s="214" t="e">
        <f>IF(Table2683257[[#This Row],[Fault Type]]="PM",IF(L99&lt;=(D99-C99),"Yes","No"),"")</f>
        <v>#VALUE!</v>
      </c>
      <c r="O99" s="211" t="e">
        <f t="shared" ref="O99:O135" si="14">IF(N99="No",(L99-(D99-C99)),"")</f>
        <v>#VALUE!</v>
      </c>
      <c r="P99"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99" s="91"/>
    </row>
    <row r="100" spans="1:17" ht="15.5" x14ac:dyDescent="0.35">
      <c r="A100" s="203" t="s">
        <v>551</v>
      </c>
      <c r="B100" s="204" t="s">
        <v>150</v>
      </c>
      <c r="C100" s="205"/>
      <c r="D100" s="205"/>
      <c r="E100" s="205">
        <v>44784.51458333333</v>
      </c>
      <c r="F100" s="159"/>
      <c r="G100" s="204"/>
      <c r="H100" s="206" t="s">
        <v>1028</v>
      </c>
      <c r="I100" s="206" t="s">
        <v>333</v>
      </c>
      <c r="J100" s="205">
        <v>44784.672222222223</v>
      </c>
      <c r="K100" s="207"/>
      <c r="L100" s="208">
        <f t="shared" si="12"/>
        <v>0.15763888889341615</v>
      </c>
      <c r="M100" s="209">
        <f t="shared" si="13"/>
        <v>0</v>
      </c>
      <c r="N100" s="214" t="e">
        <f>IF(Table2683257[[#This Row],[Fault Type]]="PM",IF(L100&lt;=(D100-C100),"Yes","No"),"")</f>
        <v>#VALUE!</v>
      </c>
      <c r="O100" s="211" t="e">
        <f t="shared" si="14"/>
        <v>#VALUE!</v>
      </c>
      <c r="P100"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100" s="91"/>
    </row>
    <row r="101" spans="1:17" ht="15.5" x14ac:dyDescent="0.35">
      <c r="A101" s="203" t="s">
        <v>93</v>
      </c>
      <c r="B101" s="204" t="s">
        <v>158</v>
      </c>
      <c r="C101" s="205"/>
      <c r="D101" s="205"/>
      <c r="E101" s="205">
        <v>44784.5</v>
      </c>
      <c r="F101" s="159">
        <v>1.4</v>
      </c>
      <c r="G101" s="204"/>
      <c r="H101" s="206" t="s">
        <v>1029</v>
      </c>
      <c r="I101" s="206" t="s">
        <v>333</v>
      </c>
      <c r="J101" s="205">
        <v>44784.515972222223</v>
      </c>
      <c r="K101" s="207"/>
      <c r="L101" s="208">
        <f t="shared" si="12"/>
        <v>1.5972222223354038E-2</v>
      </c>
      <c r="M101" s="209">
        <f t="shared" si="13"/>
        <v>2.2361111112695651E-2</v>
      </c>
      <c r="N101" s="214" t="e">
        <f>IF(Table2683257[[#This Row],[Fault Type]]="PM",IF(L101&lt;=(D101-C101),"Yes","No"),"")</f>
        <v>#VALUE!</v>
      </c>
      <c r="O101" s="211" t="e">
        <f t="shared" si="14"/>
        <v>#VALUE!</v>
      </c>
      <c r="P101"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01" s="91"/>
    </row>
    <row r="102" spans="1:17" ht="15.5" x14ac:dyDescent="0.35">
      <c r="A102" s="203" t="s">
        <v>92</v>
      </c>
      <c r="B102" s="204" t="s">
        <v>150</v>
      </c>
      <c r="C102" s="205"/>
      <c r="D102" s="205"/>
      <c r="E102" s="205">
        <v>44784.461805555555</v>
      </c>
      <c r="F102" s="159">
        <v>4.5</v>
      </c>
      <c r="G102" s="204" t="s">
        <v>163</v>
      </c>
      <c r="H102" s="206" t="s">
        <v>1030</v>
      </c>
      <c r="I102" s="206" t="s">
        <v>334</v>
      </c>
      <c r="J102" s="205">
        <v>44784.856944444444</v>
      </c>
      <c r="K102" s="207"/>
      <c r="L102" s="208">
        <f t="shared" si="12"/>
        <v>0.39513888888905058</v>
      </c>
      <c r="M102" s="209">
        <f t="shared" si="13"/>
        <v>1.7781250000007276</v>
      </c>
      <c r="N102" s="214" t="e">
        <f>IF(Table2683257[[#This Row],[Fault Type]]="PM",IF(L102&lt;=(D102-C102),"Yes","No"),"")</f>
        <v>#VALUE!</v>
      </c>
      <c r="O102" s="211" t="e">
        <f t="shared" si="14"/>
        <v>#VALUE!</v>
      </c>
      <c r="P10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02" s="91"/>
    </row>
    <row r="103" spans="1:17" ht="15.5" x14ac:dyDescent="0.35">
      <c r="A103" s="203" t="s">
        <v>30</v>
      </c>
      <c r="B103" s="204" t="s">
        <v>150</v>
      </c>
      <c r="C103" s="205"/>
      <c r="D103" s="205"/>
      <c r="E103" s="205">
        <v>44784.526388888888</v>
      </c>
      <c r="F103" s="159">
        <v>3</v>
      </c>
      <c r="G103" s="204" t="s">
        <v>162</v>
      </c>
      <c r="H103" s="206" t="s">
        <v>526</v>
      </c>
      <c r="I103" s="206" t="s">
        <v>334</v>
      </c>
      <c r="J103" s="205">
        <v>44784.533333333333</v>
      </c>
      <c r="K103" s="207"/>
      <c r="L103" s="208">
        <f t="shared" si="12"/>
        <v>6.9444444452528842E-3</v>
      </c>
      <c r="M103" s="209">
        <f t="shared" si="13"/>
        <v>2.0833333335758653E-2</v>
      </c>
      <c r="N103" s="214" t="e">
        <f>IF(Table2683257[[#This Row],[Fault Type]]="PM",IF(L103&lt;=(D103-C103),"Yes","No"),"")</f>
        <v>#VALUE!</v>
      </c>
      <c r="O103" s="211" t="e">
        <f t="shared" si="14"/>
        <v>#VALUE!</v>
      </c>
      <c r="P10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03" s="91"/>
    </row>
    <row r="104" spans="1:17" ht="15.5" x14ac:dyDescent="0.35">
      <c r="A104" s="203" t="s">
        <v>146</v>
      </c>
      <c r="B104" s="204" t="s">
        <v>150</v>
      </c>
      <c r="C104" s="205"/>
      <c r="D104" s="205"/>
      <c r="E104" s="205">
        <v>44784.533333333333</v>
      </c>
      <c r="F104" s="159">
        <v>0.03</v>
      </c>
      <c r="G104" s="204" t="s">
        <v>163</v>
      </c>
      <c r="H104" s="206" t="s">
        <v>1031</v>
      </c>
      <c r="I104" s="206" t="s">
        <v>333</v>
      </c>
      <c r="J104" s="205">
        <v>44784.712500000001</v>
      </c>
      <c r="K104" s="207"/>
      <c r="L104" s="208">
        <f t="shared" si="12"/>
        <v>0.17916666666860692</v>
      </c>
      <c r="M104" s="209">
        <f t="shared" si="13"/>
        <v>5.3750000000582073E-3</v>
      </c>
      <c r="N104" s="214" t="e">
        <f>IF(Table2683257[[#This Row],[Fault Type]]="PM",IF(L104&lt;=(D104-C104),"Yes","No"),"")</f>
        <v>#VALUE!</v>
      </c>
      <c r="O104" s="211" t="e">
        <f t="shared" si="14"/>
        <v>#VALUE!</v>
      </c>
      <c r="P104"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04" s="91"/>
    </row>
    <row r="105" spans="1:17" ht="15.5" x14ac:dyDescent="0.35">
      <c r="A105" s="203" t="s">
        <v>37</v>
      </c>
      <c r="B105" s="204" t="s">
        <v>150</v>
      </c>
      <c r="C105" s="205"/>
      <c r="D105" s="205"/>
      <c r="E105" s="205">
        <v>44784.53125</v>
      </c>
      <c r="F105" s="159">
        <v>16</v>
      </c>
      <c r="G105" s="204" t="s">
        <v>163</v>
      </c>
      <c r="H105" s="206" t="s">
        <v>508</v>
      </c>
      <c r="I105" s="206" t="s">
        <v>334</v>
      </c>
      <c r="J105" s="205">
        <v>44784.62222222222</v>
      </c>
      <c r="K105" s="207"/>
      <c r="L105" s="208">
        <f t="shared" si="12"/>
        <v>9.0972222220443655E-2</v>
      </c>
      <c r="M105" s="209">
        <f t="shared" si="13"/>
        <v>1.4555555555270985</v>
      </c>
      <c r="N105" s="214" t="e">
        <f>IF(Table2683257[[#This Row],[Fault Type]]="PM",IF(L105&lt;=(D105-C105),"Yes","No"),"")</f>
        <v>#VALUE!</v>
      </c>
      <c r="O105" s="211" t="e">
        <f t="shared" si="14"/>
        <v>#VALUE!</v>
      </c>
      <c r="P105"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05" s="91"/>
    </row>
    <row r="106" spans="1:17" ht="15.5" x14ac:dyDescent="0.35">
      <c r="A106" s="203" t="s">
        <v>39</v>
      </c>
      <c r="B106" s="204" t="s">
        <v>150</v>
      </c>
      <c r="C106" s="205"/>
      <c r="D106" s="205"/>
      <c r="E106" s="205">
        <v>44784.61041666667</v>
      </c>
      <c r="F106" s="159">
        <v>16</v>
      </c>
      <c r="G106" s="204" t="s">
        <v>162</v>
      </c>
      <c r="H106" s="206" t="s">
        <v>526</v>
      </c>
      <c r="I106" s="206" t="s">
        <v>526</v>
      </c>
      <c r="J106" s="205">
        <v>44784.621527777781</v>
      </c>
      <c r="K106" s="207"/>
      <c r="L106" s="208">
        <f t="shared" si="12"/>
        <v>1.1111111110949423E-2</v>
      </c>
      <c r="M106" s="209">
        <f t="shared" si="13"/>
        <v>0.17777777777519077</v>
      </c>
      <c r="N106" s="214" t="e">
        <f>IF(Table2683257[[#This Row],[Fault Type]]="PM",IF(L106&lt;=(D106-C106),"Yes","No"),"")</f>
        <v>#VALUE!</v>
      </c>
      <c r="O106" s="211" t="e">
        <f t="shared" si="14"/>
        <v>#VALUE!</v>
      </c>
      <c r="P106"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06" s="91"/>
    </row>
    <row r="107" spans="1:17" ht="15.5" x14ac:dyDescent="0.35">
      <c r="A107" s="203" t="s">
        <v>45</v>
      </c>
      <c r="B107" s="204" t="s">
        <v>150</v>
      </c>
      <c r="C107" s="205"/>
      <c r="D107" s="205"/>
      <c r="E107" s="205">
        <v>44784.612500000003</v>
      </c>
      <c r="F107" s="159">
        <v>0.7</v>
      </c>
      <c r="G107" s="204" t="s">
        <v>164</v>
      </c>
      <c r="H107" s="206"/>
      <c r="I107" s="206"/>
      <c r="J107" s="205"/>
      <c r="K107" s="207"/>
      <c r="L107" s="208">
        <f t="shared" si="12"/>
        <v>-44784.612500000003</v>
      </c>
      <c r="M107" s="209">
        <f t="shared" si="13"/>
        <v>-31349.228749999998</v>
      </c>
      <c r="N107" s="214" t="e">
        <f>IF(Table2683257[[#This Row],[Fault Type]]="PM",IF(L107&lt;=(D107-C107),"Yes","No"),"")</f>
        <v>#VALUE!</v>
      </c>
      <c r="O107" s="211" t="e">
        <f t="shared" si="14"/>
        <v>#VALUE!</v>
      </c>
      <c r="P107"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07" s="91"/>
    </row>
    <row r="108" spans="1:17" ht="15.5" x14ac:dyDescent="0.35">
      <c r="A108" s="203" t="s">
        <v>861</v>
      </c>
      <c r="B108" s="204" t="s">
        <v>150</v>
      </c>
      <c r="C108" s="205"/>
      <c r="D108" s="205"/>
      <c r="E108" s="205">
        <v>44784.621527777781</v>
      </c>
      <c r="F108" s="159">
        <v>3.7</v>
      </c>
      <c r="G108" s="204" t="s">
        <v>162</v>
      </c>
      <c r="H108" s="206" t="s">
        <v>526</v>
      </c>
      <c r="I108" s="206" t="s">
        <v>526</v>
      </c>
      <c r="J108" s="205">
        <v>44784.628472222219</v>
      </c>
      <c r="K108" s="207"/>
      <c r="L108" s="208">
        <f t="shared" si="12"/>
        <v>6.9444444379769266E-3</v>
      </c>
      <c r="M108" s="209">
        <f t="shared" si="13"/>
        <v>2.569444442051463E-2</v>
      </c>
      <c r="N108" s="214" t="e">
        <f>IF(Table2683257[[#This Row],[Fault Type]]="PM",IF(L108&lt;=(D108-C108),"Yes","No"),"")</f>
        <v>#VALUE!</v>
      </c>
      <c r="O108" s="211" t="e">
        <f t="shared" si="14"/>
        <v>#VALUE!</v>
      </c>
      <c r="P108"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108" s="91"/>
    </row>
    <row r="109" spans="1:17" ht="15.5" x14ac:dyDescent="0.35">
      <c r="A109" s="203" t="s">
        <v>30</v>
      </c>
      <c r="B109" s="204" t="s">
        <v>150</v>
      </c>
      <c r="C109" s="205"/>
      <c r="D109" s="205"/>
      <c r="E109" s="205" t="s">
        <v>1032</v>
      </c>
      <c r="F109" s="159">
        <v>7</v>
      </c>
      <c r="G109" s="204" t="s">
        <v>163</v>
      </c>
      <c r="H109" s="206" t="s">
        <v>1033</v>
      </c>
      <c r="I109" s="206" t="s">
        <v>334</v>
      </c>
      <c r="J109" s="205">
        <v>44784.806250000001</v>
      </c>
      <c r="K109" s="207"/>
      <c r="L109" s="208">
        <f t="shared" si="12"/>
        <v>-88.827083333329938</v>
      </c>
      <c r="M109" s="209">
        <f t="shared" si="13"/>
        <v>-621.78958333330957</v>
      </c>
      <c r="N109" s="214" t="e">
        <f>IF(Table2683257[[#This Row],[Fault Type]]="PM",IF(L109&lt;=(D109-C109),"Yes","No"),"")</f>
        <v>#VALUE!</v>
      </c>
      <c r="O109" s="211" t="e">
        <f t="shared" si="14"/>
        <v>#VALUE!</v>
      </c>
      <c r="P109"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09" s="91"/>
    </row>
    <row r="110" spans="1:17" ht="15.5" x14ac:dyDescent="0.35">
      <c r="A110" s="203" t="s">
        <v>737</v>
      </c>
      <c r="B110" s="204" t="s">
        <v>150</v>
      </c>
      <c r="C110" s="205"/>
      <c r="D110" s="205"/>
      <c r="E110" s="205">
        <v>44784.658333333333</v>
      </c>
      <c r="F110" s="159">
        <v>3.5</v>
      </c>
      <c r="G110" s="204" t="s">
        <v>163</v>
      </c>
      <c r="H110" s="206" t="s">
        <v>1034</v>
      </c>
      <c r="I110" s="206" t="s">
        <v>333</v>
      </c>
      <c r="J110" s="205">
        <v>44784.868055555555</v>
      </c>
      <c r="K110" s="207"/>
      <c r="L110" s="208">
        <f t="shared" si="12"/>
        <v>0.20972222222189885</v>
      </c>
      <c r="M110" s="209">
        <f t="shared" si="13"/>
        <v>0.73402777777664596</v>
      </c>
      <c r="N110" s="214" t="e">
        <f>IF(Table2683257[[#This Row],[Fault Type]]="PM",IF(L110&lt;=(D110-C110),"Yes","No"),"")</f>
        <v>#VALUE!</v>
      </c>
      <c r="O110" s="211" t="e">
        <f t="shared" si="14"/>
        <v>#VALUE!</v>
      </c>
      <c r="P110"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#N/A</v>
      </c>
      <c r="Q110" s="91"/>
    </row>
    <row r="111" spans="1:17" ht="15.5" x14ac:dyDescent="0.35">
      <c r="A111" s="203" t="s">
        <v>29</v>
      </c>
      <c r="B111" s="204" t="s">
        <v>150</v>
      </c>
      <c r="C111" s="205"/>
      <c r="D111" s="205"/>
      <c r="E111" s="205">
        <v>44784.658333333333</v>
      </c>
      <c r="F111" s="159">
        <v>17.100000000000001</v>
      </c>
      <c r="G111" s="204" t="s">
        <v>162</v>
      </c>
      <c r="H111" s="206" t="s">
        <v>1035</v>
      </c>
      <c r="I111" s="206" t="s">
        <v>333</v>
      </c>
      <c r="J111" s="205">
        <v>44784.664583333331</v>
      </c>
      <c r="K111" s="207"/>
      <c r="L111" s="208">
        <f t="shared" si="12"/>
        <v>6.2499999985448085E-3</v>
      </c>
      <c r="M111" s="209">
        <f t="shared" si="13"/>
        <v>0.10687499997511624</v>
      </c>
      <c r="N111" s="214" t="e">
        <f>IF(Table2683257[[#This Row],[Fault Type]]="PM",IF(L111&lt;=(D111-C111),"Yes","No"),"")</f>
        <v>#VALUE!</v>
      </c>
      <c r="O111" s="211" t="e">
        <f t="shared" si="14"/>
        <v>#VALUE!</v>
      </c>
      <c r="P111"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1" s="91"/>
    </row>
    <row r="112" spans="1:17" ht="15.5" x14ac:dyDescent="0.35">
      <c r="A112" s="203" t="s">
        <v>21</v>
      </c>
      <c r="B112" s="204" t="s">
        <v>150</v>
      </c>
      <c r="C112" s="205"/>
      <c r="D112" s="205"/>
      <c r="E112" s="205">
        <v>44784.681944444441</v>
      </c>
      <c r="F112" s="159">
        <v>15.5</v>
      </c>
      <c r="G112" s="204" t="s">
        <v>164</v>
      </c>
      <c r="H112" s="206" t="s">
        <v>1036</v>
      </c>
      <c r="I112" s="206" t="s">
        <v>334</v>
      </c>
      <c r="J112" s="205">
        <v>44784.729166666664</v>
      </c>
      <c r="K112" s="207"/>
      <c r="L112" s="208">
        <f t="shared" si="12"/>
        <v>4.7222222223354038E-2</v>
      </c>
      <c r="M112" s="209">
        <f t="shared" si="13"/>
        <v>0.73194444446198759</v>
      </c>
      <c r="N112" s="214" t="e">
        <f>IF(Table2683257[[#This Row],[Fault Type]]="PM",IF(L112&lt;=(D112-C112),"Yes","No"),"")</f>
        <v>#VALUE!</v>
      </c>
      <c r="O112" s="211" t="e">
        <f t="shared" si="14"/>
        <v>#VALUE!</v>
      </c>
      <c r="P11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2" s="91"/>
    </row>
    <row r="113" spans="1:17" ht="15.5" x14ac:dyDescent="0.35">
      <c r="A113" s="203" t="s">
        <v>74</v>
      </c>
      <c r="B113" s="204" t="s">
        <v>150</v>
      </c>
      <c r="C113" s="205"/>
      <c r="D113" s="205"/>
      <c r="E113" s="205">
        <v>44784.690972222219</v>
      </c>
      <c r="F113" s="159">
        <v>1.2</v>
      </c>
      <c r="G113" s="204" t="s">
        <v>162</v>
      </c>
      <c r="H113" s="206" t="s">
        <v>1037</v>
      </c>
      <c r="I113" s="206" t="s">
        <v>333</v>
      </c>
      <c r="J113" s="205">
        <v>44784.837500000001</v>
      </c>
      <c r="K113" s="207"/>
      <c r="L113" s="208">
        <f t="shared" si="12"/>
        <v>0.14652777778246673</v>
      </c>
      <c r="M113" s="209">
        <f t="shared" si="13"/>
        <v>0.17583333333896006</v>
      </c>
      <c r="N113" s="214" t="e">
        <f>IF(Table2683257[[#This Row],[Fault Type]]="PM",IF(L113&lt;=(D113-C113),"Yes","No"),"")</f>
        <v>#VALUE!</v>
      </c>
      <c r="O113" s="211" t="e">
        <f t="shared" si="14"/>
        <v>#VALUE!</v>
      </c>
      <c r="P11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3" s="91"/>
    </row>
    <row r="114" spans="1:17" ht="15.5" x14ac:dyDescent="0.35">
      <c r="A114" s="203" t="s">
        <v>69</v>
      </c>
      <c r="B114" s="204" t="s">
        <v>150</v>
      </c>
      <c r="C114" s="205"/>
      <c r="D114" s="205"/>
      <c r="E114" s="205">
        <v>44784.710416666669</v>
      </c>
      <c r="F114" s="159">
        <v>4.5</v>
      </c>
      <c r="G114" s="204" t="s">
        <v>163</v>
      </c>
      <c r="H114" s="206" t="s">
        <v>1038</v>
      </c>
      <c r="I114" s="206" t="s">
        <v>333</v>
      </c>
      <c r="J114" s="205" t="s">
        <v>1039</v>
      </c>
      <c r="K114" s="207"/>
      <c r="L114" s="208" t="e">
        <f t="shared" si="12"/>
        <v>#VALUE!</v>
      </c>
      <c r="M114" s="209" t="e">
        <f t="shared" si="13"/>
        <v>#VALUE!</v>
      </c>
      <c r="N114" s="214" t="e">
        <f>IF(Table2683257[[#This Row],[Fault Type]]="PM",IF(L114&lt;=(D114-C114),"Yes","No"),"")</f>
        <v>#VALUE!</v>
      </c>
      <c r="O114" s="211" t="e">
        <f t="shared" si="14"/>
        <v>#VALUE!</v>
      </c>
      <c r="P114" s="212" t="e">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#VALUE!</v>
      </c>
      <c r="Q114" s="91"/>
    </row>
    <row r="115" spans="1:17" ht="15.5" x14ac:dyDescent="0.35">
      <c r="A115" s="203" t="s">
        <v>29</v>
      </c>
      <c r="B115" s="204" t="s">
        <v>150</v>
      </c>
      <c r="C115" s="205"/>
      <c r="D115" s="205"/>
      <c r="E115" s="205">
        <v>44784.710416666669</v>
      </c>
      <c r="F115" s="159">
        <v>17.5</v>
      </c>
      <c r="G115" s="204" t="s">
        <v>162</v>
      </c>
      <c r="H115" s="206" t="s">
        <v>1040</v>
      </c>
      <c r="I115" s="206" t="s">
        <v>333</v>
      </c>
      <c r="J115" s="205">
        <v>44784.717361111114</v>
      </c>
      <c r="K115" s="207"/>
      <c r="L115" s="208">
        <f t="shared" si="12"/>
        <v>6.9444444452528842E-3</v>
      </c>
      <c r="M115" s="209">
        <f t="shared" si="13"/>
        <v>0.12152777779192547</v>
      </c>
      <c r="N115" s="214" t="e">
        <f>IF(Table2683257[[#This Row],[Fault Type]]="PM",IF(L115&lt;=(D115-C115),"Yes","No"),"")</f>
        <v>#VALUE!</v>
      </c>
      <c r="O115" s="211" t="e">
        <f t="shared" si="14"/>
        <v>#VALUE!</v>
      </c>
      <c r="P115"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5" s="91"/>
    </row>
    <row r="116" spans="1:17" ht="15.5" x14ac:dyDescent="0.35">
      <c r="A116" s="203" t="s">
        <v>41</v>
      </c>
      <c r="B116" s="204" t="s">
        <v>150</v>
      </c>
      <c r="C116" s="205"/>
      <c r="D116" s="205"/>
      <c r="E116" s="205">
        <v>44784.715277777781</v>
      </c>
      <c r="F116" s="159">
        <v>3</v>
      </c>
      <c r="G116" s="204" t="s">
        <v>163</v>
      </c>
      <c r="H116" s="206" t="s">
        <v>1041</v>
      </c>
      <c r="I116" s="206" t="s">
        <v>334</v>
      </c>
      <c r="J116" s="205">
        <v>44784.727083333331</v>
      </c>
      <c r="K116" s="207"/>
      <c r="L116" s="208">
        <f t="shared" si="12"/>
        <v>1.1805555550381541E-2</v>
      </c>
      <c r="M116" s="209">
        <f t="shared" si="13"/>
        <v>3.5416666651144624E-2</v>
      </c>
      <c r="N116" s="214" t="e">
        <f>IF(Table2683257[[#This Row],[Fault Type]]="PM",IF(L116&lt;=(D116-C116),"Yes","No"),"")</f>
        <v>#VALUE!</v>
      </c>
      <c r="O116" s="211" t="e">
        <f t="shared" si="14"/>
        <v>#VALUE!</v>
      </c>
      <c r="P116"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6" s="91"/>
    </row>
    <row r="117" spans="1:17" ht="15.5" x14ac:dyDescent="0.35">
      <c r="A117" s="203" t="s">
        <v>40</v>
      </c>
      <c r="B117" s="204" t="s">
        <v>150</v>
      </c>
      <c r="C117" s="205"/>
      <c r="D117" s="205"/>
      <c r="E117" s="205">
        <v>44784.731944444444</v>
      </c>
      <c r="F117" s="159">
        <v>9</v>
      </c>
      <c r="G117" s="204" t="s">
        <v>162</v>
      </c>
      <c r="H117" s="206" t="s">
        <v>526</v>
      </c>
      <c r="I117" s="206" t="s">
        <v>526</v>
      </c>
      <c r="J117" s="205">
        <v>44784.743750000001</v>
      </c>
      <c r="K117" s="207"/>
      <c r="L117" s="208">
        <f t="shared" si="12"/>
        <v>1.1805555557657499E-2</v>
      </c>
      <c r="M117" s="209">
        <f t="shared" si="13"/>
        <v>0.10625000001891749</v>
      </c>
      <c r="N117" s="214" t="e">
        <f>IF(Table2683257[[#This Row],[Fault Type]]="PM",IF(L117&lt;=(D117-C117),"Yes","No"),"")</f>
        <v>#VALUE!</v>
      </c>
      <c r="O117" s="211" t="e">
        <f t="shared" si="14"/>
        <v>#VALUE!</v>
      </c>
      <c r="P117"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7" s="91"/>
    </row>
    <row r="118" spans="1:17" ht="15.5" x14ac:dyDescent="0.35">
      <c r="A118" s="203" t="s">
        <v>40</v>
      </c>
      <c r="B118" s="204" t="s">
        <v>150</v>
      </c>
      <c r="C118" s="205"/>
      <c r="D118" s="205"/>
      <c r="E118" s="205">
        <v>44784.731944444444</v>
      </c>
      <c r="F118" s="159">
        <v>9</v>
      </c>
      <c r="G118" s="204" t="s">
        <v>162</v>
      </c>
      <c r="H118" s="206" t="s">
        <v>526</v>
      </c>
      <c r="I118" s="206"/>
      <c r="J118" s="205"/>
      <c r="K118" s="207"/>
      <c r="L118" s="208">
        <f t="shared" si="12"/>
        <v>-44784.731944444444</v>
      </c>
      <c r="M118" s="209">
        <f t="shared" si="13"/>
        <v>-403062.58750000002</v>
      </c>
      <c r="N118" s="214" t="e">
        <f>IF(Table2683257[[#This Row],[Fault Type]]="PM",IF(L118&lt;=(D118-C118),"Yes","No"),"")</f>
        <v>#VALUE!</v>
      </c>
      <c r="O118" s="211" t="e">
        <f t="shared" si="14"/>
        <v>#VALUE!</v>
      </c>
      <c r="P118"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18" s="91"/>
    </row>
    <row r="119" spans="1:17" ht="15.5" x14ac:dyDescent="0.35">
      <c r="A119" s="203" t="s">
        <v>60</v>
      </c>
      <c r="B119" s="204" t="s">
        <v>150</v>
      </c>
      <c r="C119" s="205"/>
      <c r="D119" s="205"/>
      <c r="E119" s="205">
        <v>44784.743055555555</v>
      </c>
      <c r="F119" s="159">
        <v>3.2</v>
      </c>
      <c r="G119" s="204" t="s">
        <v>164</v>
      </c>
      <c r="H119" s="206" t="s">
        <v>1042</v>
      </c>
      <c r="I119" s="206" t="s">
        <v>333</v>
      </c>
      <c r="J119" s="205">
        <v>44784.76666666667</v>
      </c>
      <c r="K119" s="207"/>
      <c r="L119" s="208">
        <f t="shared" si="12"/>
        <v>2.3611111115314998E-2</v>
      </c>
      <c r="M119" s="209">
        <f t="shared" si="13"/>
        <v>7.5555555569008004E-2</v>
      </c>
      <c r="N119" s="214" t="e">
        <f>IF(Table2683257[[#This Row],[Fault Type]]="PM",IF(L119&lt;=(D119-C119),"Yes","No"),"")</f>
        <v>#VALUE!</v>
      </c>
      <c r="O119" s="211" t="e">
        <f t="shared" si="14"/>
        <v>#VALUE!</v>
      </c>
      <c r="P119"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19" s="91"/>
    </row>
    <row r="120" spans="1:17" ht="15.5" x14ac:dyDescent="0.35">
      <c r="A120" s="203" t="s">
        <v>37</v>
      </c>
      <c r="B120" s="204" t="s">
        <v>158</v>
      </c>
      <c r="C120" s="205"/>
      <c r="D120" s="205"/>
      <c r="E120" s="205">
        <v>44784.768055555556</v>
      </c>
      <c r="F120" s="159">
        <v>12.5</v>
      </c>
      <c r="G120" s="204"/>
      <c r="H120" s="206" t="s">
        <v>1043</v>
      </c>
      <c r="I120" s="206"/>
      <c r="J120" s="205">
        <v>44784.777777777781</v>
      </c>
      <c r="K120" s="207"/>
      <c r="L120" s="208">
        <f t="shared" si="12"/>
        <v>9.7222222248092294E-3</v>
      </c>
      <c r="M120" s="209">
        <f t="shared" si="13"/>
        <v>0.12152777781011537</v>
      </c>
      <c r="N120" s="214" t="e">
        <f>IF(Table2683257[[#This Row],[Fault Type]]="PM",IF(L120&lt;=(D120-C120),"Yes","No"),"")</f>
        <v>#VALUE!</v>
      </c>
      <c r="O120" s="211" t="e">
        <f t="shared" si="14"/>
        <v>#VALUE!</v>
      </c>
      <c r="P120"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0" s="91"/>
    </row>
    <row r="121" spans="1:17" ht="15.5" x14ac:dyDescent="0.35">
      <c r="A121" s="203" t="s">
        <v>29</v>
      </c>
      <c r="B121" s="204" t="s">
        <v>150</v>
      </c>
      <c r="C121" s="205"/>
      <c r="D121" s="205"/>
      <c r="E121" s="205">
        <v>44784.789583333331</v>
      </c>
      <c r="F121" s="159">
        <v>12</v>
      </c>
      <c r="G121" s="204" t="s">
        <v>162</v>
      </c>
      <c r="H121" s="206" t="s">
        <v>526</v>
      </c>
      <c r="I121" s="206" t="s">
        <v>526</v>
      </c>
      <c r="J121" s="205">
        <v>44784.800000000003</v>
      </c>
      <c r="K121" s="207"/>
      <c r="L121" s="208">
        <f t="shared" si="12"/>
        <v>1.0416666671517305E-2</v>
      </c>
      <c r="M121" s="209">
        <f t="shared" si="13"/>
        <v>0.12500000005820766</v>
      </c>
      <c r="N121" s="214" t="e">
        <f>IF(Table2683257[[#This Row],[Fault Type]]="PM",IF(L121&lt;=(D121-C121),"Yes","No"),"")</f>
        <v>#VALUE!</v>
      </c>
      <c r="O121" s="211" t="e">
        <f t="shared" si="14"/>
        <v>#VALUE!</v>
      </c>
      <c r="P121"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1" s="91"/>
    </row>
    <row r="122" spans="1:17" ht="15.5" x14ac:dyDescent="0.35">
      <c r="A122" s="203" t="s">
        <v>80</v>
      </c>
      <c r="B122" s="204" t="s">
        <v>158</v>
      </c>
      <c r="C122" s="205"/>
      <c r="D122" s="205"/>
      <c r="E122" s="205">
        <v>44784.804166666669</v>
      </c>
      <c r="F122" s="159">
        <v>2.2000000000000002</v>
      </c>
      <c r="G122" s="204"/>
      <c r="H122" s="206" t="s">
        <v>1044</v>
      </c>
      <c r="I122" s="206" t="s">
        <v>333</v>
      </c>
      <c r="J122" s="205">
        <v>44784.861111111109</v>
      </c>
      <c r="K122" s="207"/>
      <c r="L122" s="208">
        <f t="shared" si="12"/>
        <v>5.694444444088731E-2</v>
      </c>
      <c r="M122" s="209">
        <f t="shared" si="13"/>
        <v>0.12527777776995208</v>
      </c>
      <c r="N122" s="214" t="e">
        <f>IF(Table2683257[[#This Row],[Fault Type]]="PM",IF(L122&lt;=(D122-C122),"Yes","No"),"")</f>
        <v>#VALUE!</v>
      </c>
      <c r="O122" s="211" t="e">
        <f t="shared" si="14"/>
        <v>#VALUE!</v>
      </c>
      <c r="P12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2" s="91"/>
    </row>
    <row r="123" spans="1:17" ht="15.5" x14ac:dyDescent="0.35">
      <c r="A123" s="203" t="s">
        <v>21</v>
      </c>
      <c r="B123" s="204" t="s">
        <v>150</v>
      </c>
      <c r="C123" s="205"/>
      <c r="D123" s="205"/>
      <c r="E123" s="205">
        <v>44784.801388888889</v>
      </c>
      <c r="F123" s="159">
        <v>15.6</v>
      </c>
      <c r="G123" s="204" t="s">
        <v>164</v>
      </c>
      <c r="H123" s="206" t="s">
        <v>1045</v>
      </c>
      <c r="I123" s="206" t="s">
        <v>334</v>
      </c>
      <c r="J123" s="205">
        <v>44784.856944444444</v>
      </c>
      <c r="K123" s="207"/>
      <c r="L123" s="208">
        <f t="shared" si="12"/>
        <v>5.5555555554747116E-2</v>
      </c>
      <c r="M123" s="209">
        <f t="shared" si="13"/>
        <v>0.86666666665405501</v>
      </c>
      <c r="N123" s="214" t="e">
        <f>IF(Table2683257[[#This Row],[Fault Type]]="PM",IF(L123&lt;=(D123-C123),"Yes","No"),"")</f>
        <v>#VALUE!</v>
      </c>
      <c r="O123" s="211" t="e">
        <f t="shared" si="14"/>
        <v>#VALUE!</v>
      </c>
      <c r="P12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3" s="91"/>
    </row>
    <row r="124" spans="1:17" ht="15.5" x14ac:dyDescent="0.35">
      <c r="A124" s="203" t="s">
        <v>370</v>
      </c>
      <c r="B124" s="204" t="s">
        <v>150</v>
      </c>
      <c r="C124" s="205"/>
      <c r="D124" s="205"/>
      <c r="E124" s="205">
        <v>44784.804166666669</v>
      </c>
      <c r="F124" s="159">
        <v>6</v>
      </c>
      <c r="G124" s="204" t="s">
        <v>164</v>
      </c>
      <c r="H124" s="206" t="s">
        <v>1046</v>
      </c>
      <c r="I124" s="206" t="s">
        <v>334</v>
      </c>
      <c r="J124" s="205">
        <v>44784.845138888886</v>
      </c>
      <c r="K124" s="207"/>
      <c r="L124" s="208">
        <f t="shared" si="12"/>
        <v>4.0972222217533272E-2</v>
      </c>
      <c r="M124" s="209">
        <f t="shared" si="13"/>
        <v>0.24583333330519963</v>
      </c>
      <c r="N124" s="214" t="e">
        <f>IF(Table2683257[[#This Row],[Fault Type]]="PM",IF(L124&lt;=(D124-C124),"Yes","No"),"")</f>
        <v>#VALUE!</v>
      </c>
      <c r="O124" s="211" t="e">
        <f t="shared" si="14"/>
        <v>#VALUE!</v>
      </c>
      <c r="P124"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4" s="91"/>
    </row>
    <row r="125" spans="1:17" ht="15.5" x14ac:dyDescent="0.35">
      <c r="A125" s="203" t="s">
        <v>51</v>
      </c>
      <c r="B125" s="204" t="s">
        <v>150</v>
      </c>
      <c r="C125" s="205"/>
      <c r="D125" s="205"/>
      <c r="E125" s="205">
        <v>44784.809027777781</v>
      </c>
      <c r="F125" s="159">
        <v>5.5</v>
      </c>
      <c r="G125" s="204" t="s">
        <v>164</v>
      </c>
      <c r="H125" s="206" t="s">
        <v>1047</v>
      </c>
      <c r="I125" s="206" t="s">
        <v>334</v>
      </c>
      <c r="J125" s="205">
        <v>44785.375694444447</v>
      </c>
      <c r="K125" s="207"/>
      <c r="L125" s="208">
        <f t="shared" si="12"/>
        <v>0.56666666666569654</v>
      </c>
      <c r="M125" s="209">
        <f t="shared" si="13"/>
        <v>3.116666666661331</v>
      </c>
      <c r="N125" s="214" t="e">
        <f>IF(Table2683257[[#This Row],[Fault Type]]="PM",IF(L125&lt;=(D125-C125),"Yes","No"),"")</f>
        <v>#VALUE!</v>
      </c>
      <c r="O125" s="211" t="e">
        <f t="shared" si="14"/>
        <v>#VALUE!</v>
      </c>
      <c r="P125"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25" s="91"/>
    </row>
    <row r="126" spans="1:17" ht="15.5" x14ac:dyDescent="0.35">
      <c r="A126" s="203" t="s">
        <v>44</v>
      </c>
      <c r="B126" s="204" t="s">
        <v>150</v>
      </c>
      <c r="C126" s="205"/>
      <c r="D126" s="205"/>
      <c r="E126" s="205">
        <v>44784.814583333333</v>
      </c>
      <c r="F126" s="159">
        <v>5.0999999999999996</v>
      </c>
      <c r="G126" s="204"/>
      <c r="H126" s="206" t="s">
        <v>756</v>
      </c>
      <c r="I126" s="206" t="s">
        <v>334</v>
      </c>
      <c r="J126" s="205">
        <v>44784.880555555559</v>
      </c>
      <c r="K126" s="207"/>
      <c r="L126" s="208">
        <f t="shared" si="12"/>
        <v>6.5972222226264421E-2</v>
      </c>
      <c r="M126" s="209">
        <f t="shared" si="13"/>
        <v>0.33645833335394854</v>
      </c>
      <c r="N126" s="214" t="e">
        <f>IF(Table2683257[[#This Row],[Fault Type]]="PM",IF(L126&lt;=(D126-C126),"Yes","No"),"")</f>
        <v>#VALUE!</v>
      </c>
      <c r="O126" s="211" t="e">
        <f t="shared" si="14"/>
        <v>#VALUE!</v>
      </c>
      <c r="P126"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6" s="91"/>
    </row>
    <row r="127" spans="1:17" ht="15.5" x14ac:dyDescent="0.35">
      <c r="A127" s="203" t="s">
        <v>43</v>
      </c>
      <c r="B127" s="204" t="s">
        <v>150</v>
      </c>
      <c r="C127" s="205"/>
      <c r="D127" s="205"/>
      <c r="E127" s="205">
        <v>44784.817361111112</v>
      </c>
      <c r="F127" s="159">
        <v>2.2000000000000002</v>
      </c>
      <c r="G127" s="204"/>
      <c r="H127" s="206" t="s">
        <v>1048</v>
      </c>
      <c r="I127" s="206" t="s">
        <v>334</v>
      </c>
      <c r="J127" s="205">
        <v>44784.880555555559</v>
      </c>
      <c r="K127" s="207"/>
      <c r="L127" s="208">
        <f t="shared" si="12"/>
        <v>6.3194444446708076E-2</v>
      </c>
      <c r="M127" s="209">
        <f t="shared" si="13"/>
        <v>0.13902777778275777</v>
      </c>
      <c r="N127" s="214" t="e">
        <f>IF(Table2683257[[#This Row],[Fault Type]]="PM",IF(L127&lt;=(D127-C127),"Yes","No"),"")</f>
        <v>#VALUE!</v>
      </c>
      <c r="O127" s="211" t="e">
        <f t="shared" si="14"/>
        <v>#VALUE!</v>
      </c>
      <c r="P127"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7" s="91"/>
    </row>
    <row r="128" spans="1:17" ht="15.5" x14ac:dyDescent="0.35">
      <c r="A128" s="203" t="s">
        <v>37</v>
      </c>
      <c r="B128" s="204" t="s">
        <v>150</v>
      </c>
      <c r="C128" s="205"/>
      <c r="D128" s="205"/>
      <c r="E128" s="205">
        <v>44784.831250000003</v>
      </c>
      <c r="F128" s="159">
        <v>10</v>
      </c>
      <c r="G128" s="204" t="s">
        <v>162</v>
      </c>
      <c r="H128" s="206" t="s">
        <v>526</v>
      </c>
      <c r="I128" s="206" t="s">
        <v>526</v>
      </c>
      <c r="J128" s="205">
        <v>44784.838194444441</v>
      </c>
      <c r="K128" s="207"/>
      <c r="L128" s="208">
        <f t="shared" si="12"/>
        <v>6.9444444379769266E-3</v>
      </c>
      <c r="M128" s="209">
        <f t="shared" si="13"/>
        <v>6.9444444379769266E-2</v>
      </c>
      <c r="N128" s="214" t="e">
        <f>IF(Table2683257[[#This Row],[Fault Type]]="PM",IF(L128&lt;=(D128-C128),"Yes","No"),"")</f>
        <v>#VALUE!</v>
      </c>
      <c r="O128" s="211" t="e">
        <f t="shared" si="14"/>
        <v>#VALUE!</v>
      </c>
      <c r="P128"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28" s="91"/>
    </row>
    <row r="129" spans="1:17" ht="15.5" x14ac:dyDescent="0.35">
      <c r="A129" s="203" t="s">
        <v>370</v>
      </c>
      <c r="B129" s="204" t="s">
        <v>150</v>
      </c>
      <c r="C129" s="205"/>
      <c r="D129" s="205"/>
      <c r="E129" s="205">
        <v>44784.879861111112</v>
      </c>
      <c r="F129" s="159">
        <v>0.5</v>
      </c>
      <c r="G129" s="204"/>
      <c r="H129" s="206"/>
      <c r="I129" s="206"/>
      <c r="J129" s="205"/>
      <c r="K129" s="207"/>
      <c r="L129" s="208">
        <f t="shared" si="12"/>
        <v>-44784.879861111112</v>
      </c>
      <c r="M129" s="209">
        <f t="shared" si="13"/>
        <v>-22392.439930555556</v>
      </c>
      <c r="N129" s="214" t="e">
        <f>IF(Table2683257[[#This Row],[Fault Type]]="PM",IF(L129&lt;=(D129-C129),"Yes","No"),"")</f>
        <v>#VALUE!</v>
      </c>
      <c r="O129" s="211" t="e">
        <f t="shared" si="14"/>
        <v>#VALUE!</v>
      </c>
      <c r="P129"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29" s="91"/>
    </row>
    <row r="130" spans="1:17" ht="15.5" x14ac:dyDescent="0.35">
      <c r="A130" s="203" t="s">
        <v>42</v>
      </c>
      <c r="B130" s="204" t="s">
        <v>150</v>
      </c>
      <c r="C130" s="205"/>
      <c r="D130" s="205"/>
      <c r="E130" s="205">
        <v>44784.879861111112</v>
      </c>
      <c r="F130" s="159">
        <v>1.5</v>
      </c>
      <c r="G130" s="204" t="s">
        <v>164</v>
      </c>
      <c r="H130" s="206" t="s">
        <v>526</v>
      </c>
      <c r="I130" s="206" t="s">
        <v>526</v>
      </c>
      <c r="J130" s="205">
        <v>44784.887499999997</v>
      </c>
      <c r="K130" s="207"/>
      <c r="L130" s="208">
        <f t="shared" si="12"/>
        <v>7.6388888846850023E-3</v>
      </c>
      <c r="M130" s="209">
        <f t="shared" si="13"/>
        <v>1.1458333327027503E-2</v>
      </c>
      <c r="N130" s="214" t="e">
        <f>IF(Table2683257[[#This Row],[Fault Type]]="PM",IF(L130&lt;=(D130-C130),"Yes","No"),"")</f>
        <v>#VALUE!</v>
      </c>
      <c r="O130" s="211" t="e">
        <f t="shared" si="14"/>
        <v>#VALUE!</v>
      </c>
      <c r="P130"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30" s="91"/>
    </row>
    <row r="131" spans="1:17" ht="15.5" x14ac:dyDescent="0.35">
      <c r="A131" s="203" t="s">
        <v>25</v>
      </c>
      <c r="B131" s="204" t="s">
        <v>150</v>
      </c>
      <c r="C131" s="205"/>
      <c r="D131" s="205"/>
      <c r="E131" s="205">
        <v>44784.845833333333</v>
      </c>
      <c r="F131" s="159">
        <v>3.6</v>
      </c>
      <c r="G131" s="204" t="s">
        <v>164</v>
      </c>
      <c r="H131" s="206" t="s">
        <v>1049</v>
      </c>
      <c r="I131" s="206" t="s">
        <v>334</v>
      </c>
      <c r="J131" s="205">
        <v>44784.900694444441</v>
      </c>
      <c r="K131" s="207"/>
      <c r="L131" s="208">
        <f t="shared" si="12"/>
        <v>5.486111110803904E-2</v>
      </c>
      <c r="M131" s="209">
        <f t="shared" si="13"/>
        <v>0.19749999998894055</v>
      </c>
      <c r="N131" s="214" t="e">
        <f>IF(Table2683257[[#This Row],[Fault Type]]="PM",IF(L131&lt;=(D131-C131),"Yes","No"),"")</f>
        <v>#VALUE!</v>
      </c>
      <c r="O131" s="211" t="e">
        <f t="shared" si="14"/>
        <v>#VALUE!</v>
      </c>
      <c r="P131"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31" s="91"/>
    </row>
    <row r="132" spans="1:17" ht="15.5" x14ac:dyDescent="0.35">
      <c r="A132" s="203" t="s">
        <v>69</v>
      </c>
      <c r="B132" s="204" t="s">
        <v>150</v>
      </c>
      <c r="C132" s="205"/>
      <c r="D132" s="205"/>
      <c r="E132" s="205">
        <v>44784.947916666664</v>
      </c>
      <c r="F132" s="159">
        <v>4.7</v>
      </c>
      <c r="G132" s="204" t="s">
        <v>163</v>
      </c>
      <c r="H132" s="206" t="s">
        <v>1050</v>
      </c>
      <c r="I132" s="206" t="s">
        <v>334</v>
      </c>
      <c r="J132" s="205">
        <v>44785.054861111108</v>
      </c>
      <c r="K132" s="207"/>
      <c r="L132" s="208">
        <f t="shared" si="12"/>
        <v>0.10694444444379769</v>
      </c>
      <c r="M132" s="209">
        <f t="shared" si="13"/>
        <v>0.50263888888584918</v>
      </c>
      <c r="N132" s="214" t="e">
        <f>IF(Table2683257[[#This Row],[Fault Type]]="PM",IF(L132&lt;=(D132-C132),"Yes","No"),"")</f>
        <v>#VALUE!</v>
      </c>
      <c r="O132" s="211" t="e">
        <f t="shared" si="14"/>
        <v>#VALUE!</v>
      </c>
      <c r="P132"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32" s="91"/>
    </row>
    <row r="133" spans="1:17" ht="15.5" x14ac:dyDescent="0.35">
      <c r="A133" s="203" t="s">
        <v>371</v>
      </c>
      <c r="B133" s="204" t="s">
        <v>150</v>
      </c>
      <c r="C133" s="205"/>
      <c r="D133" s="205"/>
      <c r="E133" s="205">
        <v>44784.931250000001</v>
      </c>
      <c r="F133" s="159">
        <v>2.2000000000000002</v>
      </c>
      <c r="G133" s="204"/>
      <c r="H133" s="206"/>
      <c r="I133" s="206"/>
      <c r="J133" s="205"/>
      <c r="K133" s="207"/>
      <c r="L133" s="208">
        <f t="shared" si="12"/>
        <v>-44784.931250000001</v>
      </c>
      <c r="M133" s="209">
        <f t="shared" si="13"/>
        <v>-98526.848750000005</v>
      </c>
      <c r="N133" s="214" t="e">
        <f>IF(Table2683257[[#This Row],[Fault Type]]="PM",IF(L133&lt;=(D133-C133),"Yes","No"),"")</f>
        <v>#VALUE!</v>
      </c>
      <c r="O133" s="211" t="e">
        <f t="shared" si="14"/>
        <v>#VALUE!</v>
      </c>
      <c r="P133"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33" s="91"/>
    </row>
    <row r="134" spans="1:17" ht="15.5" x14ac:dyDescent="0.35">
      <c r="A134" s="203" t="s">
        <v>29</v>
      </c>
      <c r="B134" s="204" t="s">
        <v>150</v>
      </c>
      <c r="C134" s="205"/>
      <c r="D134" s="205"/>
      <c r="E134" s="205">
        <v>44784.975694444445</v>
      </c>
      <c r="F134" s="159">
        <v>15.2</v>
      </c>
      <c r="G134" s="204" t="s">
        <v>162</v>
      </c>
      <c r="H134" s="206" t="s">
        <v>526</v>
      </c>
      <c r="I134" s="206" t="s">
        <v>526</v>
      </c>
      <c r="J134" s="205">
        <v>44784.982638888891</v>
      </c>
      <c r="K134" s="207"/>
      <c r="L134" s="208">
        <f t="shared" si="12"/>
        <v>6.9444444452528842E-3</v>
      </c>
      <c r="M134" s="209">
        <f t="shared" si="13"/>
        <v>0.10555555556784384</v>
      </c>
      <c r="N134" s="214" t="e">
        <f>IF(Table2683257[[#This Row],[Fault Type]]="PM",IF(L134&lt;=(D134-C134),"Yes","No"),"")</f>
        <v>#VALUE!</v>
      </c>
      <c r="O134" s="211" t="e">
        <f t="shared" si="14"/>
        <v>#VALUE!</v>
      </c>
      <c r="P134"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Yes</v>
      </c>
      <c r="Q134" s="91"/>
    </row>
    <row r="135" spans="1:17" ht="15.5" x14ac:dyDescent="0.35">
      <c r="A135" s="203" t="s">
        <v>67</v>
      </c>
      <c r="B135" s="204" t="s">
        <v>158</v>
      </c>
      <c r="C135" s="205"/>
      <c r="D135" s="205"/>
      <c r="E135" s="205">
        <v>44784.982638888891</v>
      </c>
      <c r="F135" s="159">
        <v>2</v>
      </c>
      <c r="G135" s="204"/>
      <c r="H135" s="206" t="s">
        <v>1051</v>
      </c>
      <c r="I135" s="206"/>
      <c r="J135" s="205"/>
      <c r="K135" s="207"/>
      <c r="L135" s="208">
        <f t="shared" si="12"/>
        <v>-44784.982638888891</v>
      </c>
      <c r="M135" s="209">
        <f t="shared" si="13"/>
        <v>-89569.965277777781</v>
      </c>
      <c r="N135" s="214" t="e">
        <f>IF(Table2683257[[#This Row],[Fault Type]]="PM",IF(L135&lt;=(D135-C135),"Yes","No"),"")</f>
        <v>#VALUE!</v>
      </c>
      <c r="O135" s="211" t="e">
        <f t="shared" si="14"/>
        <v>#VALUE!</v>
      </c>
      <c r="P135" s="212" t="str">
        <f>IF(AND(Table2683256[[#This Row],[Name of Feeder]]&lt;&gt;"",OR(Table2683256[[#This Row],[Fault Type]]="TL",Table2683256[[#This Row],[Fault Type]]="TS",Table2683256[[#This Row],[Fault Type]]="UF",Table2683256[[#This Row],[Fault Type]]="SE")),(IF(AND(VLOOKUP(Table2683256[[#This Row],[Name of Feeder]],Main!D:E,2,0)="URBAN",ISNUMBER(SEARCH("33KV",Table2683256[[#This Row],[Name of Feeder]]))),IF(AND(Table2683256[[#This Row],[Outage Duration]]&gt;0,Table2683256[[#This Row],[Outage Duration]]&lt;=0.25),"Yes","No"),IF(AND(VLOOKUP(Table2683256[[#This Row],[Name of Feeder]],Main!D:E,2,0)="RURAL",ISNUMBER(SEARCH("33KV",Table2683256[[#This Row],[Name of Feeder]]))),IF(AND(Table2683256[[#This Row],[Outage Duration]]&gt;0,Table2683256[[#This Row],[Outage Duration]]&lt;=0.33),"Yes","No"),IF(AND(VLOOKUP(Table2683256[[#This Row],[Name of Feeder]],Main!D:E,2,0)="RURAL",ISNUMBER(SEARCH("11KV",Table2683256[[#This Row],[Name of Feeder]]))),IF(AND(Table2683256[[#This Row],[Outage Duration]]&gt;0,Table2683256[[#This Row],[Outage Duration]]&lt;=0.17),"Yes","No"),IF(AND(VLOOKUP(Table2683256[[#This Row],[Name of Feeder]],Main!D:E,2,0)="URBAN",ISNUMBER(SEARCH("11KV",Table2683256[[#This Row],[Name of Feeder]]))),IF(AND(Table2683256[[#This Row],[Outage Duration]]&gt;0,Table2683256[[#This Row],[Outage Duration]]&lt;=0.17),"Yes","No"),""))))),"")</f>
        <v>No</v>
      </c>
      <c r="Q135" s="91"/>
    </row>
  </sheetData>
  <dataValidations count="1">
    <dataValidation type="list" allowBlank="1" showInputMessage="1" showErrorMessage="1" sqref="G68:G135" xr:uid="{00000000-0002-0000-0E00-000000000000}">
      <formula1>F$257:F$259</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E00-000001000000}">
          <x14:formula1>
            <xm:f>Main!$F$226:$F$228</xm:f>
          </x14:formula1>
          <xm:sqref>I2:I135</xm:sqref>
        </x14:dataValidation>
        <x14:dataValidation type="list" allowBlank="1" showInputMessage="1" showErrorMessage="1" xr:uid="{00000000-0002-0000-0E00-000002000000}">
          <x14:formula1>
            <xm:f>Main!$D$2:$D$196</xm:f>
          </x14:formula1>
          <xm:sqref>A2:A135</xm:sqref>
        </x14:dataValidation>
        <x14:dataValidation type="list" allowBlank="1" showInputMessage="1" showErrorMessage="1" xr:uid="{00000000-0002-0000-0E00-000003000000}">
          <x14:formula1>
            <xm:f>Main!F$222:F$225</xm:f>
          </x14:formula1>
          <xm:sqref>G2:G67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78"/>
  <sheetViews>
    <sheetView topLeftCell="C34" zoomScale="70" zoomScaleNormal="70" workbookViewId="0">
      <selection activeCell="A2" sqref="A2:J46"/>
    </sheetView>
  </sheetViews>
  <sheetFormatPr defaultRowHeight="14.5" x14ac:dyDescent="0.35"/>
  <cols>
    <col min="1" max="1" width="27.26953125" customWidth="1"/>
    <col min="2" max="2" width="8.26953125" customWidth="1"/>
    <col min="3" max="3" width="17.26953125" customWidth="1"/>
    <col min="4" max="4" width="17.54296875" customWidth="1"/>
    <col min="5" max="5" width="18.269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4" si="0">J2-E2</f>
        <v>0</v>
      </c>
      <c r="M2" s="31">
        <f t="shared" ref="M2:M23" si="1">L2*F2</f>
        <v>0</v>
      </c>
      <c r="N2" s="15" t="str">
        <f>IF(Table2683255[[#This Row],[Fault Type]]="PM",IF(L2&lt;=(D2-C2),"Yes","No"),"")</f>
        <v/>
      </c>
      <c r="O2" s="16" t="str">
        <f t="shared" ref="O2:O64" si="2">IF(N2="No",(L2-(D2-C2)),"")</f>
        <v/>
      </c>
      <c r="P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 s="17"/>
    </row>
    <row r="3" spans="1:17" ht="15.5" x14ac:dyDescent="0.35">
      <c r="A3" s="4"/>
      <c r="B3" s="12"/>
      <c r="C3" s="13"/>
      <c r="D3" s="13"/>
      <c r="E3" s="13"/>
      <c r="F3" s="12"/>
      <c r="G3" s="159"/>
      <c r="H3" s="27"/>
      <c r="I3" s="135"/>
      <c r="J3" s="13"/>
      <c r="K3" s="32"/>
      <c r="L3" s="14">
        <f t="shared" si="0"/>
        <v>0</v>
      </c>
      <c r="M3" s="31">
        <f t="shared" si="1"/>
        <v>0</v>
      </c>
      <c r="N3" s="15" t="str">
        <f>IF(Table2683255[[#This Row],[Fault Type]]="PM",IF(L3&lt;=(D3-C3),"Yes","No"),"")</f>
        <v/>
      </c>
      <c r="O3" s="16" t="str">
        <f t="shared" si="2"/>
        <v/>
      </c>
      <c r="P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 s="17"/>
    </row>
    <row r="4" spans="1:17" ht="15.5" x14ac:dyDescent="0.35">
      <c r="A4" s="4"/>
      <c r="B4" s="12"/>
      <c r="C4" s="13"/>
      <c r="D4" s="13"/>
      <c r="E4" s="13"/>
      <c r="F4" s="12"/>
      <c r="G4" s="159"/>
      <c r="H4" s="12"/>
      <c r="I4" s="135"/>
      <c r="J4" s="13"/>
      <c r="K4" s="32"/>
      <c r="L4" s="14">
        <f t="shared" si="0"/>
        <v>0</v>
      </c>
      <c r="M4" s="31">
        <f t="shared" si="1"/>
        <v>0</v>
      </c>
      <c r="N4" s="15" t="str">
        <f>IF(Table2683255[[#This Row],[Fault Type]]="PM",IF(L4&lt;=(D4-C4),"Yes","No"),"")</f>
        <v/>
      </c>
      <c r="O4" s="16" t="str">
        <f t="shared" si="2"/>
        <v/>
      </c>
      <c r="P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 s="17"/>
    </row>
    <row r="5" spans="1:17" ht="15.5" x14ac:dyDescent="0.35">
      <c r="A5" s="4"/>
      <c r="B5" s="12"/>
      <c r="C5" s="13"/>
      <c r="D5" s="13"/>
      <c r="E5" s="13"/>
      <c r="F5" s="12"/>
      <c r="G5" s="159"/>
      <c r="H5" s="12"/>
      <c r="I5" s="135"/>
      <c r="J5" s="13"/>
      <c r="K5" s="32"/>
      <c r="L5" s="14">
        <f t="shared" si="0"/>
        <v>0</v>
      </c>
      <c r="M5" s="31">
        <f t="shared" si="1"/>
        <v>0</v>
      </c>
      <c r="N5" s="15" t="str">
        <f>IF(Table2683255[[#This Row],[Fault Type]]="PM",IF(L5&lt;=(D5-C5),"Yes","No"),"")</f>
        <v/>
      </c>
      <c r="O5" s="16" t="str">
        <f t="shared" si="2"/>
        <v/>
      </c>
      <c r="P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 s="17"/>
    </row>
    <row r="6" spans="1:17" ht="15.5" x14ac:dyDescent="0.35">
      <c r="A6" s="4"/>
      <c r="B6" s="12"/>
      <c r="C6" s="13"/>
      <c r="D6" s="13"/>
      <c r="E6" s="13"/>
      <c r="F6" s="12"/>
      <c r="G6" s="159"/>
      <c r="H6" s="12"/>
      <c r="I6" s="135"/>
      <c r="J6" s="13"/>
      <c r="K6" s="32"/>
      <c r="L6" s="14">
        <f t="shared" si="0"/>
        <v>0</v>
      </c>
      <c r="M6" s="31">
        <f t="shared" si="1"/>
        <v>0</v>
      </c>
      <c r="N6" s="15" t="str">
        <f>IF(Table2683255[[#This Row],[Fault Type]]="PM",IF(L6&lt;=(D6-C6),"Yes","No"),"")</f>
        <v/>
      </c>
      <c r="O6" s="16" t="str">
        <f t="shared" si="2"/>
        <v/>
      </c>
      <c r="P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 s="17"/>
    </row>
    <row r="7" spans="1:17" ht="15.5" x14ac:dyDescent="0.35">
      <c r="A7" s="4"/>
      <c r="B7" s="12"/>
      <c r="C7" s="13"/>
      <c r="D7" s="13"/>
      <c r="E7" s="13"/>
      <c r="F7" s="12"/>
      <c r="G7" s="159"/>
      <c r="H7" s="12"/>
      <c r="I7" s="135"/>
      <c r="J7" s="13"/>
      <c r="K7" s="32"/>
      <c r="L7" s="14">
        <f t="shared" si="0"/>
        <v>0</v>
      </c>
      <c r="M7" s="31">
        <f t="shared" si="1"/>
        <v>0</v>
      </c>
      <c r="N7" s="15" t="str">
        <f>IF(Table2683255[[#This Row],[Fault Type]]="PM",IF(L7&lt;=(D7-C7),"Yes","No"),"")</f>
        <v/>
      </c>
      <c r="O7" s="16" t="str">
        <f t="shared" si="2"/>
        <v/>
      </c>
      <c r="P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 s="17"/>
    </row>
    <row r="8" spans="1:17" ht="15.5" x14ac:dyDescent="0.35">
      <c r="A8" s="4"/>
      <c r="B8" s="12"/>
      <c r="C8" s="13"/>
      <c r="D8" s="13"/>
      <c r="E8" s="13"/>
      <c r="F8" s="12"/>
      <c r="G8" s="159"/>
      <c r="H8" s="12"/>
      <c r="I8" s="135"/>
      <c r="J8" s="13"/>
      <c r="K8" s="32"/>
      <c r="L8" s="14">
        <f t="shared" si="0"/>
        <v>0</v>
      </c>
      <c r="M8" s="31">
        <f t="shared" si="1"/>
        <v>0</v>
      </c>
      <c r="N8" s="15" t="str">
        <f>IF(Table2683255[[#This Row],[Fault Type]]="PM",IF(L8&lt;=(D8-C8),"Yes","No"),"")</f>
        <v/>
      </c>
      <c r="O8" s="16" t="str">
        <f t="shared" si="2"/>
        <v/>
      </c>
      <c r="P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8" s="17"/>
    </row>
    <row r="9" spans="1:17" ht="15.5" x14ac:dyDescent="0.35">
      <c r="A9" s="4"/>
      <c r="B9" s="12"/>
      <c r="C9" s="13"/>
      <c r="D9" s="13"/>
      <c r="E9" s="13"/>
      <c r="F9" s="12"/>
      <c r="G9" s="159"/>
      <c r="H9" s="12"/>
      <c r="I9" s="135"/>
      <c r="J9" s="13"/>
      <c r="K9" s="32"/>
      <c r="L9" s="14">
        <f t="shared" si="0"/>
        <v>0</v>
      </c>
      <c r="M9" s="31">
        <f t="shared" si="1"/>
        <v>0</v>
      </c>
      <c r="N9" s="15" t="str">
        <f>IF(Table2683255[[#This Row],[Fault Type]]="PM",IF(L9&lt;=(D9-C9),"Yes","No"),"")</f>
        <v/>
      </c>
      <c r="O9" s="16" t="str">
        <f t="shared" si="2"/>
        <v/>
      </c>
      <c r="P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9" s="17"/>
    </row>
    <row r="10" spans="1:17" ht="15.5" x14ac:dyDescent="0.35">
      <c r="A10" s="4"/>
      <c r="B10" s="12"/>
      <c r="C10" s="13"/>
      <c r="D10" s="13"/>
      <c r="E10" s="13"/>
      <c r="F10" s="12"/>
      <c r="G10" s="159"/>
      <c r="H10" s="12"/>
      <c r="I10" s="135"/>
      <c r="J10" s="13"/>
      <c r="K10" s="32"/>
      <c r="L10" s="14">
        <f t="shared" si="0"/>
        <v>0</v>
      </c>
      <c r="M10" s="31">
        <f t="shared" si="1"/>
        <v>0</v>
      </c>
      <c r="N10" s="15" t="str">
        <f>IF(Table2683255[[#This Row],[Fault Type]]="PM",IF(L10&lt;=(D10-C10),"Yes","No"),"")</f>
        <v/>
      </c>
      <c r="O10" s="16" t="str">
        <f t="shared" si="2"/>
        <v/>
      </c>
      <c r="P1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0" s="17"/>
    </row>
    <row r="11" spans="1:17" ht="15.5" x14ac:dyDescent="0.35">
      <c r="A11" s="4"/>
      <c r="B11" s="12"/>
      <c r="C11" s="13"/>
      <c r="D11" s="13"/>
      <c r="E11" s="13"/>
      <c r="F11" s="12"/>
      <c r="G11" s="159"/>
      <c r="H11" s="12"/>
      <c r="I11" s="135"/>
      <c r="J11" s="13"/>
      <c r="K11" s="32"/>
      <c r="L11" s="14">
        <f t="shared" si="0"/>
        <v>0</v>
      </c>
      <c r="M11" s="31">
        <f t="shared" si="1"/>
        <v>0</v>
      </c>
      <c r="N11" s="15" t="str">
        <f>IF(Table2683255[[#This Row],[Fault Type]]="PM",IF(L11&lt;=(D11-C11),"Yes","No"),"")</f>
        <v/>
      </c>
      <c r="O11" s="16" t="str">
        <f t="shared" si="2"/>
        <v/>
      </c>
      <c r="P1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1" s="17"/>
    </row>
    <row r="12" spans="1:17" ht="15.5" x14ac:dyDescent="0.35">
      <c r="A12" s="4"/>
      <c r="B12" s="12"/>
      <c r="C12" s="13"/>
      <c r="D12" s="13"/>
      <c r="E12" s="13"/>
      <c r="F12" s="12"/>
      <c r="G12" s="159"/>
      <c r="H12" s="12"/>
      <c r="I12" s="135"/>
      <c r="J12" s="13"/>
      <c r="K12" s="32"/>
      <c r="L12" s="14">
        <f t="shared" si="0"/>
        <v>0</v>
      </c>
      <c r="M12" s="31">
        <f t="shared" si="1"/>
        <v>0</v>
      </c>
      <c r="N12" s="15" t="str">
        <f>IF(Table2683255[[#This Row],[Fault Type]]="PM",IF(L12&lt;=(D12-C12),"Yes","No"),"")</f>
        <v/>
      </c>
      <c r="O12" s="16" t="str">
        <f t="shared" si="2"/>
        <v/>
      </c>
      <c r="P1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2" s="17"/>
    </row>
    <row r="13" spans="1:17" ht="15.5" x14ac:dyDescent="0.35">
      <c r="A13" s="4"/>
      <c r="B13" s="12"/>
      <c r="C13" s="13"/>
      <c r="D13" s="13"/>
      <c r="E13" s="13"/>
      <c r="F13" s="12"/>
      <c r="G13" s="159"/>
      <c r="H13" s="12"/>
      <c r="I13" s="135"/>
      <c r="J13" s="13"/>
      <c r="K13" s="32"/>
      <c r="L13" s="14">
        <f t="shared" si="0"/>
        <v>0</v>
      </c>
      <c r="M13" s="31">
        <f t="shared" si="1"/>
        <v>0</v>
      </c>
      <c r="N13" s="15" t="str">
        <f>IF(Table2683255[[#This Row],[Fault Type]]="PM",IF(L13&lt;=(D13-C13),"Yes","No"),"")</f>
        <v/>
      </c>
      <c r="O13" s="16" t="str">
        <f t="shared" si="2"/>
        <v/>
      </c>
      <c r="P1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3" s="17"/>
    </row>
    <row r="14" spans="1:17" ht="15.5" x14ac:dyDescent="0.35">
      <c r="A14" s="4"/>
      <c r="B14" s="12"/>
      <c r="C14" s="13"/>
      <c r="D14" s="13"/>
      <c r="E14" s="13"/>
      <c r="F14" s="12"/>
      <c r="G14" s="159"/>
      <c r="H14" s="12"/>
      <c r="I14" s="135"/>
      <c r="J14" s="13"/>
      <c r="K14" s="32"/>
      <c r="L14" s="14">
        <f t="shared" si="0"/>
        <v>0</v>
      </c>
      <c r="M14" s="31">
        <f t="shared" si="1"/>
        <v>0</v>
      </c>
      <c r="N14" s="15" t="str">
        <f>IF(Table2683255[[#This Row],[Fault Type]]="PM",IF(L14&lt;=(D14-C14),"Yes","No"),"")</f>
        <v/>
      </c>
      <c r="O14" s="16" t="str">
        <f t="shared" si="2"/>
        <v/>
      </c>
      <c r="P1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4" s="17"/>
    </row>
    <row r="15" spans="1:17" ht="15.5" x14ac:dyDescent="0.35">
      <c r="A15" s="4"/>
      <c r="B15" s="12"/>
      <c r="C15" s="13"/>
      <c r="D15" s="13"/>
      <c r="E15" s="13"/>
      <c r="F15" s="12"/>
      <c r="G15" s="159"/>
      <c r="H15" s="12"/>
      <c r="I15" s="135"/>
      <c r="J15" s="13"/>
      <c r="K15" s="32"/>
      <c r="L15" s="14">
        <f t="shared" si="0"/>
        <v>0</v>
      </c>
      <c r="M15" s="31">
        <f t="shared" si="1"/>
        <v>0</v>
      </c>
      <c r="N15" s="15" t="str">
        <f>IF(Table2683255[[#This Row],[Fault Type]]="PM",IF(L15&lt;=(D15-C15),"Yes","No"),"")</f>
        <v/>
      </c>
      <c r="O15" s="16" t="str">
        <f t="shared" si="2"/>
        <v/>
      </c>
      <c r="P1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5" s="17"/>
    </row>
    <row r="16" spans="1:17" ht="15.5" x14ac:dyDescent="0.35">
      <c r="A16" s="4"/>
      <c r="B16" s="12"/>
      <c r="C16" s="13"/>
      <c r="D16" s="13"/>
      <c r="E16" s="13"/>
      <c r="F16" s="18"/>
      <c r="G16" s="159"/>
      <c r="H16" s="18"/>
      <c r="I16" s="135"/>
      <c r="J16" s="13"/>
      <c r="K16" s="32"/>
      <c r="L16" s="14">
        <f t="shared" si="0"/>
        <v>0</v>
      </c>
      <c r="M16" s="31">
        <f t="shared" si="1"/>
        <v>0</v>
      </c>
      <c r="N16" s="15" t="str">
        <f>IF(Table2683255[[#This Row],[Fault Type]]="PM",IF(L16&lt;=(D16-C16),"Yes","No"),"")</f>
        <v/>
      </c>
      <c r="O16" s="16" t="str">
        <f t="shared" si="2"/>
        <v/>
      </c>
      <c r="P1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6" s="17"/>
    </row>
    <row r="17" spans="1:17" ht="15.5" x14ac:dyDescent="0.35">
      <c r="A17" s="4"/>
      <c r="B17" s="12"/>
      <c r="C17" s="13"/>
      <c r="D17" s="13"/>
      <c r="E17" s="13"/>
      <c r="F17" s="12"/>
      <c r="G17" s="159"/>
      <c r="H17" s="12"/>
      <c r="I17" s="135"/>
      <c r="J17" s="13"/>
      <c r="K17" s="32"/>
      <c r="L17" s="14">
        <f t="shared" si="0"/>
        <v>0</v>
      </c>
      <c r="M17" s="31">
        <f t="shared" si="1"/>
        <v>0</v>
      </c>
      <c r="N17" s="15" t="str">
        <f>IF(Table2683255[[#This Row],[Fault Type]]="PM",IF(L17&lt;=(D17-C17),"Yes","No"),"")</f>
        <v/>
      </c>
      <c r="O17" s="16" t="str">
        <f t="shared" si="2"/>
        <v/>
      </c>
      <c r="P1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7" s="17"/>
    </row>
    <row r="18" spans="1:17" ht="15.5" x14ac:dyDescent="0.35">
      <c r="A18" s="4"/>
      <c r="B18" s="12"/>
      <c r="C18" s="13"/>
      <c r="D18" s="13"/>
      <c r="E18" s="13"/>
      <c r="F18" s="18"/>
      <c r="G18" s="159"/>
      <c r="H18" s="18"/>
      <c r="I18" s="135"/>
      <c r="J18" s="13"/>
      <c r="K18" s="32"/>
      <c r="L18" s="14">
        <f t="shared" si="0"/>
        <v>0</v>
      </c>
      <c r="M18" s="31">
        <f t="shared" si="1"/>
        <v>0</v>
      </c>
      <c r="N18" s="15" t="str">
        <f>IF(Table2683255[[#This Row],[Fault Type]]="PM",IF(L18&lt;=(D18-C18),"Yes","No"),"")</f>
        <v/>
      </c>
      <c r="O18" s="16" t="str">
        <f t="shared" si="2"/>
        <v/>
      </c>
      <c r="P1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8" s="144"/>
    </row>
    <row r="19" spans="1:17" ht="15.5" x14ac:dyDescent="0.35">
      <c r="A19" s="4"/>
      <c r="B19" s="12"/>
      <c r="C19" s="13"/>
      <c r="D19" s="13"/>
      <c r="E19" s="13"/>
      <c r="F19" s="18"/>
      <c r="G19" s="159"/>
      <c r="H19" s="18"/>
      <c r="I19" s="135"/>
      <c r="J19" s="13"/>
      <c r="K19" s="32"/>
      <c r="L19" s="14">
        <f t="shared" si="0"/>
        <v>0</v>
      </c>
      <c r="M19" s="31">
        <f t="shared" si="1"/>
        <v>0</v>
      </c>
      <c r="N19" s="15" t="str">
        <f>IF(Table2683255[[#This Row],[Fault Type]]="PM",IF(L19&lt;=(D19-C19),"Yes","No"),"")</f>
        <v/>
      </c>
      <c r="O19" s="16" t="str">
        <f t="shared" si="2"/>
        <v/>
      </c>
      <c r="P1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19" s="144"/>
    </row>
    <row r="20" spans="1:17" ht="15.75" customHeight="1" x14ac:dyDescent="0.35">
      <c r="A20" s="4"/>
      <c r="B20" s="12"/>
      <c r="C20" s="13"/>
      <c r="D20" s="13"/>
      <c r="E20" s="13"/>
      <c r="F20" s="165"/>
      <c r="G20" s="159"/>
      <c r="H20" s="54"/>
      <c r="I20" s="135"/>
      <c r="J20" s="13"/>
      <c r="K20" s="32"/>
      <c r="L20" s="14">
        <f t="shared" si="0"/>
        <v>0</v>
      </c>
      <c r="M20" s="31">
        <f t="shared" si="1"/>
        <v>0</v>
      </c>
      <c r="N20" s="15" t="str">
        <f>IF(Table2683255[[#This Row],[Fault Type]]="PM",IF(L20&lt;=(D20-C20),"Yes","No"),"")</f>
        <v/>
      </c>
      <c r="O20" s="16" t="str">
        <f t="shared" si="2"/>
        <v/>
      </c>
      <c r="P2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0" s="144"/>
    </row>
    <row r="21" spans="1:17" ht="15.5" x14ac:dyDescent="0.35">
      <c r="A21" s="4"/>
      <c r="B21" s="12"/>
      <c r="C21" s="13"/>
      <c r="D21" s="13"/>
      <c r="E21" s="13"/>
      <c r="F21" s="18"/>
      <c r="G21" s="159"/>
      <c r="H21" s="18"/>
      <c r="I21" s="135"/>
      <c r="J21" s="13"/>
      <c r="K21" s="32"/>
      <c r="L21" s="14">
        <f t="shared" si="0"/>
        <v>0</v>
      </c>
      <c r="M21" s="31">
        <f t="shared" si="1"/>
        <v>0</v>
      </c>
      <c r="N21" s="15" t="str">
        <f>IF(Table2683255[[#This Row],[Fault Type]]="PM",IF(L21&lt;=(D21-C21),"Yes","No"),"")</f>
        <v/>
      </c>
      <c r="O21" s="16" t="str">
        <f t="shared" si="2"/>
        <v/>
      </c>
      <c r="P2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1" s="144"/>
    </row>
    <row r="22" spans="1:17" ht="15.5" x14ac:dyDescent="0.35">
      <c r="A22" s="158"/>
      <c r="B22" s="12"/>
      <c r="C22" s="13"/>
      <c r="D22" s="13"/>
      <c r="E22" s="13"/>
      <c r="F22" s="18"/>
      <c r="G22" s="159"/>
      <c r="H22" s="18"/>
      <c r="I22" s="135"/>
      <c r="J22" s="13"/>
      <c r="K22" s="32"/>
      <c r="L22" s="14">
        <f t="shared" si="0"/>
        <v>0</v>
      </c>
      <c r="M22" s="31">
        <f t="shared" si="1"/>
        <v>0</v>
      </c>
      <c r="N22" s="15" t="str">
        <f>IF(Table2683255[[#This Row],[Fault Type]]="PM",IF(L22&lt;=(D22-C22),"Yes","No"),"")</f>
        <v/>
      </c>
      <c r="O22" s="16" t="str">
        <f t="shared" si="2"/>
        <v/>
      </c>
      <c r="P2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2" s="144"/>
    </row>
    <row r="23" spans="1:17" ht="15.5" x14ac:dyDescent="0.35">
      <c r="A23" s="4"/>
      <c r="B23" s="12"/>
      <c r="C23" s="13"/>
      <c r="D23" s="13"/>
      <c r="E23" s="13"/>
      <c r="F23" s="18"/>
      <c r="G23" s="159"/>
      <c r="H23" s="18"/>
      <c r="I23" s="135"/>
      <c r="J23" s="13"/>
      <c r="K23" s="32"/>
      <c r="L23" s="14">
        <f t="shared" si="0"/>
        <v>0</v>
      </c>
      <c r="M23" s="31">
        <f t="shared" si="1"/>
        <v>0</v>
      </c>
      <c r="N23" s="15" t="str">
        <f>IF(Table2683255[[#This Row],[Fault Type]]="PM",IF(L23&lt;=(D23-C23),"Yes","No"),"")</f>
        <v/>
      </c>
      <c r="O23" s="16" t="str">
        <f t="shared" si="2"/>
        <v/>
      </c>
      <c r="P2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3" s="144"/>
    </row>
    <row r="24" spans="1:17" ht="15.5" x14ac:dyDescent="0.35">
      <c r="A24" s="4"/>
      <c r="B24" s="12"/>
      <c r="C24" s="13"/>
      <c r="D24" s="13"/>
      <c r="E24" s="13"/>
      <c r="F24" s="18"/>
      <c r="G24" s="159"/>
      <c r="H24" s="18"/>
      <c r="I24" s="135"/>
      <c r="J24" s="13"/>
      <c r="K24" s="32"/>
      <c r="L24" s="14">
        <f t="shared" si="0"/>
        <v>0</v>
      </c>
      <c r="M24" s="31">
        <f t="shared" ref="M24:M78" si="3">L24*F24</f>
        <v>0</v>
      </c>
      <c r="N24" s="15" t="str">
        <f>IF(Table2683255[[#This Row],[Fault Type]]="PM",IF(L24&lt;=(D24-C24),"Yes","No"),"")</f>
        <v/>
      </c>
      <c r="O24" s="16" t="str">
        <f t="shared" si="2"/>
        <v/>
      </c>
      <c r="P2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4" s="144"/>
    </row>
    <row r="25" spans="1:17" ht="15.5" x14ac:dyDescent="0.35">
      <c r="A25" s="4"/>
      <c r="B25" s="12"/>
      <c r="C25" s="13"/>
      <c r="D25" s="13"/>
      <c r="E25" s="13"/>
      <c r="F25" s="18"/>
      <c r="G25" s="159"/>
      <c r="H25" s="18"/>
      <c r="I25" s="135"/>
      <c r="J25" s="13"/>
      <c r="K25" s="32"/>
      <c r="L25" s="14">
        <f t="shared" si="0"/>
        <v>0</v>
      </c>
      <c r="M25" s="31">
        <f t="shared" si="3"/>
        <v>0</v>
      </c>
      <c r="N25" s="15" t="str">
        <f>IF(Table2683255[[#This Row],[Fault Type]]="PM",IF(L25&lt;=(D25-C25),"Yes","No"),"")</f>
        <v/>
      </c>
      <c r="O25" s="16" t="str">
        <f t="shared" si="2"/>
        <v/>
      </c>
      <c r="P2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5" s="144"/>
    </row>
    <row r="26" spans="1:17" ht="15.5" x14ac:dyDescent="0.35">
      <c r="A26" s="4"/>
      <c r="B26" s="12"/>
      <c r="C26" s="13"/>
      <c r="D26" s="13"/>
      <c r="E26" s="13"/>
      <c r="F26" s="12"/>
      <c r="G26" s="159"/>
      <c r="H26" s="12"/>
      <c r="I26" s="135"/>
      <c r="J26" s="13"/>
      <c r="K26" s="32"/>
      <c r="L26" s="14">
        <f t="shared" si="0"/>
        <v>0</v>
      </c>
      <c r="M26" s="31">
        <f t="shared" si="3"/>
        <v>0</v>
      </c>
      <c r="N26" s="15" t="str">
        <f>IF(Table2683255[[#This Row],[Fault Type]]="PM",IF(L26&lt;=(D26-C26),"Yes","No"),"")</f>
        <v/>
      </c>
      <c r="O26" s="16" t="str">
        <f t="shared" si="2"/>
        <v/>
      </c>
      <c r="P2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6" s="17"/>
    </row>
    <row r="27" spans="1:17" ht="15.5" x14ac:dyDescent="0.35">
      <c r="A27" s="4"/>
      <c r="B27" s="12"/>
      <c r="C27" s="13"/>
      <c r="D27" s="13"/>
      <c r="E27" s="13"/>
      <c r="F27" s="18"/>
      <c r="G27" s="159"/>
      <c r="H27" s="18"/>
      <c r="I27" s="135"/>
      <c r="J27" s="13"/>
      <c r="K27" s="32"/>
      <c r="L27" s="14">
        <f t="shared" si="0"/>
        <v>0</v>
      </c>
      <c r="M27" s="31">
        <f t="shared" si="3"/>
        <v>0</v>
      </c>
      <c r="N27" s="15" t="str">
        <f>IF(Table2683255[[#This Row],[Fault Type]]="PM",IF(L27&lt;=(D27-C27),"Yes","No"),"")</f>
        <v/>
      </c>
      <c r="O27" s="16" t="str">
        <f t="shared" si="2"/>
        <v/>
      </c>
      <c r="P2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7" s="17"/>
    </row>
    <row r="28" spans="1:17" ht="15.5" x14ac:dyDescent="0.35">
      <c r="A28" s="4"/>
      <c r="B28" s="12"/>
      <c r="C28" s="13"/>
      <c r="D28" s="13"/>
      <c r="E28" s="13"/>
      <c r="F28" s="18"/>
      <c r="G28" s="159"/>
      <c r="H28" s="18"/>
      <c r="I28" s="135"/>
      <c r="J28" s="13"/>
      <c r="K28" s="32"/>
      <c r="L28" s="14">
        <f t="shared" si="0"/>
        <v>0</v>
      </c>
      <c r="M28" s="31">
        <f t="shared" si="3"/>
        <v>0</v>
      </c>
      <c r="N28" s="15" t="str">
        <f>IF(Table2683255[[#This Row],[Fault Type]]="PM",IF(L28&lt;=(D28-C28),"Yes","No"),"")</f>
        <v/>
      </c>
      <c r="O28" s="16" t="str">
        <f t="shared" si="2"/>
        <v/>
      </c>
      <c r="P2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8" s="17"/>
    </row>
    <row r="29" spans="1:17" ht="15.5" x14ac:dyDescent="0.35">
      <c r="A29" s="4"/>
      <c r="B29" s="12"/>
      <c r="C29" s="13"/>
      <c r="D29" s="13"/>
      <c r="E29" s="13"/>
      <c r="F29" s="12"/>
      <c r="G29" s="159"/>
      <c r="H29" s="12"/>
      <c r="I29" s="135"/>
      <c r="J29" s="13"/>
      <c r="K29" s="32"/>
      <c r="L29" s="14">
        <f t="shared" si="0"/>
        <v>0</v>
      </c>
      <c r="M29" s="31">
        <f t="shared" si="3"/>
        <v>0</v>
      </c>
      <c r="N29" s="15" t="str">
        <f>IF(Table2683255[[#This Row],[Fault Type]]="PM",IF(L29&lt;=(D29-C29),"Yes","No"),"")</f>
        <v/>
      </c>
      <c r="O29" s="16" t="str">
        <f t="shared" si="2"/>
        <v/>
      </c>
      <c r="P2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29" s="17"/>
    </row>
    <row r="30" spans="1:17" ht="15.5" x14ac:dyDescent="0.35">
      <c r="A30" s="4"/>
      <c r="B30" s="12"/>
      <c r="C30" s="13"/>
      <c r="D30" s="13"/>
      <c r="E30" s="13"/>
      <c r="F30" s="18"/>
      <c r="G30" s="159"/>
      <c r="H30" s="18"/>
      <c r="I30" s="135"/>
      <c r="J30" s="13"/>
      <c r="K30" s="32"/>
      <c r="L30" s="14">
        <f t="shared" si="0"/>
        <v>0</v>
      </c>
      <c r="M30" s="31">
        <f t="shared" si="3"/>
        <v>0</v>
      </c>
      <c r="N30" s="15" t="str">
        <f>IF(Table2683255[[#This Row],[Fault Type]]="PM",IF(L30&lt;=(D30-C30),"Yes","No"),"")</f>
        <v/>
      </c>
      <c r="O30" s="16" t="str">
        <f t="shared" si="2"/>
        <v/>
      </c>
      <c r="P3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0" s="17"/>
    </row>
    <row r="31" spans="1:17" ht="15.5" x14ac:dyDescent="0.35">
      <c r="A31" s="4"/>
      <c r="B31" s="12"/>
      <c r="C31" s="13"/>
      <c r="D31" s="13"/>
      <c r="E31" s="13"/>
      <c r="F31" s="18"/>
      <c r="G31" s="159"/>
      <c r="H31" s="18"/>
      <c r="I31" s="135"/>
      <c r="J31" s="13"/>
      <c r="K31" s="32"/>
      <c r="L31" s="14">
        <f t="shared" si="0"/>
        <v>0</v>
      </c>
      <c r="M31" s="31">
        <f t="shared" si="3"/>
        <v>0</v>
      </c>
      <c r="N31" s="15" t="str">
        <f>IF(Table2683255[[#This Row],[Fault Type]]="PM",IF(L31&lt;=(D31-C31),"Yes","No"),"")</f>
        <v/>
      </c>
      <c r="O31" s="16" t="str">
        <f t="shared" si="2"/>
        <v/>
      </c>
      <c r="P3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1" s="17"/>
    </row>
    <row r="32" spans="1:17" ht="15.5" x14ac:dyDescent="0.35">
      <c r="A32" s="4"/>
      <c r="B32" s="12"/>
      <c r="C32" s="13"/>
      <c r="D32" s="13"/>
      <c r="E32" s="13"/>
      <c r="F32" s="18"/>
      <c r="G32" s="159"/>
      <c r="H32" s="18"/>
      <c r="I32" s="135"/>
      <c r="J32" s="13"/>
      <c r="K32" s="32"/>
      <c r="L32" s="14">
        <f t="shared" si="0"/>
        <v>0</v>
      </c>
      <c r="M32" s="31">
        <f t="shared" si="3"/>
        <v>0</v>
      </c>
      <c r="N32" s="15" t="str">
        <f>IF(Table2683255[[#This Row],[Fault Type]]="PM",IF(L32&lt;=(D32-C32),"Yes","No"),"")</f>
        <v/>
      </c>
      <c r="O32" s="16" t="str">
        <f t="shared" si="2"/>
        <v/>
      </c>
      <c r="P3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2" s="17"/>
    </row>
    <row r="33" spans="1:17" ht="15.5" x14ac:dyDescent="0.35">
      <c r="A33" s="4"/>
      <c r="B33" s="12"/>
      <c r="C33" s="13"/>
      <c r="D33" s="13"/>
      <c r="E33" s="13"/>
      <c r="F33" s="18"/>
      <c r="G33" s="159"/>
      <c r="H33" s="18"/>
      <c r="I33" s="135"/>
      <c r="J33" s="13"/>
      <c r="K33" s="32"/>
      <c r="L33" s="14">
        <f t="shared" si="0"/>
        <v>0</v>
      </c>
      <c r="M33" s="31">
        <f t="shared" si="3"/>
        <v>0</v>
      </c>
      <c r="N33" s="15" t="str">
        <f>IF(Table2683255[[#This Row],[Fault Type]]="PM",IF(L33&lt;=(D33-C33),"Yes","No"),"")</f>
        <v/>
      </c>
      <c r="O33" s="16" t="str">
        <f t="shared" si="2"/>
        <v/>
      </c>
      <c r="P3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3" s="17"/>
    </row>
    <row r="34" spans="1:17" ht="15.5" x14ac:dyDescent="0.35">
      <c r="A34" s="158"/>
      <c r="B34" s="12"/>
      <c r="C34" s="13"/>
      <c r="D34" s="13"/>
      <c r="E34" s="13"/>
      <c r="F34" s="18"/>
      <c r="G34" s="159"/>
      <c r="H34" s="18"/>
      <c r="I34" s="135"/>
      <c r="J34" s="13"/>
      <c r="K34" s="32"/>
      <c r="L34" s="14">
        <f t="shared" si="0"/>
        <v>0</v>
      </c>
      <c r="M34" s="31">
        <f t="shared" si="3"/>
        <v>0</v>
      </c>
      <c r="N34" s="15" t="str">
        <f>IF(Table2683255[[#This Row],[Fault Type]]="PM",IF(L34&lt;=(D34-C34),"Yes","No"),"")</f>
        <v/>
      </c>
      <c r="O34" s="16" t="str">
        <f t="shared" si="2"/>
        <v/>
      </c>
      <c r="P3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4" s="17"/>
    </row>
    <row r="35" spans="1:17" ht="15.5" x14ac:dyDescent="0.35">
      <c r="A35" s="4"/>
      <c r="B35" s="12"/>
      <c r="C35" s="13"/>
      <c r="D35" s="13"/>
      <c r="E35" s="13"/>
      <c r="F35" s="18"/>
      <c r="G35" s="159"/>
      <c r="H35" s="18"/>
      <c r="I35" s="135"/>
      <c r="J35" s="13"/>
      <c r="K35" s="32"/>
      <c r="L35" s="14">
        <f t="shared" si="0"/>
        <v>0</v>
      </c>
      <c r="M35" s="31">
        <f t="shared" si="3"/>
        <v>0</v>
      </c>
      <c r="N35" s="15" t="str">
        <f>IF(Table2683255[[#This Row],[Fault Type]]="PM",IF(L35&lt;=(D35-C35),"Yes","No"),"")</f>
        <v/>
      </c>
      <c r="O35" s="16" t="str">
        <f t="shared" si="2"/>
        <v/>
      </c>
      <c r="P3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5" s="17"/>
    </row>
    <row r="36" spans="1:17" s="157" customFormat="1" ht="15.5" x14ac:dyDescent="0.35">
      <c r="A36" s="158"/>
      <c r="B36" s="159"/>
      <c r="C36" s="160"/>
      <c r="D36" s="160"/>
      <c r="E36" s="160"/>
      <c r="F36" s="165"/>
      <c r="G36" s="159"/>
      <c r="H36" s="165"/>
      <c r="I36" s="135"/>
      <c r="J36" s="160"/>
      <c r="K36" s="168"/>
      <c r="L36" s="161">
        <f t="shared" si="0"/>
        <v>0</v>
      </c>
      <c r="M36" s="167">
        <f t="shared" si="3"/>
        <v>0</v>
      </c>
      <c r="N36" s="162" t="str">
        <f>IF(Table2683255[[#This Row],[Fault Type]]="PM",IF(L36&lt;=(D36-C36),"Yes","No"),"")</f>
        <v/>
      </c>
      <c r="O36" s="163" t="str">
        <f t="shared" si="2"/>
        <v/>
      </c>
      <c r="P36" s="166"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6" s="164"/>
    </row>
    <row r="37" spans="1:17" ht="15.5" x14ac:dyDescent="0.35">
      <c r="A37" s="4"/>
      <c r="B37" s="12"/>
      <c r="C37" s="13"/>
      <c r="D37" s="13"/>
      <c r="E37" s="13"/>
      <c r="F37" s="18"/>
      <c r="G37" s="159"/>
      <c r="H37" s="18"/>
      <c r="I37" s="135"/>
      <c r="J37" s="13"/>
      <c r="K37" s="32"/>
      <c r="L37" s="14">
        <f t="shared" si="0"/>
        <v>0</v>
      </c>
      <c r="M37" s="31">
        <f t="shared" si="3"/>
        <v>0</v>
      </c>
      <c r="N37" s="15" t="str">
        <f>IF(Table2683255[[#This Row],[Fault Type]]="PM",IF(L37&lt;=(D37-C37),"Yes","No"),"")</f>
        <v/>
      </c>
      <c r="O37" s="16" t="str">
        <f t="shared" si="2"/>
        <v/>
      </c>
      <c r="P3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7" s="17"/>
    </row>
    <row r="38" spans="1:17" ht="15.5" x14ac:dyDescent="0.35">
      <c r="A38" s="4"/>
      <c r="B38" s="12"/>
      <c r="C38" s="13"/>
      <c r="D38" s="13"/>
      <c r="E38" s="13"/>
      <c r="F38" s="18"/>
      <c r="G38" s="159"/>
      <c r="H38" s="18"/>
      <c r="I38" s="135"/>
      <c r="J38" s="13"/>
      <c r="K38" s="32"/>
      <c r="L38" s="14">
        <f t="shared" si="0"/>
        <v>0</v>
      </c>
      <c r="M38" s="31">
        <f t="shared" si="3"/>
        <v>0</v>
      </c>
      <c r="N38" s="15" t="str">
        <f>IF(Table2683255[[#This Row],[Fault Type]]="PM",IF(L38&lt;=(D38-C38),"Yes","No"),"")</f>
        <v/>
      </c>
      <c r="O38" s="16" t="str">
        <f t="shared" si="2"/>
        <v/>
      </c>
      <c r="P3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8" s="17"/>
    </row>
    <row r="39" spans="1:17" ht="17.25" customHeight="1" x14ac:dyDescent="0.35">
      <c r="A39" s="4"/>
      <c r="B39" s="12"/>
      <c r="C39" s="13"/>
      <c r="D39" s="13"/>
      <c r="E39" s="13"/>
      <c r="F39" s="18"/>
      <c r="G39" s="159"/>
      <c r="H39" s="18"/>
      <c r="I39" s="135"/>
      <c r="J39" s="13"/>
      <c r="K39" s="32"/>
      <c r="L39" s="14">
        <f t="shared" si="0"/>
        <v>0</v>
      </c>
      <c r="M39" s="31">
        <f t="shared" si="3"/>
        <v>0</v>
      </c>
      <c r="N39" s="15" t="str">
        <f>IF(Table2683255[[#This Row],[Fault Type]]="PM",IF(L39&lt;=(D39-C39),"Yes","No"),"")</f>
        <v/>
      </c>
      <c r="O39" s="16" t="str">
        <f t="shared" si="2"/>
        <v/>
      </c>
      <c r="P3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39" s="17"/>
    </row>
    <row r="40" spans="1:17" ht="15.5" x14ac:dyDescent="0.35">
      <c r="A40" s="4"/>
      <c r="B40" s="12"/>
      <c r="C40" s="13"/>
      <c r="D40" s="13"/>
      <c r="E40" s="13"/>
      <c r="F40" s="18"/>
      <c r="G40" s="159"/>
      <c r="H40" s="18"/>
      <c r="I40" s="135"/>
      <c r="J40" s="13"/>
      <c r="K40" s="32"/>
      <c r="L40" s="14">
        <f t="shared" si="0"/>
        <v>0</v>
      </c>
      <c r="M40" s="31">
        <f t="shared" si="3"/>
        <v>0</v>
      </c>
      <c r="N40" s="15" t="str">
        <f>IF(Table2683255[[#This Row],[Fault Type]]="PM",IF(L40&lt;=(D40-C40),"Yes","No"),"")</f>
        <v/>
      </c>
      <c r="O40" s="16" t="str">
        <f t="shared" si="2"/>
        <v/>
      </c>
      <c r="P4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0" s="17"/>
    </row>
    <row r="41" spans="1:17" ht="15.5" x14ac:dyDescent="0.35">
      <c r="A41" s="4"/>
      <c r="B41" s="12"/>
      <c r="C41" s="13"/>
      <c r="D41" s="13"/>
      <c r="E41" s="13"/>
      <c r="F41" s="18"/>
      <c r="G41" s="159"/>
      <c r="H41" s="18"/>
      <c r="I41" s="135"/>
      <c r="J41" s="13"/>
      <c r="K41" s="32"/>
      <c r="L41" s="14">
        <f t="shared" si="0"/>
        <v>0</v>
      </c>
      <c r="M41" s="31">
        <f t="shared" si="3"/>
        <v>0</v>
      </c>
      <c r="N41" s="15" t="str">
        <f>IF(Table2683255[[#This Row],[Fault Type]]="PM",IF(L41&lt;=(D41-C41),"Yes","No"),"")</f>
        <v/>
      </c>
      <c r="O41" s="16" t="str">
        <f t="shared" si="2"/>
        <v/>
      </c>
      <c r="P4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1" s="17"/>
    </row>
    <row r="42" spans="1:17" ht="15.5" x14ac:dyDescent="0.35">
      <c r="A42" s="4"/>
      <c r="B42" s="12"/>
      <c r="C42" s="13"/>
      <c r="D42" s="13"/>
      <c r="E42" s="13"/>
      <c r="F42" s="18"/>
      <c r="G42" s="159"/>
      <c r="H42" s="18"/>
      <c r="I42" s="135"/>
      <c r="J42" s="13"/>
      <c r="K42" s="32"/>
      <c r="L42" s="14">
        <f t="shared" si="0"/>
        <v>0</v>
      </c>
      <c r="M42" s="31">
        <f t="shared" si="3"/>
        <v>0</v>
      </c>
      <c r="N42" s="15" t="str">
        <f>IF(Table2683255[[#This Row],[Fault Type]]="PM",IF(L42&lt;=(D42-C42),"Yes","No"),"")</f>
        <v/>
      </c>
      <c r="O42" s="16" t="str">
        <f t="shared" si="2"/>
        <v/>
      </c>
      <c r="P4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2" s="17"/>
    </row>
    <row r="43" spans="1:17" ht="15.5" x14ac:dyDescent="0.35">
      <c r="A43" s="4"/>
      <c r="B43" s="12"/>
      <c r="C43" s="13"/>
      <c r="D43" s="13"/>
      <c r="E43" s="13"/>
      <c r="F43" s="18"/>
      <c r="G43" s="159"/>
      <c r="H43" s="18"/>
      <c r="I43" s="135"/>
      <c r="J43" s="13"/>
      <c r="K43" s="32"/>
      <c r="L43" s="14">
        <f t="shared" si="0"/>
        <v>0</v>
      </c>
      <c r="M43" s="31">
        <f t="shared" si="3"/>
        <v>0</v>
      </c>
      <c r="N43" s="15" t="str">
        <f>IF(Table2683255[[#This Row],[Fault Type]]="PM",IF(L43&lt;=(D43-C43),"Yes","No"),"")</f>
        <v/>
      </c>
      <c r="O43" s="16" t="str">
        <f t="shared" si="2"/>
        <v/>
      </c>
      <c r="P4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3" s="17"/>
    </row>
    <row r="44" spans="1:17" ht="15.75" customHeight="1" x14ac:dyDescent="0.35">
      <c r="A44" s="4"/>
      <c r="B44" s="12"/>
      <c r="C44" s="13"/>
      <c r="D44" s="13"/>
      <c r="E44" s="13"/>
      <c r="F44" s="12"/>
      <c r="G44" s="159"/>
      <c r="H44" s="12"/>
      <c r="I44" s="135"/>
      <c r="J44" s="13"/>
      <c r="K44" s="32"/>
      <c r="L44" s="14">
        <f t="shared" si="0"/>
        <v>0</v>
      </c>
      <c r="M44" s="31">
        <f t="shared" si="3"/>
        <v>0</v>
      </c>
      <c r="N44" s="15" t="str">
        <f>IF(Table2683255[[#This Row],[Fault Type]]="PM",IF(L44&lt;=(D44-C44),"Yes","No"),"")</f>
        <v/>
      </c>
      <c r="O44" s="16" t="str">
        <f t="shared" si="2"/>
        <v/>
      </c>
      <c r="P4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4" s="17"/>
    </row>
    <row r="45" spans="1:17" ht="15.5" x14ac:dyDescent="0.35">
      <c r="A45" s="4"/>
      <c r="B45" s="12"/>
      <c r="C45" s="13"/>
      <c r="D45" s="13"/>
      <c r="E45" s="13"/>
      <c r="F45" s="18"/>
      <c r="G45" s="159"/>
      <c r="H45" s="18"/>
      <c r="I45" s="135"/>
      <c r="J45" s="13"/>
      <c r="K45" s="32"/>
      <c r="L45" s="14">
        <f t="shared" si="0"/>
        <v>0</v>
      </c>
      <c r="M45" s="31">
        <f t="shared" si="3"/>
        <v>0</v>
      </c>
      <c r="N45" s="15" t="str">
        <f>IF(Table2683255[[#This Row],[Fault Type]]="PM",IF(L45&lt;=(D45-C45),"Yes","No"),"")</f>
        <v/>
      </c>
      <c r="O45" s="16" t="str">
        <f t="shared" si="2"/>
        <v/>
      </c>
      <c r="P4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5" s="17"/>
    </row>
    <row r="46" spans="1:17" ht="15.5" x14ac:dyDescent="0.35">
      <c r="A46" s="4"/>
      <c r="B46" s="49"/>
      <c r="C46" s="49"/>
      <c r="D46" s="49"/>
      <c r="E46" s="13"/>
      <c r="F46" s="64"/>
      <c r="G46" s="159"/>
      <c r="H46" s="54"/>
      <c r="I46" s="135"/>
      <c r="J46" s="13"/>
      <c r="K46" s="32"/>
      <c r="L46" s="14">
        <f t="shared" si="0"/>
        <v>0</v>
      </c>
      <c r="M46" s="53">
        <f t="shared" si="3"/>
        <v>0</v>
      </c>
      <c r="N46" s="50" t="str">
        <f>IF(Table2683255[[#This Row],[Fault Type]]="PM",IF(L46&lt;=(D46-C46),"Yes","No"),"")</f>
        <v/>
      </c>
      <c r="O46" s="51" t="str">
        <f t="shared" si="2"/>
        <v/>
      </c>
      <c r="P4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row>
    <row r="47" spans="1:17" ht="15.5" x14ac:dyDescent="0.35">
      <c r="A47" s="58"/>
      <c r="B47" s="55"/>
      <c r="C47" s="56"/>
      <c r="D47" s="56"/>
      <c r="E47" s="13"/>
      <c r="F47" s="55"/>
      <c r="G47" s="159"/>
      <c r="H47" s="57"/>
      <c r="I47" s="135"/>
      <c r="J47" s="13"/>
      <c r="K47" s="32"/>
      <c r="L47" s="14">
        <f t="shared" si="0"/>
        <v>0</v>
      </c>
      <c r="M47" s="59">
        <f t="shared" si="3"/>
        <v>0</v>
      </c>
      <c r="N47" s="61" t="str">
        <f>IF(Table2683255[[#This Row],[Fault Type]]="PM",IF(L47&lt;=(D47-C47),"Yes","No"),"")</f>
        <v/>
      </c>
      <c r="O47" s="62" t="str">
        <f t="shared" si="2"/>
        <v/>
      </c>
      <c r="P4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7" s="63"/>
    </row>
    <row r="48" spans="1:17" ht="15.5" x14ac:dyDescent="0.35">
      <c r="A48" s="58"/>
      <c r="B48" s="55"/>
      <c r="C48" s="56"/>
      <c r="D48" s="56"/>
      <c r="E48" s="13"/>
      <c r="F48" s="55"/>
      <c r="G48" s="159"/>
      <c r="H48" s="57"/>
      <c r="I48" s="135"/>
      <c r="J48" s="13"/>
      <c r="K48" s="32"/>
      <c r="L48" s="14">
        <f t="shared" si="0"/>
        <v>0</v>
      </c>
      <c r="M48" s="59">
        <f t="shared" si="3"/>
        <v>0</v>
      </c>
      <c r="N48" s="61" t="str">
        <f>IF(Table2683255[[#This Row],[Fault Type]]="PM",IF(L48&lt;=(D48-C48),"Yes","No"),"")</f>
        <v/>
      </c>
      <c r="O48" s="62" t="str">
        <f t="shared" si="2"/>
        <v/>
      </c>
      <c r="P4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8" s="63"/>
    </row>
    <row r="49" spans="1:17" ht="15.5" x14ac:dyDescent="0.35">
      <c r="A49" s="58"/>
      <c r="B49" s="55"/>
      <c r="C49" s="56"/>
      <c r="D49" s="56"/>
      <c r="E49" s="13"/>
      <c r="F49" s="55"/>
      <c r="G49" s="159"/>
      <c r="H49" s="57"/>
      <c r="I49" s="135"/>
      <c r="J49" s="13"/>
      <c r="K49" s="32"/>
      <c r="L49" s="14">
        <f t="shared" si="0"/>
        <v>0</v>
      </c>
      <c r="M49" s="59">
        <f t="shared" si="3"/>
        <v>0</v>
      </c>
      <c r="N49" s="61" t="str">
        <f>IF(Table2683255[[#This Row],[Fault Type]]="PM",IF(L49&lt;=(D49-C49),"Yes","No"),"")</f>
        <v/>
      </c>
      <c r="O49" s="62" t="str">
        <f t="shared" si="2"/>
        <v/>
      </c>
      <c r="P4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49" s="63"/>
    </row>
    <row r="50" spans="1:17" ht="15.5" x14ac:dyDescent="0.35">
      <c r="A50" s="58"/>
      <c r="B50" s="55"/>
      <c r="C50" s="56"/>
      <c r="D50" s="56"/>
      <c r="E50" s="13"/>
      <c r="F50" s="55"/>
      <c r="G50" s="159"/>
      <c r="H50" s="57"/>
      <c r="I50" s="135"/>
      <c r="J50" s="13"/>
      <c r="K50" s="32"/>
      <c r="L50" s="14">
        <f t="shared" si="0"/>
        <v>0</v>
      </c>
      <c r="M50" s="59">
        <f t="shared" si="3"/>
        <v>0</v>
      </c>
      <c r="N50" s="61" t="str">
        <f>IF(Table2683255[[#This Row],[Fault Type]]="PM",IF(L50&lt;=(D50-C50),"Yes","No"),"")</f>
        <v/>
      </c>
      <c r="O50" s="62" t="str">
        <f t="shared" si="2"/>
        <v/>
      </c>
      <c r="P5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0" s="63"/>
    </row>
    <row r="51" spans="1:17" ht="15.5" x14ac:dyDescent="0.35">
      <c r="A51" s="58"/>
      <c r="B51" s="55"/>
      <c r="C51" s="56"/>
      <c r="D51" s="56"/>
      <c r="E51" s="13"/>
      <c r="F51" s="55"/>
      <c r="G51" s="159"/>
      <c r="H51" s="57"/>
      <c r="I51" s="135"/>
      <c r="J51" s="13"/>
      <c r="K51" s="32"/>
      <c r="L51" s="14">
        <f t="shared" si="0"/>
        <v>0</v>
      </c>
      <c r="M51" s="59">
        <f t="shared" si="3"/>
        <v>0</v>
      </c>
      <c r="N51" s="61" t="str">
        <f>IF(Table2683255[[#This Row],[Fault Type]]="PM",IF(L51&lt;=(D51-C51),"Yes","No"),"")</f>
        <v/>
      </c>
      <c r="O51" s="62" t="str">
        <f t="shared" si="2"/>
        <v/>
      </c>
      <c r="P5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1" s="63"/>
    </row>
    <row r="52" spans="1:17" ht="15.5" x14ac:dyDescent="0.35">
      <c r="A52" s="58"/>
      <c r="B52" s="55"/>
      <c r="C52" s="56"/>
      <c r="D52" s="56"/>
      <c r="E52" s="13"/>
      <c r="F52" s="55"/>
      <c r="G52" s="159"/>
      <c r="H52" s="57"/>
      <c r="I52" s="135"/>
      <c r="J52" s="13"/>
      <c r="K52" s="32"/>
      <c r="L52" s="14">
        <f t="shared" si="0"/>
        <v>0</v>
      </c>
      <c r="M52" s="59">
        <f t="shared" si="3"/>
        <v>0</v>
      </c>
      <c r="N52" s="61" t="str">
        <f>IF(Table2683255[[#This Row],[Fault Type]]="PM",IF(L52&lt;=(D52-C52),"Yes","No"),"")</f>
        <v/>
      </c>
      <c r="O52" s="62" t="str">
        <f t="shared" si="2"/>
        <v/>
      </c>
      <c r="P5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2" s="63"/>
    </row>
    <row r="53" spans="1:17" ht="15.5" x14ac:dyDescent="0.35">
      <c r="A53" s="58"/>
      <c r="B53" s="55"/>
      <c r="C53" s="56"/>
      <c r="D53" s="56"/>
      <c r="E53" s="13"/>
      <c r="F53" s="55"/>
      <c r="G53" s="159"/>
      <c r="H53" s="57"/>
      <c r="I53" s="135"/>
      <c r="J53" s="13"/>
      <c r="K53" s="32"/>
      <c r="L53" s="14">
        <f t="shared" si="0"/>
        <v>0</v>
      </c>
      <c r="M53" s="59">
        <f t="shared" si="3"/>
        <v>0</v>
      </c>
      <c r="N53" s="61" t="str">
        <f>IF(Table2683255[[#This Row],[Fault Type]]="PM",IF(L53&lt;=(D53-C53),"Yes","No"),"")</f>
        <v/>
      </c>
      <c r="O53" s="62" t="str">
        <f t="shared" si="2"/>
        <v/>
      </c>
      <c r="P5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3" s="63"/>
    </row>
    <row r="54" spans="1:17" ht="15.5" x14ac:dyDescent="0.35">
      <c r="A54" s="58"/>
      <c r="B54" s="55"/>
      <c r="C54" s="56"/>
      <c r="D54" s="56"/>
      <c r="E54" s="13"/>
      <c r="F54" s="55"/>
      <c r="G54" s="159"/>
      <c r="H54" s="57"/>
      <c r="I54" s="135"/>
      <c r="J54" s="13"/>
      <c r="K54" s="32"/>
      <c r="L54" s="14">
        <f t="shared" si="0"/>
        <v>0</v>
      </c>
      <c r="M54" s="59">
        <f t="shared" si="3"/>
        <v>0</v>
      </c>
      <c r="N54" s="61" t="str">
        <f>IF(Table2683255[[#This Row],[Fault Type]]="PM",IF(L54&lt;=(D54-C54),"Yes","No"),"")</f>
        <v/>
      </c>
      <c r="O54" s="62" t="str">
        <f t="shared" si="2"/>
        <v/>
      </c>
      <c r="P5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4" s="63"/>
    </row>
    <row r="55" spans="1:17" ht="15.5" x14ac:dyDescent="0.35">
      <c r="A55" s="58"/>
      <c r="B55" s="55"/>
      <c r="C55" s="56"/>
      <c r="D55" s="56"/>
      <c r="E55" s="13"/>
      <c r="F55" s="55"/>
      <c r="G55" s="159"/>
      <c r="H55" s="57"/>
      <c r="I55" s="135"/>
      <c r="J55" s="13"/>
      <c r="K55" s="32"/>
      <c r="L55" s="14">
        <f t="shared" si="0"/>
        <v>0</v>
      </c>
      <c r="M55" s="59">
        <f t="shared" si="3"/>
        <v>0</v>
      </c>
      <c r="N55" s="61" t="str">
        <f>IF(Table2683255[[#This Row],[Fault Type]]="PM",IF(L55&lt;=(D55-C55),"Yes","No"),"")</f>
        <v/>
      </c>
      <c r="O55" s="62" t="str">
        <f t="shared" si="2"/>
        <v/>
      </c>
      <c r="P5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5" s="63"/>
    </row>
    <row r="56" spans="1:17" ht="15.5" x14ac:dyDescent="0.35">
      <c r="A56" s="58"/>
      <c r="B56" s="55"/>
      <c r="C56" s="56"/>
      <c r="D56" s="56"/>
      <c r="E56" s="13"/>
      <c r="F56" s="55"/>
      <c r="G56" s="159"/>
      <c r="H56" s="57"/>
      <c r="I56" s="135"/>
      <c r="J56" s="13"/>
      <c r="K56" s="60"/>
      <c r="L56" s="14">
        <f t="shared" si="0"/>
        <v>0</v>
      </c>
      <c r="M56" s="59">
        <f t="shared" si="3"/>
        <v>0</v>
      </c>
      <c r="N56" s="61" t="str">
        <f>IF(Table2683255[[#This Row],[Fault Type]]="PM",IF(L56&lt;=(D56-C56),"Yes","No"),"")</f>
        <v/>
      </c>
      <c r="O56" s="62" t="str">
        <f t="shared" si="2"/>
        <v/>
      </c>
      <c r="P5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6" s="63"/>
    </row>
    <row r="57" spans="1:17" ht="15.5" x14ac:dyDescent="0.35">
      <c r="A57" s="58"/>
      <c r="B57" s="55"/>
      <c r="C57" s="56"/>
      <c r="D57" s="56"/>
      <c r="E57" s="13"/>
      <c r="F57" s="55"/>
      <c r="G57" s="159"/>
      <c r="H57" s="57"/>
      <c r="I57" s="135"/>
      <c r="J57" s="13"/>
      <c r="K57" s="60"/>
      <c r="L57" s="14">
        <f t="shared" si="0"/>
        <v>0</v>
      </c>
      <c r="M57" s="59">
        <f t="shared" si="3"/>
        <v>0</v>
      </c>
      <c r="N57" s="61" t="str">
        <f>IF(Table2683255[[#This Row],[Fault Type]]="PM",IF(L57&lt;=(D57-C57),"Yes","No"),"")</f>
        <v/>
      </c>
      <c r="O57" s="62" t="str">
        <f t="shared" si="2"/>
        <v/>
      </c>
      <c r="P5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7" s="63"/>
    </row>
    <row r="58" spans="1:17" ht="15.5" x14ac:dyDescent="0.35">
      <c r="A58" s="58"/>
      <c r="B58" s="55"/>
      <c r="C58" s="56"/>
      <c r="D58" s="56"/>
      <c r="E58" s="13"/>
      <c r="F58" s="55"/>
      <c r="G58" s="159"/>
      <c r="H58" s="57"/>
      <c r="I58" s="135"/>
      <c r="J58" s="13"/>
      <c r="K58" s="60"/>
      <c r="L58" s="14">
        <f t="shared" si="0"/>
        <v>0</v>
      </c>
      <c r="M58" s="59">
        <f t="shared" si="3"/>
        <v>0</v>
      </c>
      <c r="N58" s="61" t="str">
        <f>IF(Table2683255[[#This Row],[Fault Type]]="PM",IF(L58&lt;=(D58-C58),"Yes","No"),"")</f>
        <v/>
      </c>
      <c r="O58" s="62" t="str">
        <f t="shared" si="2"/>
        <v/>
      </c>
      <c r="P5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8" s="63"/>
    </row>
    <row r="59" spans="1:17" ht="15.5" x14ac:dyDescent="0.35">
      <c r="A59" s="58"/>
      <c r="B59" s="55"/>
      <c r="C59" s="56"/>
      <c r="D59" s="56"/>
      <c r="E59" s="13"/>
      <c r="F59" s="55"/>
      <c r="G59" s="159"/>
      <c r="H59" s="57"/>
      <c r="I59" s="135"/>
      <c r="J59" s="13"/>
      <c r="K59" s="60"/>
      <c r="L59" s="14">
        <f t="shared" si="0"/>
        <v>0</v>
      </c>
      <c r="M59" s="59">
        <f t="shared" si="3"/>
        <v>0</v>
      </c>
      <c r="N59" s="61" t="str">
        <f>IF(Table2683255[[#This Row],[Fault Type]]="PM",IF(L59&lt;=(D59-C59),"Yes","No"),"")</f>
        <v/>
      </c>
      <c r="O59" s="62" t="str">
        <f t="shared" si="2"/>
        <v/>
      </c>
      <c r="P5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59" s="63"/>
    </row>
    <row r="60" spans="1:17" ht="15.5" x14ac:dyDescent="0.35">
      <c r="A60" s="58"/>
      <c r="B60" s="55"/>
      <c r="C60" s="56"/>
      <c r="D60" s="56"/>
      <c r="E60" s="13"/>
      <c r="F60" s="55"/>
      <c r="G60" s="159"/>
      <c r="H60" s="57"/>
      <c r="I60" s="135"/>
      <c r="J60" s="13"/>
      <c r="K60" s="60"/>
      <c r="L60" s="14">
        <f t="shared" si="0"/>
        <v>0</v>
      </c>
      <c r="M60" s="59">
        <f t="shared" si="3"/>
        <v>0</v>
      </c>
      <c r="N60" s="61" t="str">
        <f>IF(Table2683255[[#This Row],[Fault Type]]="PM",IF(L60&lt;=(D60-C60),"Yes","No"),"")</f>
        <v/>
      </c>
      <c r="O60" s="62" t="str">
        <f t="shared" si="2"/>
        <v/>
      </c>
      <c r="P6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0" s="63"/>
    </row>
    <row r="61" spans="1:17" ht="15.5" x14ac:dyDescent="0.35">
      <c r="A61" s="58"/>
      <c r="B61" s="55"/>
      <c r="C61" s="56"/>
      <c r="D61" s="56"/>
      <c r="E61" s="13"/>
      <c r="F61" s="55"/>
      <c r="G61" s="159"/>
      <c r="H61" s="57"/>
      <c r="I61" s="135"/>
      <c r="J61" s="13"/>
      <c r="K61" s="60"/>
      <c r="L61" s="14">
        <f t="shared" si="0"/>
        <v>0</v>
      </c>
      <c r="M61" s="59">
        <f t="shared" si="3"/>
        <v>0</v>
      </c>
      <c r="N61" s="61" t="str">
        <f>IF(Table2683255[[#This Row],[Fault Type]]="PM",IF(L61&lt;=(D61-C61),"Yes","No"),"")</f>
        <v/>
      </c>
      <c r="O61" s="62" t="str">
        <f t="shared" si="2"/>
        <v/>
      </c>
      <c r="P6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1" s="63"/>
    </row>
    <row r="62" spans="1:17" ht="15.5" x14ac:dyDescent="0.35">
      <c r="A62" s="58"/>
      <c r="B62" s="55"/>
      <c r="C62" s="56"/>
      <c r="D62" s="56"/>
      <c r="E62" s="13"/>
      <c r="F62" s="55"/>
      <c r="G62" s="159"/>
      <c r="H62" s="57"/>
      <c r="I62" s="135"/>
      <c r="J62" s="13"/>
      <c r="K62" s="60"/>
      <c r="L62" s="14">
        <f t="shared" si="0"/>
        <v>0</v>
      </c>
      <c r="M62" s="59">
        <f t="shared" si="3"/>
        <v>0</v>
      </c>
      <c r="N62" s="61" t="str">
        <f>IF(Table2683255[[#This Row],[Fault Type]]="PM",IF(L62&lt;=(D62-C62),"Yes","No"),"")</f>
        <v/>
      </c>
      <c r="O62" s="62" t="str">
        <f t="shared" si="2"/>
        <v/>
      </c>
      <c r="P6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2" s="63"/>
    </row>
    <row r="63" spans="1:17" ht="15.5" x14ac:dyDescent="0.35">
      <c r="A63" s="58"/>
      <c r="B63" s="55"/>
      <c r="C63" s="56"/>
      <c r="D63" s="56"/>
      <c r="E63" s="13"/>
      <c r="F63" s="55"/>
      <c r="G63" s="159"/>
      <c r="H63" s="57"/>
      <c r="I63" s="135"/>
      <c r="J63" s="160"/>
      <c r="K63" s="60"/>
      <c r="L63" s="14">
        <f t="shared" si="0"/>
        <v>0</v>
      </c>
      <c r="M63" s="59">
        <f t="shared" si="3"/>
        <v>0</v>
      </c>
      <c r="N63" s="61" t="str">
        <f>IF(Table2683255[[#This Row],[Fault Type]]="PM",IF(L63&lt;=(D63-C63),"Yes","No"),"")</f>
        <v/>
      </c>
      <c r="O63" s="62" t="str">
        <f t="shared" si="2"/>
        <v/>
      </c>
      <c r="P6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3" s="63"/>
    </row>
    <row r="64" spans="1:17" ht="15.5" x14ac:dyDescent="0.35">
      <c r="A64" s="58"/>
      <c r="B64" s="55"/>
      <c r="C64" s="56"/>
      <c r="D64" s="56"/>
      <c r="E64" s="13"/>
      <c r="F64" s="55"/>
      <c r="G64" s="159"/>
      <c r="H64" s="57"/>
      <c r="I64" s="135"/>
      <c r="J64" s="13"/>
      <c r="K64" s="60"/>
      <c r="L64" s="14">
        <f t="shared" si="0"/>
        <v>0</v>
      </c>
      <c r="M64" s="59">
        <f t="shared" si="3"/>
        <v>0</v>
      </c>
      <c r="N64" s="61" t="str">
        <f>IF(Table2683255[[#This Row],[Fault Type]]="PM",IF(L64&lt;=(D64-C64),"Yes","No"),"")</f>
        <v/>
      </c>
      <c r="O64" s="62" t="str">
        <f t="shared" si="2"/>
        <v/>
      </c>
      <c r="P6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4" s="63"/>
    </row>
    <row r="65" spans="1:17" ht="15.5" x14ac:dyDescent="0.35">
      <c r="A65" s="58"/>
      <c r="B65" s="55"/>
      <c r="C65" s="56"/>
      <c r="D65" s="56"/>
      <c r="E65" s="13"/>
      <c r="F65" s="55"/>
      <c r="G65" s="159"/>
      <c r="H65" s="57"/>
      <c r="I65" s="135"/>
      <c r="J65" s="13"/>
      <c r="K65" s="60"/>
      <c r="L65" s="14">
        <f t="shared" ref="L65:L78" si="4">J65-E65</f>
        <v>0</v>
      </c>
      <c r="M65" s="59">
        <f t="shared" si="3"/>
        <v>0</v>
      </c>
      <c r="N65" s="61" t="str">
        <f>IF(Table2683255[[#This Row],[Fault Type]]="PM",IF(L65&lt;=(D65-C65),"Yes","No"),"")</f>
        <v/>
      </c>
      <c r="O65" s="62" t="str">
        <f t="shared" ref="O65:O78" si="5">IF(N65="No",(L65-(D65-C65)),"")</f>
        <v/>
      </c>
      <c r="P6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5" s="63"/>
    </row>
    <row r="66" spans="1:17" ht="15.5" x14ac:dyDescent="0.35">
      <c r="A66" s="58"/>
      <c r="B66" s="55"/>
      <c r="C66" s="56"/>
      <c r="D66" s="56"/>
      <c r="E66" s="13"/>
      <c r="F66" s="55"/>
      <c r="G66" s="159"/>
      <c r="H66" s="57"/>
      <c r="I66" s="135"/>
      <c r="J66" s="13"/>
      <c r="K66" s="60"/>
      <c r="L66" s="14">
        <f t="shared" si="4"/>
        <v>0</v>
      </c>
      <c r="M66" s="59">
        <f t="shared" si="3"/>
        <v>0</v>
      </c>
      <c r="N66" s="61" t="str">
        <f>IF(Table2683255[[#This Row],[Fault Type]]="PM",IF(L66&lt;=(D66-C66),"Yes","No"),"")</f>
        <v/>
      </c>
      <c r="O66" s="62" t="str">
        <f t="shared" si="5"/>
        <v/>
      </c>
      <c r="P6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6" s="63"/>
    </row>
    <row r="67" spans="1:17" ht="15.5" x14ac:dyDescent="0.35">
      <c r="A67" s="58"/>
      <c r="B67" s="55"/>
      <c r="C67" s="56"/>
      <c r="D67" s="56"/>
      <c r="E67" s="13"/>
      <c r="F67" s="55"/>
      <c r="G67" s="159"/>
      <c r="H67" s="57"/>
      <c r="I67" s="135"/>
      <c r="J67" s="13"/>
      <c r="K67" s="60"/>
      <c r="L67" s="14">
        <f t="shared" si="4"/>
        <v>0</v>
      </c>
      <c r="M67" s="59">
        <f t="shared" si="3"/>
        <v>0</v>
      </c>
      <c r="N67" s="61" t="str">
        <f>IF(Table2683255[[#This Row],[Fault Type]]="PM",IF(L67&lt;=(D67-C67),"Yes","No"),"")</f>
        <v/>
      </c>
      <c r="O67" s="62" t="str">
        <f t="shared" si="5"/>
        <v/>
      </c>
      <c r="P6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7" s="63"/>
    </row>
    <row r="68" spans="1:17" ht="15.5" x14ac:dyDescent="0.35">
      <c r="A68" s="58"/>
      <c r="B68" s="55"/>
      <c r="C68" s="56"/>
      <c r="D68" s="56"/>
      <c r="E68" s="13"/>
      <c r="F68" s="55"/>
      <c r="G68" s="159"/>
      <c r="H68" s="57"/>
      <c r="I68" s="135"/>
      <c r="J68" s="13"/>
      <c r="K68" s="60"/>
      <c r="L68" s="14">
        <f t="shared" si="4"/>
        <v>0</v>
      </c>
      <c r="M68" s="59">
        <f t="shared" si="3"/>
        <v>0</v>
      </c>
      <c r="N68" s="61" t="str">
        <f>IF(Table2683255[[#This Row],[Fault Type]]="PM",IF(L68&lt;=(D68-C68),"Yes","No"),"")</f>
        <v/>
      </c>
      <c r="O68" s="62" t="str">
        <f t="shared" si="5"/>
        <v/>
      </c>
      <c r="P6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8" s="63"/>
    </row>
    <row r="69" spans="1:17" ht="15.5" x14ac:dyDescent="0.35">
      <c r="A69" s="58"/>
      <c r="B69" s="55"/>
      <c r="C69" s="56"/>
      <c r="D69" s="56"/>
      <c r="E69" s="13"/>
      <c r="F69" s="55"/>
      <c r="G69" s="159"/>
      <c r="H69" s="57"/>
      <c r="I69" s="135"/>
      <c r="J69" s="13"/>
      <c r="K69" s="60"/>
      <c r="L69" s="14">
        <f t="shared" si="4"/>
        <v>0</v>
      </c>
      <c r="M69" s="59">
        <f t="shared" si="3"/>
        <v>0</v>
      </c>
      <c r="N69" s="61" t="str">
        <f>IF(Table2683255[[#This Row],[Fault Type]]="PM",IF(L69&lt;=(D69-C69),"Yes","No"),"")</f>
        <v/>
      </c>
      <c r="O69" s="62" t="str">
        <f t="shared" si="5"/>
        <v/>
      </c>
      <c r="P69"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69" s="63"/>
    </row>
    <row r="70" spans="1:17" ht="15.5" x14ac:dyDescent="0.35">
      <c r="A70" s="58"/>
      <c r="B70" s="55"/>
      <c r="C70" s="56"/>
      <c r="D70" s="56"/>
      <c r="E70" s="13"/>
      <c r="F70" s="55"/>
      <c r="G70" s="159"/>
      <c r="H70" s="57"/>
      <c r="I70" s="135"/>
      <c r="J70" s="13"/>
      <c r="K70" s="60"/>
      <c r="L70" s="14">
        <f t="shared" si="4"/>
        <v>0</v>
      </c>
      <c r="M70" s="59">
        <f t="shared" si="3"/>
        <v>0</v>
      </c>
      <c r="N70" s="61" t="str">
        <f>IF(Table2683255[[#This Row],[Fault Type]]="PM",IF(L70&lt;=(D70-C70),"Yes","No"),"")</f>
        <v/>
      </c>
      <c r="O70" s="62" t="str">
        <f t="shared" si="5"/>
        <v/>
      </c>
      <c r="P70"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0" s="63"/>
    </row>
    <row r="71" spans="1:17" ht="15.5" x14ac:dyDescent="0.35">
      <c r="A71" s="58"/>
      <c r="B71" s="55"/>
      <c r="C71" s="56"/>
      <c r="D71" s="56"/>
      <c r="E71" s="13"/>
      <c r="F71" s="55"/>
      <c r="G71" s="159"/>
      <c r="H71" s="57"/>
      <c r="I71" s="135"/>
      <c r="J71" s="13"/>
      <c r="K71" s="60"/>
      <c r="L71" s="14">
        <f t="shared" si="4"/>
        <v>0</v>
      </c>
      <c r="M71" s="59">
        <f t="shared" si="3"/>
        <v>0</v>
      </c>
      <c r="N71" s="61" t="str">
        <f>IF(Table2683255[[#This Row],[Fault Type]]="PM",IF(L71&lt;=(D71-C71),"Yes","No"),"")</f>
        <v/>
      </c>
      <c r="O71" s="62" t="str">
        <f t="shared" si="5"/>
        <v/>
      </c>
      <c r="P71"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1" s="63"/>
    </row>
    <row r="72" spans="1:17" ht="15.5" x14ac:dyDescent="0.35">
      <c r="A72" s="58"/>
      <c r="B72" s="55"/>
      <c r="C72" s="56"/>
      <c r="D72" s="56"/>
      <c r="E72" s="13"/>
      <c r="F72" s="55"/>
      <c r="G72" s="159"/>
      <c r="H72" s="57"/>
      <c r="I72" s="135"/>
      <c r="J72" s="13"/>
      <c r="K72" s="60"/>
      <c r="L72" s="14">
        <f t="shared" si="4"/>
        <v>0</v>
      </c>
      <c r="M72" s="59">
        <f t="shared" si="3"/>
        <v>0</v>
      </c>
      <c r="N72" s="61" t="str">
        <f>IF(Table2683255[[#This Row],[Fault Type]]="PM",IF(L72&lt;=(D72-C72),"Yes","No"),"")</f>
        <v/>
      </c>
      <c r="O72" s="62" t="str">
        <f t="shared" si="5"/>
        <v/>
      </c>
      <c r="P72"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2" s="63"/>
    </row>
    <row r="73" spans="1:17" ht="15.5" x14ac:dyDescent="0.35">
      <c r="A73" s="58"/>
      <c r="B73" s="55"/>
      <c r="C73" s="56"/>
      <c r="D73" s="56"/>
      <c r="E73" s="13"/>
      <c r="F73" s="55"/>
      <c r="G73" s="159"/>
      <c r="H73" s="57"/>
      <c r="I73" s="135"/>
      <c r="J73" s="13"/>
      <c r="K73" s="60"/>
      <c r="L73" s="14">
        <f t="shared" si="4"/>
        <v>0</v>
      </c>
      <c r="M73" s="59">
        <f t="shared" si="3"/>
        <v>0</v>
      </c>
      <c r="N73" s="61" t="str">
        <f>IF(Table2683255[[#This Row],[Fault Type]]="PM",IF(L73&lt;=(D73-C73),"Yes","No"),"")</f>
        <v/>
      </c>
      <c r="O73" s="62" t="str">
        <f t="shared" si="5"/>
        <v/>
      </c>
      <c r="P73"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3" s="63"/>
    </row>
    <row r="74" spans="1:17" ht="15.5" x14ac:dyDescent="0.35">
      <c r="A74" s="58"/>
      <c r="B74" s="55"/>
      <c r="C74" s="56"/>
      <c r="D74" s="56"/>
      <c r="E74" s="13"/>
      <c r="F74" s="55"/>
      <c r="G74" s="159"/>
      <c r="H74" s="57"/>
      <c r="I74" s="135"/>
      <c r="J74" s="13"/>
      <c r="K74" s="60"/>
      <c r="L74" s="14">
        <f t="shared" si="4"/>
        <v>0</v>
      </c>
      <c r="M74" s="59">
        <f t="shared" si="3"/>
        <v>0</v>
      </c>
      <c r="N74" s="61" t="str">
        <f>IF(Table2683255[[#This Row],[Fault Type]]="PM",IF(L74&lt;=(D74-C74),"Yes","No"),"")</f>
        <v/>
      </c>
      <c r="O74" s="62" t="str">
        <f t="shared" si="5"/>
        <v/>
      </c>
      <c r="P74"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4" s="63"/>
    </row>
    <row r="75" spans="1:17" ht="15.5" x14ac:dyDescent="0.35">
      <c r="A75" s="58"/>
      <c r="B75" s="55"/>
      <c r="C75" s="56"/>
      <c r="D75" s="56"/>
      <c r="E75" s="13"/>
      <c r="F75" s="55"/>
      <c r="G75" s="159"/>
      <c r="H75" s="57"/>
      <c r="I75" s="135"/>
      <c r="J75" s="13"/>
      <c r="K75" s="60"/>
      <c r="L75" s="14">
        <f t="shared" si="4"/>
        <v>0</v>
      </c>
      <c r="M75" s="59">
        <f t="shared" si="3"/>
        <v>0</v>
      </c>
      <c r="N75" s="61" t="str">
        <f>IF(Table2683255[[#This Row],[Fault Type]]="PM",IF(L75&lt;=(D75-C75),"Yes","No"),"")</f>
        <v/>
      </c>
      <c r="O75" s="62" t="str">
        <f t="shared" si="5"/>
        <v/>
      </c>
      <c r="P75"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5" s="63"/>
    </row>
    <row r="76" spans="1:17" ht="15.5" x14ac:dyDescent="0.35">
      <c r="A76" s="58"/>
      <c r="B76" s="55"/>
      <c r="C76" s="56"/>
      <c r="D76" s="56"/>
      <c r="E76" s="13"/>
      <c r="F76" s="55"/>
      <c r="G76" s="159"/>
      <c r="H76" s="57"/>
      <c r="I76" s="135"/>
      <c r="J76" s="13"/>
      <c r="K76" s="60"/>
      <c r="L76" s="14">
        <f t="shared" si="4"/>
        <v>0</v>
      </c>
      <c r="M76" s="59">
        <f t="shared" si="3"/>
        <v>0</v>
      </c>
      <c r="N76" s="61" t="str">
        <f>IF(Table2683255[[#This Row],[Fault Type]]="PM",IF(L76&lt;=(D76-C76),"Yes","No"),"")</f>
        <v/>
      </c>
      <c r="O76" s="62" t="str">
        <f t="shared" si="5"/>
        <v/>
      </c>
      <c r="P76"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6" s="63"/>
    </row>
    <row r="77" spans="1:17" ht="15.5" x14ac:dyDescent="0.35">
      <c r="A77" s="58"/>
      <c r="B77" s="55"/>
      <c r="C77" s="56"/>
      <c r="D77" s="56"/>
      <c r="E77" s="13"/>
      <c r="F77" s="55"/>
      <c r="G77" s="159"/>
      <c r="H77" s="57"/>
      <c r="I77" s="135"/>
      <c r="J77" s="13"/>
      <c r="K77" s="60"/>
      <c r="L77" s="14">
        <f t="shared" si="4"/>
        <v>0</v>
      </c>
      <c r="M77" s="59">
        <f t="shared" si="3"/>
        <v>0</v>
      </c>
      <c r="N77" s="61" t="str">
        <f>IF(Table2683255[[#This Row],[Fault Type]]="PM",IF(L77&lt;=(D77-C77),"Yes","No"),"")</f>
        <v/>
      </c>
      <c r="O77" s="62" t="str">
        <f t="shared" si="5"/>
        <v/>
      </c>
      <c r="P77"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7" s="63"/>
    </row>
    <row r="78" spans="1:17" ht="15.5" x14ac:dyDescent="0.35">
      <c r="A78" s="58"/>
      <c r="B78" s="55"/>
      <c r="C78" s="56"/>
      <c r="D78" s="56"/>
      <c r="E78" s="13"/>
      <c r="F78" s="55"/>
      <c r="G78" s="159"/>
      <c r="H78" s="57"/>
      <c r="I78" s="135"/>
      <c r="J78" s="13"/>
      <c r="K78" s="60"/>
      <c r="L78" s="14">
        <f t="shared" si="4"/>
        <v>0</v>
      </c>
      <c r="M78" s="59">
        <f t="shared" si="3"/>
        <v>0</v>
      </c>
      <c r="N78" s="61" t="str">
        <f>IF(Table2683255[[#This Row],[Fault Type]]="PM",IF(L78&lt;=(D78-C78),"Yes","No"),"")</f>
        <v/>
      </c>
      <c r="O78" s="62" t="str">
        <f t="shared" si="5"/>
        <v/>
      </c>
      <c r="P78" s="30" t="str">
        <f>IF(AND(Table2683255[[#This Row],[Name of Feeder]]&lt;&gt;"",OR(Table2683255[[#This Row],[Fault Type]]="TL",Table2683255[[#This Row],[Fault Type]]="TS",Table2683255[[#This Row],[Fault Type]]="UF",Table2683255[[#This Row],[Fault Type]]="SE")),(IF(AND(VLOOKUP(Table2683255[[#This Row],[Name of Feeder]],Main!D:E,2,0)="URBAN",ISNUMBER(SEARCH("33KV",Table2683255[[#This Row],[Name of Feeder]]))),IF(AND(Table2683255[[#This Row],[Outage Duration]]&gt;0,Table2683255[[#This Row],[Outage Duration]]&lt;=0.25),"Yes","No"),IF(AND(VLOOKUP(Table2683255[[#This Row],[Name of Feeder]],Main!D:E,2,0)="RURAL",ISNUMBER(SEARCH("33KV",Table2683255[[#This Row],[Name of Feeder]]))),IF(AND(Table2683255[[#This Row],[Outage Duration]]&gt;0,Table2683255[[#This Row],[Outage Duration]]&lt;=0.33),"Yes","No"),IF(AND(VLOOKUP(Table2683255[[#This Row],[Name of Feeder]],Main!D:E,2,0)="RURAL",ISNUMBER(SEARCH("11KV",Table2683255[[#This Row],[Name of Feeder]]))),IF(AND(Table2683255[[#This Row],[Outage Duration]]&gt;0,Table2683255[[#This Row],[Outage Duration]]&lt;=0.17),"Yes","No"),IF(AND(VLOOKUP(Table2683255[[#This Row],[Name of Feeder]],Main!D:E,2,0)="URBAN",ISNUMBER(SEARCH("11KV",Table2683255[[#This Row],[Name of Feeder]]))),IF(AND(Table2683255[[#This Row],[Outage Duration]]&gt;0,Table2683255[[#This Row],[Outage Duration]]&lt;=0.17),"Yes","No"),""))))),"")</f>
        <v/>
      </c>
      <c r="Q78"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0000000}">
          <x14:formula1>
            <xm:f>Main!$F$226:$F$228</xm:f>
          </x14:formula1>
          <xm:sqref>I2:I78</xm:sqref>
        </x14:dataValidation>
        <x14:dataValidation type="list" allowBlank="1" showInputMessage="1" showErrorMessage="1" xr:uid="{00000000-0002-0000-0F00-000001000000}">
          <x14:formula1>
            <xm:f>Main!$D$2:$D$196</xm:f>
          </x14:formula1>
          <xm:sqref>A2:A78</xm:sqref>
        </x14:dataValidation>
        <x14:dataValidation type="list" allowBlank="1" showInputMessage="1" showErrorMessage="1" xr:uid="{00000000-0002-0000-0F00-000002000000}">
          <x14:formula1>
            <xm:f>Main!F$222:F$225</xm:f>
          </x14:formula1>
          <xm:sqref>G2:G78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4"/>
  <sheetViews>
    <sheetView topLeftCell="C67" zoomScale="70" zoomScaleNormal="70" workbookViewId="0">
      <selection activeCell="Q11" sqref="Q11:Q14"/>
    </sheetView>
  </sheetViews>
  <sheetFormatPr defaultRowHeight="14.5" x14ac:dyDescent="0.35"/>
  <cols>
    <col min="1" max="1" width="27.26953125" customWidth="1"/>
    <col min="2" max="2" width="8.26953125" customWidth="1"/>
    <col min="3" max="3" width="17.26953125" customWidth="1"/>
    <col min="4" max="4" width="17.81640625" customWidth="1"/>
    <col min="5" max="5" width="18.4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7" si="0">J2-E2</f>
        <v>0</v>
      </c>
      <c r="M2" s="31">
        <f t="shared" ref="M2:M26" si="1">L2*F2</f>
        <v>0</v>
      </c>
      <c r="N2" s="15" t="str">
        <f>IF(Table2683254[[#This Row],[Fault Type]]="PM",IF(L2&lt;=(D2-C2),"Yes","No"),"")</f>
        <v/>
      </c>
      <c r="O2" s="16" t="str">
        <f t="shared" ref="O2:O67" si="2">IF(N2="No",(L2-(D2-C2)),"")</f>
        <v/>
      </c>
      <c r="P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 s="17"/>
    </row>
    <row r="3" spans="1:17" ht="15.5" x14ac:dyDescent="0.35">
      <c r="A3" s="4"/>
      <c r="B3" s="12"/>
      <c r="C3" s="13"/>
      <c r="D3" s="13"/>
      <c r="E3" s="13"/>
      <c r="F3" s="12"/>
      <c r="G3" s="159"/>
      <c r="H3" s="27"/>
      <c r="I3" s="27"/>
      <c r="J3" s="13"/>
      <c r="K3" s="32"/>
      <c r="L3" s="14">
        <f t="shared" si="0"/>
        <v>0</v>
      </c>
      <c r="M3" s="31">
        <f t="shared" si="1"/>
        <v>0</v>
      </c>
      <c r="N3" s="15" t="str">
        <f>IF(Table2683254[[#This Row],[Fault Type]]="PM",IF(L3&lt;=(D3-C3),"Yes","No"),"")</f>
        <v/>
      </c>
      <c r="O3" s="16" t="str">
        <f t="shared" si="2"/>
        <v/>
      </c>
      <c r="P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 s="17"/>
    </row>
    <row r="4" spans="1:17" ht="15.5" x14ac:dyDescent="0.35">
      <c r="A4" s="4"/>
      <c r="B4" s="12"/>
      <c r="C4" s="13"/>
      <c r="D4" s="13"/>
      <c r="E4" s="13"/>
      <c r="F4" s="12"/>
      <c r="G4" s="159"/>
      <c r="H4" s="12"/>
      <c r="I4" s="12"/>
      <c r="J4" s="13"/>
      <c r="K4" s="32"/>
      <c r="L4" s="14">
        <f t="shared" si="0"/>
        <v>0</v>
      </c>
      <c r="M4" s="31">
        <f t="shared" si="1"/>
        <v>0</v>
      </c>
      <c r="N4" s="15" t="str">
        <f>IF(Table2683254[[#This Row],[Fault Type]]="PM",IF(L4&lt;=(D4-C4),"Yes","No"),"")</f>
        <v/>
      </c>
      <c r="O4" s="16" t="str">
        <f t="shared" si="2"/>
        <v/>
      </c>
      <c r="P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 s="17"/>
    </row>
    <row r="5" spans="1:17" ht="15.5" x14ac:dyDescent="0.35">
      <c r="A5" s="4"/>
      <c r="B5" s="12"/>
      <c r="C5" s="13"/>
      <c r="D5" s="13"/>
      <c r="E5" s="13"/>
      <c r="F5" s="12"/>
      <c r="G5" s="159"/>
      <c r="H5" s="12"/>
      <c r="I5" s="12"/>
      <c r="J5" s="13"/>
      <c r="K5" s="32"/>
      <c r="L5" s="14">
        <f t="shared" si="0"/>
        <v>0</v>
      </c>
      <c r="M5" s="31">
        <f t="shared" si="1"/>
        <v>0</v>
      </c>
      <c r="N5" s="15" t="str">
        <f>IF(Table2683254[[#This Row],[Fault Type]]="PM",IF(L5&lt;=(D5-C5),"Yes","No"),"")</f>
        <v/>
      </c>
      <c r="O5" s="16" t="str">
        <f t="shared" si="2"/>
        <v/>
      </c>
      <c r="P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 s="17"/>
    </row>
    <row r="6" spans="1:17" ht="15.5" x14ac:dyDescent="0.35">
      <c r="A6" s="4"/>
      <c r="B6" s="12"/>
      <c r="C6" s="13"/>
      <c r="D6" s="13"/>
      <c r="E6" s="13"/>
      <c r="F6" s="12"/>
      <c r="G6" s="159"/>
      <c r="H6" s="12"/>
      <c r="I6" s="12"/>
      <c r="J6" s="13"/>
      <c r="K6" s="32"/>
      <c r="L6" s="14">
        <f t="shared" si="0"/>
        <v>0</v>
      </c>
      <c r="M6" s="31">
        <f t="shared" si="1"/>
        <v>0</v>
      </c>
      <c r="N6" s="15" t="str">
        <f>IF(Table2683254[[#This Row],[Fault Type]]="PM",IF(L6&lt;=(D6-C6),"Yes","No"),"")</f>
        <v/>
      </c>
      <c r="O6" s="16" t="str">
        <f t="shared" si="2"/>
        <v/>
      </c>
      <c r="P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 s="17"/>
    </row>
    <row r="7" spans="1:17" ht="15.5" x14ac:dyDescent="0.35">
      <c r="A7" s="4"/>
      <c r="B7" s="12"/>
      <c r="C7" s="13"/>
      <c r="D7" s="13"/>
      <c r="E7" s="13"/>
      <c r="F7" s="12"/>
      <c r="G7" s="159"/>
      <c r="H7" s="12"/>
      <c r="I7" s="12"/>
      <c r="J7" s="13"/>
      <c r="K7" s="32"/>
      <c r="L7" s="14">
        <f t="shared" si="0"/>
        <v>0</v>
      </c>
      <c r="M7" s="31">
        <f t="shared" si="1"/>
        <v>0</v>
      </c>
      <c r="N7" s="15" t="str">
        <f>IF(Table2683254[[#This Row],[Fault Type]]="PM",IF(L7&lt;=(D7-C7),"Yes","No"),"")</f>
        <v/>
      </c>
      <c r="O7" s="16" t="str">
        <f t="shared" si="2"/>
        <v/>
      </c>
      <c r="P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 s="144"/>
    </row>
    <row r="8" spans="1:17" ht="15.5" x14ac:dyDescent="0.35">
      <c r="A8" s="4"/>
      <c r="B8" s="12"/>
      <c r="C8" s="13"/>
      <c r="D8" s="13"/>
      <c r="E8" s="13"/>
      <c r="F8" s="12"/>
      <c r="G8" s="159"/>
      <c r="H8" s="12"/>
      <c r="I8" s="12"/>
      <c r="J8" s="13"/>
      <c r="K8" s="32"/>
      <c r="L8" s="14">
        <f t="shared" si="0"/>
        <v>0</v>
      </c>
      <c r="M8" s="31">
        <f t="shared" si="1"/>
        <v>0</v>
      </c>
      <c r="N8" s="15" t="str">
        <f>IF(Table2683254[[#This Row],[Fault Type]]="PM",IF(L8&lt;=(D8-C8),"Yes","No"),"")</f>
        <v/>
      </c>
      <c r="O8" s="16" t="str">
        <f t="shared" si="2"/>
        <v/>
      </c>
      <c r="P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 s="144"/>
    </row>
    <row r="9" spans="1:17" ht="15.5" x14ac:dyDescent="0.35">
      <c r="A9" s="4"/>
      <c r="B9" s="12"/>
      <c r="C9" s="13"/>
      <c r="D9" s="13"/>
      <c r="E9" s="13"/>
      <c r="F9" s="12"/>
      <c r="G9" s="159"/>
      <c r="H9" s="12"/>
      <c r="I9" s="12"/>
      <c r="J9" s="13"/>
      <c r="K9" s="32"/>
      <c r="L9" s="14">
        <f t="shared" si="0"/>
        <v>0</v>
      </c>
      <c r="M9" s="31">
        <f t="shared" si="1"/>
        <v>0</v>
      </c>
      <c r="N9" s="15" t="str">
        <f>IF(Table2683254[[#This Row],[Fault Type]]="PM",IF(L9&lt;=(D9-C9),"Yes","No"),"")</f>
        <v/>
      </c>
      <c r="O9" s="16" t="str">
        <f t="shared" si="2"/>
        <v/>
      </c>
      <c r="P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9" s="144"/>
    </row>
    <row r="10" spans="1:17" ht="15.5" x14ac:dyDescent="0.35">
      <c r="A10" s="4"/>
      <c r="B10" s="12"/>
      <c r="C10" s="13"/>
      <c r="D10" s="13"/>
      <c r="E10" s="13"/>
      <c r="F10" s="12"/>
      <c r="G10" s="159"/>
      <c r="H10" s="12"/>
      <c r="I10" s="12"/>
      <c r="J10" s="13"/>
      <c r="K10" s="32"/>
      <c r="L10" s="14">
        <f t="shared" si="0"/>
        <v>0</v>
      </c>
      <c r="M10" s="31">
        <f t="shared" si="1"/>
        <v>0</v>
      </c>
      <c r="N10" s="15" t="str">
        <f>IF(Table2683254[[#This Row],[Fault Type]]="PM",IF(L10&lt;=(D10-C10),"Yes","No"),"")</f>
        <v/>
      </c>
      <c r="O10" s="16" t="str">
        <f t="shared" si="2"/>
        <v/>
      </c>
      <c r="P1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0" s="144"/>
    </row>
    <row r="11" spans="1:17" ht="15.5" x14ac:dyDescent="0.35">
      <c r="A11" s="4"/>
      <c r="B11" s="12"/>
      <c r="C11" s="13"/>
      <c r="D11" s="13"/>
      <c r="E11" s="13"/>
      <c r="F11" s="12"/>
      <c r="G11" s="159"/>
      <c r="H11" s="12"/>
      <c r="I11" s="12"/>
      <c r="J11" s="13"/>
      <c r="K11" s="32"/>
      <c r="L11" s="14">
        <f t="shared" si="0"/>
        <v>0</v>
      </c>
      <c r="M11" s="31">
        <f t="shared" si="1"/>
        <v>0</v>
      </c>
      <c r="N11" s="15" t="str">
        <f>IF(Table2683254[[#This Row],[Fault Type]]="PM",IF(L11&lt;=(D11-C11),"Yes","No"),"")</f>
        <v/>
      </c>
      <c r="O11" s="16" t="str">
        <f t="shared" si="2"/>
        <v/>
      </c>
      <c r="P1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1" s="144"/>
    </row>
    <row r="12" spans="1:17" ht="15.5" x14ac:dyDescent="0.35">
      <c r="A12" s="4"/>
      <c r="B12" s="12"/>
      <c r="C12" s="13"/>
      <c r="D12" s="13"/>
      <c r="E12" s="13"/>
      <c r="F12" s="12"/>
      <c r="G12" s="159"/>
      <c r="H12" s="12"/>
      <c r="I12" s="12"/>
      <c r="J12" s="13"/>
      <c r="K12" s="32"/>
      <c r="L12" s="14">
        <f t="shared" si="0"/>
        <v>0</v>
      </c>
      <c r="M12" s="31">
        <f t="shared" si="1"/>
        <v>0</v>
      </c>
      <c r="N12" s="15" t="str">
        <f>IF(Table2683254[[#This Row],[Fault Type]]="PM",IF(L12&lt;=(D12-C12),"Yes","No"),"")</f>
        <v/>
      </c>
      <c r="O12" s="16" t="str">
        <f t="shared" si="2"/>
        <v/>
      </c>
      <c r="P1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2" s="144"/>
    </row>
    <row r="13" spans="1:17" ht="15.5" x14ac:dyDescent="0.35">
      <c r="A13" s="4"/>
      <c r="B13" s="12"/>
      <c r="C13" s="13"/>
      <c r="D13" s="13"/>
      <c r="E13" s="13"/>
      <c r="F13" s="12"/>
      <c r="G13" s="159"/>
      <c r="H13" s="12"/>
      <c r="I13" s="12"/>
      <c r="J13" s="13"/>
      <c r="K13" s="32"/>
      <c r="L13" s="14">
        <f t="shared" si="0"/>
        <v>0</v>
      </c>
      <c r="M13" s="31">
        <f t="shared" si="1"/>
        <v>0</v>
      </c>
      <c r="N13" s="15" t="str">
        <f>IF(Table2683254[[#This Row],[Fault Type]]="PM",IF(L13&lt;=(D13-C13),"Yes","No"),"")</f>
        <v/>
      </c>
      <c r="O13" s="16" t="str">
        <f t="shared" si="2"/>
        <v/>
      </c>
      <c r="P1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3" s="144"/>
    </row>
    <row r="14" spans="1:17" ht="15.5" x14ac:dyDescent="0.35">
      <c r="A14" s="4"/>
      <c r="B14" s="12"/>
      <c r="C14" s="13"/>
      <c r="D14" s="13"/>
      <c r="E14" s="13"/>
      <c r="F14" s="12"/>
      <c r="G14" s="159"/>
      <c r="H14" s="12"/>
      <c r="I14" s="12"/>
      <c r="J14" s="13"/>
      <c r="K14" s="32"/>
      <c r="L14" s="14">
        <f t="shared" si="0"/>
        <v>0</v>
      </c>
      <c r="M14" s="31">
        <f t="shared" si="1"/>
        <v>0</v>
      </c>
      <c r="N14" s="15" t="str">
        <f>IF(Table2683254[[#This Row],[Fault Type]]="PM",IF(L14&lt;=(D14-C14),"Yes","No"),"")</f>
        <v/>
      </c>
      <c r="O14" s="16" t="str">
        <f t="shared" si="2"/>
        <v/>
      </c>
      <c r="P1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4" s="144"/>
    </row>
    <row r="15" spans="1:17" ht="15.5" x14ac:dyDescent="0.35">
      <c r="A15" s="4"/>
      <c r="B15" s="12"/>
      <c r="C15" s="13"/>
      <c r="D15" s="13"/>
      <c r="E15" s="13"/>
      <c r="F15" s="12"/>
      <c r="G15" s="159"/>
      <c r="H15" s="12"/>
      <c r="I15" s="12"/>
      <c r="J15" s="13"/>
      <c r="K15" s="32"/>
      <c r="L15" s="14">
        <f t="shared" si="0"/>
        <v>0</v>
      </c>
      <c r="M15" s="31">
        <f t="shared" si="1"/>
        <v>0</v>
      </c>
      <c r="N15" s="15" t="str">
        <f>IF(Table2683254[[#This Row],[Fault Type]]="PM",IF(L15&lt;=(D15-C15),"Yes","No"),"")</f>
        <v/>
      </c>
      <c r="O15" s="16" t="str">
        <f t="shared" si="2"/>
        <v/>
      </c>
      <c r="P1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5" s="144"/>
    </row>
    <row r="16" spans="1:17" ht="15.5" x14ac:dyDescent="0.35">
      <c r="A16" s="4"/>
      <c r="B16" s="12"/>
      <c r="C16" s="13"/>
      <c r="D16" s="13"/>
      <c r="E16" s="13"/>
      <c r="F16" s="12"/>
      <c r="G16" s="159"/>
      <c r="H16" s="12"/>
      <c r="I16" s="12"/>
      <c r="J16" s="13"/>
      <c r="K16" s="32"/>
      <c r="L16" s="14">
        <f>J16-E16</f>
        <v>0</v>
      </c>
      <c r="M16" s="31">
        <f>L16*F16</f>
        <v>0</v>
      </c>
      <c r="N16" s="15" t="str">
        <f>IF(Table2683254[[#This Row],[Fault Type]]="PM",IF(L16&lt;=(D16-C16),"Yes","No"),"")</f>
        <v/>
      </c>
      <c r="O16" s="16" t="str">
        <f>IF(N16="No",(L16-(D16-C16)),"")</f>
        <v/>
      </c>
      <c r="P1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6" s="144"/>
    </row>
    <row r="17" spans="1:17" ht="15.5" x14ac:dyDescent="0.35">
      <c r="A17" s="4"/>
      <c r="B17" s="12"/>
      <c r="C17" s="13"/>
      <c r="D17" s="13"/>
      <c r="E17" s="13"/>
      <c r="F17" s="18"/>
      <c r="G17" s="159"/>
      <c r="H17" s="18"/>
      <c r="I17" s="18"/>
      <c r="J17" s="13"/>
      <c r="K17" s="32"/>
      <c r="L17" s="14">
        <f t="shared" si="0"/>
        <v>0</v>
      </c>
      <c r="M17" s="31">
        <f t="shared" si="1"/>
        <v>0</v>
      </c>
      <c r="N17" s="15" t="str">
        <f>IF(Table2683254[[#This Row],[Fault Type]]="PM",IF(L17&lt;=(D17-C17),"Yes","No"),"")</f>
        <v/>
      </c>
      <c r="O17" s="16" t="str">
        <f t="shared" si="2"/>
        <v/>
      </c>
      <c r="P1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7" s="144"/>
    </row>
    <row r="18" spans="1:17" ht="15.5" x14ac:dyDescent="0.35">
      <c r="A18" s="4"/>
      <c r="B18" s="12"/>
      <c r="C18" s="13"/>
      <c r="D18" s="13"/>
      <c r="E18" s="13"/>
      <c r="F18" s="12"/>
      <c r="G18" s="159"/>
      <c r="H18" s="12"/>
      <c r="I18" s="12"/>
      <c r="J18" s="13"/>
      <c r="K18" s="32"/>
      <c r="L18" s="14">
        <f t="shared" si="0"/>
        <v>0</v>
      </c>
      <c r="M18" s="31">
        <f t="shared" si="1"/>
        <v>0</v>
      </c>
      <c r="N18" s="15" t="str">
        <f>IF(Table2683254[[#This Row],[Fault Type]]="PM",IF(L18&lt;=(D18-C18),"Yes","No"),"")</f>
        <v/>
      </c>
      <c r="O18" s="16" t="str">
        <f t="shared" si="2"/>
        <v/>
      </c>
      <c r="P1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8" s="144"/>
    </row>
    <row r="19" spans="1:17" ht="15.5" x14ac:dyDescent="0.35">
      <c r="A19" s="4"/>
      <c r="B19" s="12"/>
      <c r="C19" s="13"/>
      <c r="D19" s="13"/>
      <c r="E19" s="13"/>
      <c r="F19" s="18"/>
      <c r="G19" s="159"/>
      <c r="H19" s="18"/>
      <c r="I19" s="18"/>
      <c r="J19" s="13"/>
      <c r="K19" s="32"/>
      <c r="L19" s="14">
        <f t="shared" si="0"/>
        <v>0</v>
      </c>
      <c r="M19" s="31">
        <f t="shared" si="1"/>
        <v>0</v>
      </c>
      <c r="N19" s="15" t="str">
        <f>IF(Table2683254[[#This Row],[Fault Type]]="PM",IF(L19&lt;=(D19-C19),"Yes","No"),"")</f>
        <v/>
      </c>
      <c r="O19" s="16" t="str">
        <f t="shared" si="2"/>
        <v/>
      </c>
      <c r="P1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19" s="144"/>
    </row>
    <row r="20" spans="1:17" ht="15.5" x14ac:dyDescent="0.35">
      <c r="A20" s="4"/>
      <c r="B20" s="12"/>
      <c r="C20" s="13"/>
      <c r="D20" s="13"/>
      <c r="E20" s="13"/>
      <c r="F20" s="18"/>
      <c r="G20" s="159"/>
      <c r="H20" s="18"/>
      <c r="I20" s="18"/>
      <c r="J20" s="13"/>
      <c r="K20" s="32"/>
      <c r="L20" s="14">
        <f t="shared" si="0"/>
        <v>0</v>
      </c>
      <c r="M20" s="31">
        <f t="shared" si="1"/>
        <v>0</v>
      </c>
      <c r="N20" s="15" t="str">
        <f>IF(Table2683254[[#This Row],[Fault Type]]="PM",IF(L20&lt;=(D20-C20),"Yes","No"),"")</f>
        <v/>
      </c>
      <c r="O20" s="16" t="str">
        <f t="shared" si="2"/>
        <v/>
      </c>
      <c r="P2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0" s="144"/>
    </row>
    <row r="21" spans="1:17" ht="15.5" x14ac:dyDescent="0.35">
      <c r="A21" s="4"/>
      <c r="B21" s="12"/>
      <c r="C21" s="13"/>
      <c r="D21" s="13"/>
      <c r="E21" s="13"/>
      <c r="F21" s="165"/>
      <c r="G21" s="159"/>
      <c r="H21" s="54"/>
      <c r="I21" s="54"/>
      <c r="J21" s="13"/>
      <c r="K21" s="32"/>
      <c r="L21" s="14">
        <f t="shared" si="0"/>
        <v>0</v>
      </c>
      <c r="M21" s="31">
        <f t="shared" si="1"/>
        <v>0</v>
      </c>
      <c r="N21" s="15" t="str">
        <f>IF(Table2683254[[#This Row],[Fault Type]]="PM",IF(L21&lt;=(D21-C21),"Yes","No"),"")</f>
        <v/>
      </c>
      <c r="O21" s="16" t="str">
        <f t="shared" si="2"/>
        <v/>
      </c>
      <c r="P2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1" s="144"/>
    </row>
    <row r="22" spans="1:17" ht="15.5" x14ac:dyDescent="0.35">
      <c r="A22" s="4"/>
      <c r="B22" s="12"/>
      <c r="C22" s="13"/>
      <c r="D22" s="13"/>
      <c r="E22" s="13"/>
      <c r="F22" s="18"/>
      <c r="G22" s="159"/>
      <c r="H22" s="18"/>
      <c r="I22" s="18"/>
      <c r="J22" s="13"/>
      <c r="K22" s="32"/>
      <c r="L22" s="14">
        <f t="shared" si="0"/>
        <v>0</v>
      </c>
      <c r="M22" s="31">
        <f t="shared" si="1"/>
        <v>0</v>
      </c>
      <c r="N22" s="15" t="str">
        <f>IF(Table2683254[[#This Row],[Fault Type]]="PM",IF(L22&lt;=(D22-C22),"Yes","No"),"")</f>
        <v/>
      </c>
      <c r="O22" s="16" t="str">
        <f t="shared" si="2"/>
        <v/>
      </c>
      <c r="P2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2" s="144"/>
    </row>
    <row r="23" spans="1:17" ht="15.5" x14ac:dyDescent="0.35">
      <c r="A23" s="4"/>
      <c r="B23" s="12"/>
      <c r="C23" s="13"/>
      <c r="D23" s="13"/>
      <c r="E23" s="13"/>
      <c r="F23" s="18"/>
      <c r="G23" s="159"/>
      <c r="H23" s="18"/>
      <c r="I23" s="18"/>
      <c r="J23" s="13"/>
      <c r="K23" s="32"/>
      <c r="L23" s="14">
        <f t="shared" si="0"/>
        <v>0</v>
      </c>
      <c r="M23" s="31">
        <f t="shared" si="1"/>
        <v>0</v>
      </c>
      <c r="N23" s="15" t="str">
        <f>IF(Table2683254[[#This Row],[Fault Type]]="PM",IF(L23&lt;=(D23-C23),"Yes","No"),"")</f>
        <v/>
      </c>
      <c r="O23" s="16" t="str">
        <f t="shared" si="2"/>
        <v/>
      </c>
      <c r="P2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3" s="144"/>
    </row>
    <row r="24" spans="1:17" ht="15.5" x14ac:dyDescent="0.35">
      <c r="A24" s="4"/>
      <c r="B24" s="12"/>
      <c r="C24" s="13"/>
      <c r="D24" s="13"/>
      <c r="E24" s="13"/>
      <c r="F24" s="18"/>
      <c r="G24" s="159"/>
      <c r="H24" s="18"/>
      <c r="I24" s="18"/>
      <c r="J24" s="13"/>
      <c r="K24" s="32"/>
      <c r="L24" s="14">
        <f t="shared" si="0"/>
        <v>0</v>
      </c>
      <c r="M24" s="31">
        <f t="shared" si="1"/>
        <v>0</v>
      </c>
      <c r="N24" s="15" t="str">
        <f>IF(Table2683254[[#This Row],[Fault Type]]="PM",IF(L24&lt;=(D24-C24),"Yes","No"),"")</f>
        <v/>
      </c>
      <c r="O24" s="16" t="str">
        <f t="shared" si="2"/>
        <v/>
      </c>
      <c r="P2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4" s="144"/>
    </row>
    <row r="25" spans="1:17" ht="15.5" x14ac:dyDescent="0.35">
      <c r="A25" s="4"/>
      <c r="B25" s="101"/>
      <c r="C25" s="13"/>
      <c r="D25" s="13"/>
      <c r="E25" s="13"/>
      <c r="F25" s="18"/>
      <c r="G25" s="159"/>
      <c r="H25" s="18"/>
      <c r="I25" s="18"/>
      <c r="J25" s="13"/>
      <c r="K25" s="32"/>
      <c r="L25" s="14">
        <f t="shared" si="0"/>
        <v>0</v>
      </c>
      <c r="M25" s="31">
        <f t="shared" si="1"/>
        <v>0</v>
      </c>
      <c r="N25" s="15" t="str">
        <f>IF(Table2683254[[#This Row],[Fault Type]]="PM",IF(L25&lt;=(D25-C25),"Yes","No"),"")</f>
        <v/>
      </c>
      <c r="O25" s="16" t="str">
        <f t="shared" si="2"/>
        <v/>
      </c>
      <c r="P2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5" s="144"/>
    </row>
    <row r="26" spans="1:17" ht="15.5" x14ac:dyDescent="0.35">
      <c r="A26" s="4"/>
      <c r="B26" s="12"/>
      <c r="C26" s="13"/>
      <c r="D26" s="13"/>
      <c r="E26" s="13"/>
      <c r="F26" s="18"/>
      <c r="G26" s="159"/>
      <c r="H26" s="18"/>
      <c r="I26" s="18"/>
      <c r="J26" s="13"/>
      <c r="K26" s="32"/>
      <c r="L26" s="14">
        <f t="shared" si="0"/>
        <v>0</v>
      </c>
      <c r="M26" s="31">
        <f t="shared" si="1"/>
        <v>0</v>
      </c>
      <c r="N26" s="15" t="str">
        <f>IF(Table2683254[[#This Row],[Fault Type]]="PM",IF(L26&lt;=(D26-C26),"Yes","No"),"")</f>
        <v/>
      </c>
      <c r="O26" s="16" t="str">
        <f t="shared" si="2"/>
        <v/>
      </c>
      <c r="P2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6" s="144"/>
    </row>
    <row r="27" spans="1:17" ht="15.5" x14ac:dyDescent="0.35">
      <c r="A27" s="4"/>
      <c r="B27" s="12"/>
      <c r="C27" s="13"/>
      <c r="D27" s="13"/>
      <c r="E27" s="13"/>
      <c r="F27" s="12"/>
      <c r="G27" s="159"/>
      <c r="H27" s="12"/>
      <c r="I27" s="12"/>
      <c r="J27" s="13"/>
      <c r="K27" s="32"/>
      <c r="L27" s="14">
        <f t="shared" si="0"/>
        <v>0</v>
      </c>
      <c r="M27" s="31">
        <f t="shared" ref="M27:M81" si="3">L27*F27</f>
        <v>0</v>
      </c>
      <c r="N27" s="15" t="str">
        <f>IF(Table2683254[[#This Row],[Fault Type]]="PM",IF(L27&lt;=(D27-C27),"Yes","No"),"")</f>
        <v/>
      </c>
      <c r="O27" s="16" t="str">
        <f t="shared" si="2"/>
        <v/>
      </c>
      <c r="P2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7" s="144"/>
    </row>
    <row r="28" spans="1:17" ht="15.5" x14ac:dyDescent="0.35">
      <c r="A28" s="158"/>
      <c r="B28" s="12"/>
      <c r="C28" s="13"/>
      <c r="D28" s="13"/>
      <c r="E28" s="13"/>
      <c r="F28" s="18"/>
      <c r="G28" s="159"/>
      <c r="H28" s="18"/>
      <c r="I28" s="18"/>
      <c r="J28" s="13"/>
      <c r="K28" s="32"/>
      <c r="L28" s="14">
        <f t="shared" si="0"/>
        <v>0</v>
      </c>
      <c r="M28" s="31">
        <f t="shared" si="3"/>
        <v>0</v>
      </c>
      <c r="N28" s="15" t="str">
        <f>IF(Table2683254[[#This Row],[Fault Type]]="PM",IF(L28&lt;=(D28-C28),"Yes","No"),"")</f>
        <v/>
      </c>
      <c r="O28" s="16" t="str">
        <f t="shared" si="2"/>
        <v/>
      </c>
      <c r="P2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8" s="144"/>
    </row>
    <row r="29" spans="1:17" ht="15.5" x14ac:dyDescent="0.35">
      <c r="A29" s="4"/>
      <c r="B29" s="12"/>
      <c r="C29" s="13"/>
      <c r="D29" s="13"/>
      <c r="E29" s="13"/>
      <c r="F29" s="18"/>
      <c r="G29" s="159"/>
      <c r="H29" s="18"/>
      <c r="I29" s="18"/>
      <c r="J29" s="13"/>
      <c r="K29" s="32"/>
      <c r="L29" s="14">
        <f t="shared" si="0"/>
        <v>0</v>
      </c>
      <c r="M29" s="31">
        <f t="shared" si="3"/>
        <v>0</v>
      </c>
      <c r="N29" s="15" t="str">
        <f>IF(Table2683254[[#This Row],[Fault Type]]="PM",IF(L29&lt;=(D29-C29),"Yes","No"),"")</f>
        <v/>
      </c>
      <c r="O29" s="16" t="str">
        <f t="shared" si="2"/>
        <v/>
      </c>
      <c r="P2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29" s="144"/>
    </row>
    <row r="30" spans="1:17" ht="15.5" x14ac:dyDescent="0.35">
      <c r="A30" s="4"/>
      <c r="B30" s="12"/>
      <c r="C30" s="13"/>
      <c r="D30" s="13"/>
      <c r="E30" s="13"/>
      <c r="F30" s="12"/>
      <c r="G30" s="159"/>
      <c r="H30" s="12"/>
      <c r="I30" s="12"/>
      <c r="J30" s="13"/>
      <c r="K30" s="32"/>
      <c r="L30" s="14">
        <f t="shared" si="0"/>
        <v>0</v>
      </c>
      <c r="M30" s="31">
        <f t="shared" si="3"/>
        <v>0</v>
      </c>
      <c r="N30" s="15" t="str">
        <f>IF(Table2683254[[#This Row],[Fault Type]]="PM",IF(L30&lt;=(D30-C30),"Yes","No"),"")</f>
        <v/>
      </c>
      <c r="O30" s="16" t="str">
        <f t="shared" si="2"/>
        <v/>
      </c>
      <c r="P3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0" s="144"/>
    </row>
    <row r="31" spans="1:17" ht="15.5" x14ac:dyDescent="0.35">
      <c r="A31" s="4"/>
      <c r="B31" s="12"/>
      <c r="C31" s="13"/>
      <c r="D31" s="13"/>
      <c r="E31" s="13"/>
      <c r="F31" s="18"/>
      <c r="G31" s="159"/>
      <c r="H31" s="18"/>
      <c r="I31" s="18"/>
      <c r="J31" s="13"/>
      <c r="K31" s="32"/>
      <c r="L31" s="14">
        <f t="shared" si="0"/>
        <v>0</v>
      </c>
      <c r="M31" s="31">
        <f t="shared" si="3"/>
        <v>0</v>
      </c>
      <c r="N31" s="15" t="str">
        <f>IF(Table2683254[[#This Row],[Fault Type]]="PM",IF(L31&lt;=(D31-C31),"Yes","No"),"")</f>
        <v/>
      </c>
      <c r="O31" s="16" t="str">
        <f t="shared" si="2"/>
        <v/>
      </c>
      <c r="P3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1" s="144"/>
    </row>
    <row r="32" spans="1:17" ht="15.5" x14ac:dyDescent="0.35">
      <c r="A32" s="4"/>
      <c r="B32" s="12"/>
      <c r="C32" s="13"/>
      <c r="D32" s="13"/>
      <c r="E32" s="13"/>
      <c r="F32" s="18"/>
      <c r="G32" s="159"/>
      <c r="H32" s="18"/>
      <c r="I32" s="18"/>
      <c r="J32" s="13"/>
      <c r="K32" s="32"/>
      <c r="L32" s="14">
        <f t="shared" si="0"/>
        <v>0</v>
      </c>
      <c r="M32" s="31">
        <f t="shared" si="3"/>
        <v>0</v>
      </c>
      <c r="N32" s="15" t="str">
        <f>IF(Table2683254[[#This Row],[Fault Type]]="PM",IF(L32&lt;=(D32-C32),"Yes","No"),"")</f>
        <v/>
      </c>
      <c r="O32" s="16" t="str">
        <f t="shared" si="2"/>
        <v/>
      </c>
      <c r="P3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2" s="144"/>
    </row>
    <row r="33" spans="1:17" ht="15.5" x14ac:dyDescent="0.35">
      <c r="A33" s="4"/>
      <c r="B33" s="12"/>
      <c r="C33" s="13"/>
      <c r="D33" s="13"/>
      <c r="E33" s="13"/>
      <c r="F33" s="18"/>
      <c r="G33" s="159"/>
      <c r="H33" s="18"/>
      <c r="I33" s="18"/>
      <c r="J33" s="13"/>
      <c r="K33" s="32"/>
      <c r="L33" s="14">
        <f t="shared" si="0"/>
        <v>0</v>
      </c>
      <c r="M33" s="31">
        <f t="shared" si="3"/>
        <v>0</v>
      </c>
      <c r="N33" s="15" t="str">
        <f>IF(Table2683254[[#This Row],[Fault Type]]="PM",IF(L33&lt;=(D33-C33),"Yes","No"),"")</f>
        <v/>
      </c>
      <c r="O33" s="16" t="str">
        <f t="shared" si="2"/>
        <v/>
      </c>
      <c r="P3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3" s="144"/>
    </row>
    <row r="34" spans="1:17" ht="15.5" x14ac:dyDescent="0.35">
      <c r="A34" s="4"/>
      <c r="B34" s="12"/>
      <c r="C34" s="13"/>
      <c r="D34" s="13"/>
      <c r="E34" s="13"/>
      <c r="F34" s="18"/>
      <c r="G34" s="159"/>
      <c r="H34" s="18"/>
      <c r="I34" s="18"/>
      <c r="J34" s="13"/>
      <c r="K34" s="32"/>
      <c r="L34" s="14">
        <f t="shared" si="0"/>
        <v>0</v>
      </c>
      <c r="M34" s="31">
        <f t="shared" si="3"/>
        <v>0</v>
      </c>
      <c r="N34" s="15" t="str">
        <f>IF(Table2683254[[#This Row],[Fault Type]]="PM",IF(L34&lt;=(D34-C34),"Yes","No"),"")</f>
        <v/>
      </c>
      <c r="O34" s="16" t="str">
        <f t="shared" si="2"/>
        <v/>
      </c>
      <c r="P3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4" s="144"/>
    </row>
    <row r="35" spans="1:17" ht="15.5" x14ac:dyDescent="0.35">
      <c r="A35" s="4"/>
      <c r="B35" s="12"/>
      <c r="C35" s="13"/>
      <c r="D35" s="13"/>
      <c r="E35" s="13"/>
      <c r="F35" s="18"/>
      <c r="G35" s="159"/>
      <c r="H35" s="18"/>
      <c r="I35" s="18"/>
      <c r="J35" s="13"/>
      <c r="K35" s="32"/>
      <c r="L35" s="14">
        <f t="shared" si="0"/>
        <v>0</v>
      </c>
      <c r="M35" s="31">
        <f t="shared" si="3"/>
        <v>0</v>
      </c>
      <c r="N35" s="15" t="str">
        <f>IF(Table2683254[[#This Row],[Fault Type]]="PM",IF(L35&lt;=(D35-C35),"Yes","No"),"")</f>
        <v/>
      </c>
      <c r="O35" s="16" t="str">
        <f t="shared" si="2"/>
        <v/>
      </c>
      <c r="P3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5" s="144"/>
    </row>
    <row r="36" spans="1:17" s="116" customFormat="1" ht="15.5" x14ac:dyDescent="0.35">
      <c r="A36" s="131"/>
      <c r="B36" s="132"/>
      <c r="C36" s="133"/>
      <c r="D36" s="133"/>
      <c r="E36" s="133"/>
      <c r="F36" s="134"/>
      <c r="G36" s="159"/>
      <c r="H36" s="134"/>
      <c r="I36" s="134"/>
      <c r="J36" s="133"/>
      <c r="K36" s="136"/>
      <c r="L36" s="14">
        <f>J36-E36</f>
        <v>0</v>
      </c>
      <c r="M36" s="31">
        <f>L36*F36</f>
        <v>0</v>
      </c>
      <c r="N36" s="15" t="str">
        <f>IF(Table2683254[[#This Row],[Fault Type]]="PM",IF(L36&lt;=(D36-C36),"Yes","No"),"")</f>
        <v/>
      </c>
      <c r="O36" s="16" t="str">
        <f>IF(N36="No",(L36-(D36-C36)),"")</f>
        <v/>
      </c>
      <c r="P3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6" s="144"/>
    </row>
    <row r="37" spans="1:17" ht="15.5" x14ac:dyDescent="0.35">
      <c r="A37" s="4"/>
      <c r="B37" s="12"/>
      <c r="C37" s="13"/>
      <c r="D37" s="13"/>
      <c r="E37" s="13"/>
      <c r="F37" s="18"/>
      <c r="G37" s="159"/>
      <c r="H37" s="18"/>
      <c r="I37" s="18"/>
      <c r="J37" s="13"/>
      <c r="K37" s="32"/>
      <c r="L37" s="14">
        <f t="shared" si="0"/>
        <v>0</v>
      </c>
      <c r="M37" s="31">
        <f t="shared" si="3"/>
        <v>0</v>
      </c>
      <c r="N37" s="15" t="str">
        <f>IF(Table2683254[[#This Row],[Fault Type]]="PM",IF(L37&lt;=(D37-C37),"Yes","No"),"")</f>
        <v/>
      </c>
      <c r="O37" s="16" t="str">
        <f t="shared" si="2"/>
        <v/>
      </c>
      <c r="P3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7" s="144"/>
    </row>
    <row r="38" spans="1:17" ht="15.5" x14ac:dyDescent="0.35">
      <c r="A38" s="4"/>
      <c r="B38" s="12"/>
      <c r="C38" s="13"/>
      <c r="D38" s="13"/>
      <c r="E38" s="13"/>
      <c r="F38" s="18"/>
      <c r="G38" s="159"/>
      <c r="H38" s="18"/>
      <c r="I38" s="18"/>
      <c r="J38" s="13"/>
      <c r="K38" s="32"/>
      <c r="L38" s="14">
        <f t="shared" si="0"/>
        <v>0</v>
      </c>
      <c r="M38" s="31">
        <f t="shared" si="3"/>
        <v>0</v>
      </c>
      <c r="N38" s="15" t="str">
        <f>IF(Table2683254[[#This Row],[Fault Type]]="PM",IF(L38&lt;=(D38-C38),"Yes","No"),"")</f>
        <v/>
      </c>
      <c r="O38" s="16" t="str">
        <f t="shared" si="2"/>
        <v/>
      </c>
      <c r="P3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8" s="17"/>
    </row>
    <row r="39" spans="1:17" ht="15.5" x14ac:dyDescent="0.35">
      <c r="A39" s="4"/>
      <c r="B39" s="12"/>
      <c r="C39" s="13"/>
      <c r="D39" s="13"/>
      <c r="E39" s="13"/>
      <c r="F39" s="18"/>
      <c r="G39" s="159"/>
      <c r="H39" s="18"/>
      <c r="I39" s="18"/>
      <c r="J39" s="13"/>
      <c r="K39" s="32"/>
      <c r="L39" s="14">
        <f t="shared" si="0"/>
        <v>0</v>
      </c>
      <c r="M39" s="31">
        <f t="shared" si="3"/>
        <v>0</v>
      </c>
      <c r="N39" s="15" t="str">
        <f>IF(Table2683254[[#This Row],[Fault Type]]="PM",IF(L39&lt;=(D39-C39),"Yes","No"),"")</f>
        <v/>
      </c>
      <c r="O39" s="16" t="str">
        <f t="shared" si="2"/>
        <v/>
      </c>
      <c r="P3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IF(Table2683254[[#This Row],[Fault Type]]="PM",IF(L40&lt;=(D40-C40),"Yes","No"),"")</f>
        <v/>
      </c>
      <c r="O40" s="16" t="str">
        <f t="shared" si="2"/>
        <v/>
      </c>
      <c r="P4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IF(Table2683254[[#This Row],[Fault Type]]="PM",IF(L41&lt;=(D41-C41),"Yes","No"),"")</f>
        <v/>
      </c>
      <c r="O41" s="16" t="str">
        <f t="shared" si="2"/>
        <v/>
      </c>
      <c r="P4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1" s="17"/>
    </row>
    <row r="42" spans="1:17" ht="15.5" x14ac:dyDescent="0.35">
      <c r="A42" s="4"/>
      <c r="B42" s="12"/>
      <c r="C42" s="13"/>
      <c r="D42" s="13"/>
      <c r="E42" s="13"/>
      <c r="F42" s="18"/>
      <c r="G42" s="159"/>
      <c r="H42" s="18"/>
      <c r="I42" s="18"/>
      <c r="J42" s="13"/>
      <c r="K42" s="32"/>
      <c r="L42" s="14">
        <f t="shared" si="0"/>
        <v>0</v>
      </c>
      <c r="M42" s="31">
        <f t="shared" si="3"/>
        <v>0</v>
      </c>
      <c r="N42" s="15" t="str">
        <f>IF(Table2683254[[#This Row],[Fault Type]]="PM",IF(L42&lt;=(D42-C42),"Yes","No"),"")</f>
        <v/>
      </c>
      <c r="O42" s="16" t="str">
        <f t="shared" si="2"/>
        <v/>
      </c>
      <c r="P4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2" s="17"/>
    </row>
    <row r="43" spans="1:17" ht="15.5" x14ac:dyDescent="0.35">
      <c r="A43" s="4"/>
      <c r="B43" s="12"/>
      <c r="C43" s="13"/>
      <c r="D43" s="13"/>
      <c r="E43" s="13"/>
      <c r="F43" s="18"/>
      <c r="G43" s="159"/>
      <c r="H43" s="18"/>
      <c r="I43" s="18"/>
      <c r="J43" s="13"/>
      <c r="K43" s="32"/>
      <c r="L43" s="14">
        <f t="shared" si="0"/>
        <v>0</v>
      </c>
      <c r="M43" s="31">
        <f t="shared" si="3"/>
        <v>0</v>
      </c>
      <c r="N43" s="15" t="str">
        <f>IF(Table2683254[[#This Row],[Fault Type]]="PM",IF(L43&lt;=(D43-C43),"Yes","No"),"")</f>
        <v/>
      </c>
      <c r="O43" s="16" t="str">
        <f t="shared" si="2"/>
        <v/>
      </c>
      <c r="P4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3" s="17"/>
    </row>
    <row r="44" spans="1:17" ht="15.5" x14ac:dyDescent="0.35">
      <c r="A44" s="4"/>
      <c r="B44" s="12"/>
      <c r="C44" s="13"/>
      <c r="D44" s="13"/>
      <c r="E44" s="13"/>
      <c r="F44" s="18"/>
      <c r="G44" s="159"/>
      <c r="H44" s="18"/>
      <c r="I44" s="18"/>
      <c r="J44" s="13"/>
      <c r="K44" s="32"/>
      <c r="L44" s="14">
        <f t="shared" si="0"/>
        <v>0</v>
      </c>
      <c r="M44" s="31">
        <f t="shared" si="3"/>
        <v>0</v>
      </c>
      <c r="N44" s="15" t="str">
        <f>IF(Table2683254[[#This Row],[Fault Type]]="PM",IF(L44&lt;=(D44-C44),"Yes","No"),"")</f>
        <v/>
      </c>
      <c r="O44" s="16" t="str">
        <f t="shared" si="2"/>
        <v/>
      </c>
      <c r="P4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4" s="17"/>
    </row>
    <row r="45" spans="1:17" ht="15.5" x14ac:dyDescent="0.35">
      <c r="A45" s="4"/>
      <c r="B45" s="12"/>
      <c r="C45" s="13"/>
      <c r="D45" s="13"/>
      <c r="E45" s="13"/>
      <c r="F45" s="18"/>
      <c r="G45" s="159"/>
      <c r="H45" s="18"/>
      <c r="I45" s="18"/>
      <c r="J45" s="13"/>
      <c r="K45" s="32"/>
      <c r="L45" s="14">
        <f t="shared" si="0"/>
        <v>0</v>
      </c>
      <c r="M45" s="31">
        <f t="shared" si="3"/>
        <v>0</v>
      </c>
      <c r="N45" s="15" t="str">
        <f>IF(Table2683254[[#This Row],[Fault Type]]="PM",IF(L45&lt;=(D45-C45),"Yes","No"),"")</f>
        <v/>
      </c>
      <c r="O45" s="16" t="str">
        <f t="shared" si="2"/>
        <v/>
      </c>
      <c r="P4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5" s="17"/>
    </row>
    <row r="46" spans="1:17" ht="15.5" x14ac:dyDescent="0.35">
      <c r="A46" s="4"/>
      <c r="B46" s="12"/>
      <c r="C46" s="13"/>
      <c r="D46" s="13"/>
      <c r="E46" s="13"/>
      <c r="F46" s="18"/>
      <c r="G46" s="159"/>
      <c r="H46" s="18"/>
      <c r="I46" s="18"/>
      <c r="J46" s="13"/>
      <c r="K46" s="32"/>
      <c r="L46" s="14">
        <f t="shared" si="0"/>
        <v>0</v>
      </c>
      <c r="M46" s="31">
        <f t="shared" si="3"/>
        <v>0</v>
      </c>
      <c r="N46" s="15" t="str">
        <f>IF(Table2683254[[#This Row],[Fault Type]]="PM",IF(L46&lt;=(D46-C46),"Yes","No"),"")</f>
        <v/>
      </c>
      <c r="O46" s="16" t="str">
        <f t="shared" si="2"/>
        <v/>
      </c>
      <c r="P4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6" s="17"/>
    </row>
    <row r="47" spans="1:17" ht="15.75" customHeight="1" x14ac:dyDescent="0.35">
      <c r="A47" s="4"/>
      <c r="B47" s="12"/>
      <c r="C47" s="13"/>
      <c r="D47" s="13"/>
      <c r="E47" s="13"/>
      <c r="F47" s="12"/>
      <c r="G47" s="159"/>
      <c r="H47" s="12"/>
      <c r="I47" s="12"/>
      <c r="J47" s="13"/>
      <c r="K47" s="32"/>
      <c r="L47" s="14">
        <f t="shared" si="0"/>
        <v>0</v>
      </c>
      <c r="M47" s="31">
        <f t="shared" si="3"/>
        <v>0</v>
      </c>
      <c r="N47" s="15" t="str">
        <f>IF(Table2683254[[#This Row],[Fault Type]]="PM",IF(L47&lt;=(D47-C47),"Yes","No"),"")</f>
        <v/>
      </c>
      <c r="O47" s="16" t="str">
        <f t="shared" si="2"/>
        <v/>
      </c>
      <c r="P4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7" s="17"/>
    </row>
    <row r="48" spans="1:17" ht="15.5" x14ac:dyDescent="0.35">
      <c r="A48" s="4"/>
      <c r="B48" s="12"/>
      <c r="C48" s="13"/>
      <c r="D48" s="13"/>
      <c r="E48" s="13"/>
      <c r="F48" s="18"/>
      <c r="G48" s="159"/>
      <c r="H48" s="18"/>
      <c r="I48" s="18"/>
      <c r="J48" s="13"/>
      <c r="K48" s="32"/>
      <c r="L48" s="14">
        <f t="shared" si="0"/>
        <v>0</v>
      </c>
      <c r="M48" s="31">
        <f t="shared" si="3"/>
        <v>0</v>
      </c>
      <c r="N48" s="15" t="str">
        <f>IF(Table2683254[[#This Row],[Fault Type]]="PM",IF(L48&lt;=(D48-C48),"Yes","No"),"")</f>
        <v/>
      </c>
      <c r="O48" s="16" t="str">
        <f t="shared" si="2"/>
        <v/>
      </c>
      <c r="P4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48" s="17"/>
    </row>
    <row r="49" spans="1:17" ht="15.5" x14ac:dyDescent="0.35">
      <c r="A49" s="4"/>
      <c r="B49" s="49"/>
      <c r="C49" s="13"/>
      <c r="D49" s="13"/>
      <c r="E49" s="13"/>
      <c r="F49" s="64"/>
      <c r="G49" s="159"/>
      <c r="H49" s="54"/>
      <c r="I49" s="54"/>
      <c r="J49" s="13"/>
      <c r="K49" s="32"/>
      <c r="L49" s="14">
        <f t="shared" si="0"/>
        <v>0</v>
      </c>
      <c r="M49" s="53">
        <f t="shared" si="3"/>
        <v>0</v>
      </c>
      <c r="N49" s="50" t="str">
        <f>IF(Table2683254[[#This Row],[Fault Type]]="PM",IF(L49&lt;=(D49-C49),"Yes","No"),"")</f>
        <v/>
      </c>
      <c r="O49" s="51" t="str">
        <f t="shared" si="2"/>
        <v/>
      </c>
      <c r="P4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row>
    <row r="50" spans="1:17" ht="15.5" x14ac:dyDescent="0.35">
      <c r="A50" s="58"/>
      <c r="B50" s="55"/>
      <c r="C50" s="56"/>
      <c r="D50" s="56"/>
      <c r="E50" s="13"/>
      <c r="F50" s="55"/>
      <c r="G50" s="159"/>
      <c r="H50" s="57"/>
      <c r="I50" s="18"/>
      <c r="J50" s="13"/>
      <c r="K50" s="32"/>
      <c r="L50" s="14">
        <f t="shared" si="0"/>
        <v>0</v>
      </c>
      <c r="M50" s="59">
        <f t="shared" si="3"/>
        <v>0</v>
      </c>
      <c r="N50" s="61" t="str">
        <f>IF(Table2683254[[#This Row],[Fault Type]]="PM",IF(L50&lt;=(D50-C50),"Yes","No"),"")</f>
        <v/>
      </c>
      <c r="O50" s="62" t="str">
        <f t="shared" si="2"/>
        <v/>
      </c>
      <c r="P5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0" s="63"/>
    </row>
    <row r="51" spans="1:17" ht="15.5" x14ac:dyDescent="0.35">
      <c r="A51" s="58"/>
      <c r="B51" s="55"/>
      <c r="C51" s="56"/>
      <c r="D51" s="56"/>
      <c r="E51" s="13"/>
      <c r="F51" s="55"/>
      <c r="G51" s="159"/>
      <c r="H51" s="57"/>
      <c r="I51" s="18"/>
      <c r="J51" s="13"/>
      <c r="K51" s="32"/>
      <c r="L51" s="14">
        <f t="shared" si="0"/>
        <v>0</v>
      </c>
      <c r="M51" s="59">
        <f t="shared" si="3"/>
        <v>0</v>
      </c>
      <c r="N51" s="61" t="str">
        <f>IF(Table2683254[[#This Row],[Fault Type]]="PM",IF(L51&lt;=(D51-C51),"Yes","No"),"")</f>
        <v/>
      </c>
      <c r="O51" s="62" t="str">
        <f t="shared" si="2"/>
        <v/>
      </c>
      <c r="P5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1" s="63"/>
    </row>
    <row r="52" spans="1:17" ht="15.5" x14ac:dyDescent="0.35">
      <c r="A52" s="58"/>
      <c r="B52" s="55"/>
      <c r="C52" s="56"/>
      <c r="D52" s="56"/>
      <c r="E52" s="13"/>
      <c r="F52" s="55"/>
      <c r="G52" s="159"/>
      <c r="H52" s="57"/>
      <c r="I52" s="18"/>
      <c r="J52" s="13"/>
      <c r="K52" s="32"/>
      <c r="L52" s="14">
        <f t="shared" si="0"/>
        <v>0</v>
      </c>
      <c r="M52" s="59">
        <f t="shared" si="3"/>
        <v>0</v>
      </c>
      <c r="N52" s="61" t="str">
        <f>IF(Table2683254[[#This Row],[Fault Type]]="PM",IF(L52&lt;=(D52-C52),"Yes","No"),"")</f>
        <v/>
      </c>
      <c r="O52" s="62" t="str">
        <f t="shared" si="2"/>
        <v/>
      </c>
      <c r="P5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2" s="63"/>
    </row>
    <row r="53" spans="1:17" ht="15.5" x14ac:dyDescent="0.35">
      <c r="A53" s="58"/>
      <c r="B53" s="55"/>
      <c r="C53" s="56"/>
      <c r="D53" s="56"/>
      <c r="E53" s="13"/>
      <c r="F53" s="55"/>
      <c r="G53" s="159"/>
      <c r="H53" s="18"/>
      <c r="I53" s="18"/>
      <c r="J53" s="13"/>
      <c r="K53" s="32"/>
      <c r="L53" s="14">
        <f t="shared" si="0"/>
        <v>0</v>
      </c>
      <c r="M53" s="59">
        <f t="shared" si="3"/>
        <v>0</v>
      </c>
      <c r="N53" s="61" t="str">
        <f>IF(Table2683254[[#This Row],[Fault Type]]="PM",IF(L53&lt;=(D53-C53),"Yes","No"),"")</f>
        <v/>
      </c>
      <c r="O53" s="62" t="str">
        <f t="shared" si="2"/>
        <v/>
      </c>
      <c r="P5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3" s="63"/>
    </row>
    <row r="54" spans="1:17" ht="15.5" x14ac:dyDescent="0.35">
      <c r="A54" s="58"/>
      <c r="B54" s="55"/>
      <c r="C54" s="56"/>
      <c r="D54" s="56"/>
      <c r="E54" s="13"/>
      <c r="F54" s="55"/>
      <c r="G54" s="159"/>
      <c r="H54" s="57"/>
      <c r="I54" s="18"/>
      <c r="J54" s="13"/>
      <c r="K54" s="83"/>
      <c r="L54" s="14">
        <f t="shared" si="0"/>
        <v>0</v>
      </c>
      <c r="M54" s="59">
        <f t="shared" si="3"/>
        <v>0</v>
      </c>
      <c r="N54" s="61" t="str">
        <f>IF(Table2683254[[#This Row],[Fault Type]]="PM",IF(L54&lt;=(D54-C54),"Yes","No"),"")</f>
        <v/>
      </c>
      <c r="O54" s="62" t="str">
        <f t="shared" si="2"/>
        <v/>
      </c>
      <c r="P5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4" s="63"/>
    </row>
    <row r="55" spans="1:17" ht="15.5" x14ac:dyDescent="0.35">
      <c r="A55" s="58"/>
      <c r="B55" s="55"/>
      <c r="C55" s="56"/>
      <c r="D55" s="56"/>
      <c r="E55" s="13"/>
      <c r="F55" s="55"/>
      <c r="G55" s="159"/>
      <c r="H55" s="57"/>
      <c r="I55" s="18"/>
      <c r="J55" s="13"/>
      <c r="K55" s="83"/>
      <c r="L55" s="14">
        <f t="shared" si="0"/>
        <v>0</v>
      </c>
      <c r="M55" s="59">
        <f t="shared" si="3"/>
        <v>0</v>
      </c>
      <c r="N55" s="61" t="str">
        <f>IF(Table2683254[[#This Row],[Fault Type]]="PM",IF(L55&lt;=(D55-C55),"Yes","No"),"")</f>
        <v/>
      </c>
      <c r="O55" s="62" t="str">
        <f t="shared" si="2"/>
        <v/>
      </c>
      <c r="P5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5" s="63"/>
    </row>
    <row r="56" spans="1:17" ht="15.5" x14ac:dyDescent="0.35">
      <c r="A56" s="58"/>
      <c r="B56" s="55"/>
      <c r="C56" s="56"/>
      <c r="D56" s="56"/>
      <c r="E56" s="13"/>
      <c r="F56" s="55"/>
      <c r="G56" s="159"/>
      <c r="H56" s="57"/>
      <c r="I56" s="18"/>
      <c r="J56" s="13"/>
      <c r="K56" s="83"/>
      <c r="L56" s="14">
        <f t="shared" si="0"/>
        <v>0</v>
      </c>
      <c r="M56" s="59">
        <f t="shared" si="3"/>
        <v>0</v>
      </c>
      <c r="N56" s="61" t="str">
        <f>IF(Table2683254[[#This Row],[Fault Type]]="PM",IF(L56&lt;=(D56-C56),"Yes","No"),"")</f>
        <v/>
      </c>
      <c r="O56" s="62" t="str">
        <f t="shared" si="2"/>
        <v/>
      </c>
      <c r="P5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61" t="str">
        <f>IF(Table2683254[[#This Row],[Fault Type]]="PM",IF(L57&lt;=(D57-C57),"Yes","No"),"")</f>
        <v/>
      </c>
      <c r="O57" s="62" t="str">
        <f t="shared" si="2"/>
        <v/>
      </c>
      <c r="P5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61" t="str">
        <f>IF(Table2683254[[#This Row],[Fault Type]]="PM",IF(L58&lt;=(D58-C58),"Yes","No"),"")</f>
        <v/>
      </c>
      <c r="O58" s="62" t="str">
        <f t="shared" si="2"/>
        <v/>
      </c>
      <c r="P5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61" t="str">
        <f>IF(Table2683254[[#This Row],[Fault Type]]="PM",IF(L59&lt;=(D59-C59),"Yes","No"),"")</f>
        <v/>
      </c>
      <c r="O59" s="62" t="str">
        <f t="shared" si="2"/>
        <v/>
      </c>
      <c r="P5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59" s="63"/>
    </row>
    <row r="60" spans="1:17" ht="15.5" x14ac:dyDescent="0.35">
      <c r="A60" s="58"/>
      <c r="B60" s="55"/>
      <c r="C60" s="56"/>
      <c r="D60" s="56"/>
      <c r="E60" s="13"/>
      <c r="F60" s="55"/>
      <c r="G60" s="159"/>
      <c r="H60" s="57"/>
      <c r="I60" s="18"/>
      <c r="J60" s="13"/>
      <c r="K60" s="83"/>
      <c r="L60" s="14">
        <f t="shared" si="0"/>
        <v>0</v>
      </c>
      <c r="M60" s="59">
        <f t="shared" si="3"/>
        <v>0</v>
      </c>
      <c r="N60" s="61" t="str">
        <f>IF(Table2683254[[#This Row],[Fault Type]]="PM",IF(L60&lt;=(D60-C60),"Yes","No"),"")</f>
        <v/>
      </c>
      <c r="O60" s="62" t="str">
        <f t="shared" si="2"/>
        <v/>
      </c>
      <c r="P6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0" s="63"/>
    </row>
    <row r="61" spans="1:17" ht="15.5" x14ac:dyDescent="0.35">
      <c r="A61" s="58"/>
      <c r="B61" s="55"/>
      <c r="C61" s="56"/>
      <c r="D61" s="56"/>
      <c r="E61" s="13"/>
      <c r="F61" s="55"/>
      <c r="G61" s="159"/>
      <c r="H61" s="57"/>
      <c r="I61" s="18"/>
      <c r="J61" s="13"/>
      <c r="K61" s="83"/>
      <c r="L61" s="14">
        <f t="shared" si="0"/>
        <v>0</v>
      </c>
      <c r="M61" s="59">
        <f t="shared" si="3"/>
        <v>0</v>
      </c>
      <c r="N61" s="61" t="str">
        <f>IF(Table2683254[[#This Row],[Fault Type]]="PM",IF(L61&lt;=(D61-C61),"Yes","No"),"")</f>
        <v/>
      </c>
      <c r="O61" s="62" t="str">
        <f t="shared" si="2"/>
        <v/>
      </c>
      <c r="P6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1" s="63"/>
    </row>
    <row r="62" spans="1:17" ht="15.5" x14ac:dyDescent="0.35">
      <c r="A62" s="58"/>
      <c r="B62" s="55"/>
      <c r="C62" s="56"/>
      <c r="D62" s="56"/>
      <c r="E62" s="13"/>
      <c r="F62" s="55"/>
      <c r="G62" s="159"/>
      <c r="H62" s="57"/>
      <c r="I62" s="18"/>
      <c r="J62" s="13"/>
      <c r="K62" s="83"/>
      <c r="L62" s="14">
        <f t="shared" si="0"/>
        <v>0</v>
      </c>
      <c r="M62" s="59">
        <f t="shared" si="3"/>
        <v>0</v>
      </c>
      <c r="N62" s="61" t="str">
        <f>IF(Table2683254[[#This Row],[Fault Type]]="PM",IF(L62&lt;=(D62-C62),"Yes","No"),"")</f>
        <v/>
      </c>
      <c r="O62" s="62" t="str">
        <f t="shared" si="2"/>
        <v/>
      </c>
      <c r="P6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2" s="63"/>
    </row>
    <row r="63" spans="1:17" ht="15.5" x14ac:dyDescent="0.35">
      <c r="A63" s="58"/>
      <c r="B63" s="55"/>
      <c r="C63" s="56"/>
      <c r="D63" s="56"/>
      <c r="E63" s="13"/>
      <c r="F63" s="55"/>
      <c r="G63" s="159"/>
      <c r="H63" s="57"/>
      <c r="I63" s="18"/>
      <c r="J63" s="13"/>
      <c r="K63" s="83"/>
      <c r="L63" s="14">
        <f t="shared" si="0"/>
        <v>0</v>
      </c>
      <c r="M63" s="59">
        <f t="shared" si="3"/>
        <v>0</v>
      </c>
      <c r="N63" s="61" t="str">
        <f>IF(Table2683254[[#This Row],[Fault Type]]="PM",IF(L63&lt;=(D63-C63),"Yes","No"),"")</f>
        <v/>
      </c>
      <c r="O63" s="62" t="str">
        <f t="shared" si="2"/>
        <v/>
      </c>
      <c r="P6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3" s="63"/>
    </row>
    <row r="64" spans="1:17" ht="15.5" x14ac:dyDescent="0.35">
      <c r="A64" s="58"/>
      <c r="B64" s="55"/>
      <c r="C64" s="56"/>
      <c r="D64" s="56"/>
      <c r="E64" s="13"/>
      <c r="F64" s="55"/>
      <c r="G64" s="159"/>
      <c r="H64" s="57"/>
      <c r="I64" s="18"/>
      <c r="J64" s="13"/>
      <c r="K64" s="83"/>
      <c r="L64" s="14">
        <f t="shared" si="0"/>
        <v>0</v>
      </c>
      <c r="M64" s="59">
        <f t="shared" si="3"/>
        <v>0</v>
      </c>
      <c r="N64" s="61" t="str">
        <f>IF(Table2683254[[#This Row],[Fault Type]]="PM",IF(L64&lt;=(D64-C64),"Yes","No"),"")</f>
        <v/>
      </c>
      <c r="O64" s="62" t="str">
        <f t="shared" si="2"/>
        <v/>
      </c>
      <c r="P6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4" s="63"/>
    </row>
    <row r="65" spans="1:17" ht="15.5" x14ac:dyDescent="0.35">
      <c r="A65" s="58"/>
      <c r="B65" s="55"/>
      <c r="C65" s="56"/>
      <c r="D65" s="56"/>
      <c r="E65" s="13"/>
      <c r="F65" s="55"/>
      <c r="G65" s="159"/>
      <c r="H65" s="57"/>
      <c r="I65" s="18"/>
      <c r="J65" s="13"/>
      <c r="K65" s="83"/>
      <c r="L65" s="14">
        <f t="shared" si="0"/>
        <v>0</v>
      </c>
      <c r="M65" s="59">
        <f t="shared" si="3"/>
        <v>0</v>
      </c>
      <c r="N65" s="61" t="str">
        <f>IF(Table2683254[[#This Row],[Fault Type]]="PM",IF(L65&lt;=(D65-C65),"Yes","No"),"")</f>
        <v/>
      </c>
      <c r="O65" s="62" t="str">
        <f t="shared" si="2"/>
        <v/>
      </c>
      <c r="P6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5" s="63"/>
    </row>
    <row r="66" spans="1:17" ht="15.5" x14ac:dyDescent="0.35">
      <c r="A66" s="58"/>
      <c r="B66" s="55"/>
      <c r="C66" s="56"/>
      <c r="D66" s="56"/>
      <c r="E66" s="13"/>
      <c r="F66" s="55"/>
      <c r="G66" s="159"/>
      <c r="H66" s="57"/>
      <c r="I66" s="18"/>
      <c r="J66" s="13"/>
      <c r="K66" s="83"/>
      <c r="L66" s="14">
        <f t="shared" si="0"/>
        <v>0</v>
      </c>
      <c r="M66" s="59">
        <f t="shared" si="3"/>
        <v>0</v>
      </c>
      <c r="N66" s="61" t="str">
        <f>IF(Table2683254[[#This Row],[Fault Type]]="PM",IF(L66&lt;=(D66-C66),"Yes","No"),"")</f>
        <v/>
      </c>
      <c r="O66" s="62" t="str">
        <f t="shared" si="2"/>
        <v/>
      </c>
      <c r="P6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6" s="63"/>
    </row>
    <row r="67" spans="1:17" ht="15.5" x14ac:dyDescent="0.35">
      <c r="A67" s="58"/>
      <c r="B67" s="55"/>
      <c r="C67" s="56"/>
      <c r="D67" s="56"/>
      <c r="E67" s="13"/>
      <c r="F67" s="55"/>
      <c r="G67" s="159"/>
      <c r="H67" s="57"/>
      <c r="I67" s="18"/>
      <c r="J67" s="13"/>
      <c r="K67" s="83"/>
      <c r="L67" s="14">
        <f t="shared" si="0"/>
        <v>0</v>
      </c>
      <c r="M67" s="59">
        <f t="shared" si="3"/>
        <v>0</v>
      </c>
      <c r="N67" s="61" t="str">
        <f>IF(Table2683254[[#This Row],[Fault Type]]="PM",IF(L67&lt;=(D67-C67),"Yes","No"),"")</f>
        <v/>
      </c>
      <c r="O67" s="62" t="str">
        <f t="shared" si="2"/>
        <v/>
      </c>
      <c r="P6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7" s="63"/>
    </row>
    <row r="68" spans="1:17" ht="15.5" x14ac:dyDescent="0.35">
      <c r="A68" s="58"/>
      <c r="B68" s="55"/>
      <c r="C68" s="56"/>
      <c r="D68" s="56"/>
      <c r="E68" s="13"/>
      <c r="F68" s="55"/>
      <c r="G68" s="159"/>
      <c r="H68" s="57"/>
      <c r="I68" s="18"/>
      <c r="J68" s="13"/>
      <c r="K68" s="83"/>
      <c r="L68" s="14">
        <f t="shared" ref="L68:L77" si="4">J68-E68</f>
        <v>0</v>
      </c>
      <c r="M68" s="59">
        <f t="shared" si="3"/>
        <v>0</v>
      </c>
      <c r="N68" s="61" t="str">
        <f>IF(Table2683254[[#This Row],[Fault Type]]="PM",IF(L68&lt;=(D68-C68),"Yes","No"),"")</f>
        <v/>
      </c>
      <c r="O68" s="62" t="str">
        <f t="shared" ref="O68:O81" si="5">IF(N68="No",(L68-(D68-C68)),"")</f>
        <v/>
      </c>
      <c r="P6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8" s="63"/>
    </row>
    <row r="69" spans="1:17" ht="15.5" x14ac:dyDescent="0.35">
      <c r="A69" s="58"/>
      <c r="B69" s="55"/>
      <c r="C69" s="56"/>
      <c r="D69" s="56"/>
      <c r="E69" s="13"/>
      <c r="F69" s="55"/>
      <c r="G69" s="159"/>
      <c r="H69" s="57"/>
      <c r="I69" s="18"/>
      <c r="J69" s="13"/>
      <c r="K69" s="83"/>
      <c r="L69" s="14">
        <f t="shared" si="4"/>
        <v>0</v>
      </c>
      <c r="M69" s="59">
        <f t="shared" si="3"/>
        <v>0</v>
      </c>
      <c r="N69" s="61" t="str">
        <f>IF(Table2683254[[#This Row],[Fault Type]]="PM",IF(L69&lt;=(D69-C69),"Yes","No"),"")</f>
        <v/>
      </c>
      <c r="O69" s="62" t="str">
        <f t="shared" si="5"/>
        <v/>
      </c>
      <c r="P6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69" s="63"/>
    </row>
    <row r="70" spans="1:17" ht="15.5" x14ac:dyDescent="0.35">
      <c r="A70" s="58"/>
      <c r="B70" s="55"/>
      <c r="C70" s="56"/>
      <c r="D70" s="56"/>
      <c r="E70" s="13"/>
      <c r="F70" s="55"/>
      <c r="G70" s="159"/>
      <c r="H70" s="57"/>
      <c r="I70" s="18"/>
      <c r="J70" s="13"/>
      <c r="K70" s="83"/>
      <c r="L70" s="14">
        <f t="shared" si="4"/>
        <v>0</v>
      </c>
      <c r="M70" s="59">
        <f t="shared" si="3"/>
        <v>0</v>
      </c>
      <c r="N70" s="61" t="str">
        <f>IF(Table2683254[[#This Row],[Fault Type]]="PM",IF(L70&lt;=(D70-C70),"Yes","No"),"")</f>
        <v/>
      </c>
      <c r="O70" s="62" t="str">
        <f t="shared" si="5"/>
        <v/>
      </c>
      <c r="P7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0" s="63"/>
    </row>
    <row r="71" spans="1:17" ht="15.5" x14ac:dyDescent="0.35">
      <c r="A71" s="58"/>
      <c r="B71" s="55"/>
      <c r="C71" s="56"/>
      <c r="D71" s="56"/>
      <c r="E71" s="13"/>
      <c r="F71" s="55"/>
      <c r="G71" s="159"/>
      <c r="H71" s="57"/>
      <c r="I71" s="18"/>
      <c r="J71" s="13"/>
      <c r="K71" s="83"/>
      <c r="L71" s="14">
        <f t="shared" si="4"/>
        <v>0</v>
      </c>
      <c r="M71" s="59">
        <f t="shared" si="3"/>
        <v>0</v>
      </c>
      <c r="N71" s="61" t="str">
        <f>IF(Table2683254[[#This Row],[Fault Type]]="PM",IF(L71&lt;=(D71-C71),"Yes","No"),"")</f>
        <v/>
      </c>
      <c r="O71" s="62" t="str">
        <f t="shared" si="5"/>
        <v/>
      </c>
      <c r="P7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1" s="63"/>
    </row>
    <row r="72" spans="1:17" ht="15.5" x14ac:dyDescent="0.35">
      <c r="A72" s="58"/>
      <c r="B72" s="55"/>
      <c r="C72" s="56"/>
      <c r="D72" s="56"/>
      <c r="E72" s="13"/>
      <c r="F72" s="55"/>
      <c r="G72" s="159"/>
      <c r="H72" s="57"/>
      <c r="I72" s="18"/>
      <c r="J72" s="13"/>
      <c r="K72" s="83"/>
      <c r="L72" s="14">
        <f t="shared" si="4"/>
        <v>0</v>
      </c>
      <c r="M72" s="59">
        <f t="shared" si="3"/>
        <v>0</v>
      </c>
      <c r="N72" s="61" t="str">
        <f>IF(Table2683254[[#This Row],[Fault Type]]="PM",IF(L72&lt;=(D72-C72),"Yes","No"),"")</f>
        <v/>
      </c>
      <c r="O72" s="62" t="str">
        <f t="shared" si="5"/>
        <v/>
      </c>
      <c r="P7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2" s="63"/>
    </row>
    <row r="73" spans="1:17" ht="15.5" x14ac:dyDescent="0.35">
      <c r="A73" s="58"/>
      <c r="B73" s="55"/>
      <c r="C73" s="56"/>
      <c r="D73" s="56"/>
      <c r="E73" s="13"/>
      <c r="F73" s="55"/>
      <c r="G73" s="159"/>
      <c r="H73" s="57"/>
      <c r="I73" s="18"/>
      <c r="J73" s="13"/>
      <c r="K73" s="83"/>
      <c r="L73" s="14">
        <f t="shared" si="4"/>
        <v>0</v>
      </c>
      <c r="M73" s="59">
        <f t="shared" si="3"/>
        <v>0</v>
      </c>
      <c r="N73" s="61" t="str">
        <f>IF(Table2683254[[#This Row],[Fault Type]]="PM",IF(L73&lt;=(D73-C73),"Yes","No"),"")</f>
        <v/>
      </c>
      <c r="O73" s="62" t="str">
        <f t="shared" si="5"/>
        <v/>
      </c>
      <c r="P7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3" s="63"/>
    </row>
    <row r="74" spans="1:17" ht="15.5" x14ac:dyDescent="0.35">
      <c r="A74" s="58"/>
      <c r="B74" s="55"/>
      <c r="C74" s="56"/>
      <c r="D74" s="56"/>
      <c r="E74" s="13"/>
      <c r="F74" s="55"/>
      <c r="G74" s="159"/>
      <c r="H74" s="57"/>
      <c r="I74" s="18"/>
      <c r="J74" s="13"/>
      <c r="K74" s="83"/>
      <c r="L74" s="14">
        <f t="shared" si="4"/>
        <v>0</v>
      </c>
      <c r="M74" s="59">
        <f t="shared" si="3"/>
        <v>0</v>
      </c>
      <c r="N74" s="61" t="str">
        <f>IF(Table2683254[[#This Row],[Fault Type]]="PM",IF(L74&lt;=(D74-C74),"Yes","No"),"")</f>
        <v/>
      </c>
      <c r="O74" s="62" t="str">
        <f t="shared" si="5"/>
        <v/>
      </c>
      <c r="P7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4" s="63"/>
    </row>
    <row r="75" spans="1:17" ht="15.5" x14ac:dyDescent="0.35">
      <c r="A75" s="58"/>
      <c r="B75" s="55"/>
      <c r="C75" s="56"/>
      <c r="D75" s="56"/>
      <c r="E75" s="13"/>
      <c r="F75" s="55"/>
      <c r="G75" s="159"/>
      <c r="H75" s="57"/>
      <c r="I75" s="18"/>
      <c r="J75" s="13"/>
      <c r="K75" s="83"/>
      <c r="L75" s="14">
        <f t="shared" si="4"/>
        <v>0</v>
      </c>
      <c r="M75" s="59">
        <f t="shared" si="3"/>
        <v>0</v>
      </c>
      <c r="N75" s="61" t="str">
        <f>IF(Table2683254[[#This Row],[Fault Type]]="PM",IF(L75&lt;=(D75-C75),"Yes","No"),"")</f>
        <v/>
      </c>
      <c r="O75" s="62" t="str">
        <f t="shared" si="5"/>
        <v/>
      </c>
      <c r="P75"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5" s="63"/>
    </row>
    <row r="76" spans="1:17" ht="15.5" x14ac:dyDescent="0.35">
      <c r="A76" s="58"/>
      <c r="B76" s="55"/>
      <c r="C76" s="56"/>
      <c r="D76" s="56"/>
      <c r="E76" s="13"/>
      <c r="F76" s="55"/>
      <c r="G76" s="159"/>
      <c r="H76" s="57"/>
      <c r="I76" s="18"/>
      <c r="J76" s="13"/>
      <c r="K76" s="83"/>
      <c r="L76" s="14">
        <f t="shared" si="4"/>
        <v>0</v>
      </c>
      <c r="M76" s="59">
        <f t="shared" si="3"/>
        <v>0</v>
      </c>
      <c r="N76" s="61" t="str">
        <f>IF(Table2683254[[#This Row],[Fault Type]]="PM",IF(L76&lt;=(D76-C76),"Yes","No"),"")</f>
        <v/>
      </c>
      <c r="O76" s="62" t="str">
        <f t="shared" si="5"/>
        <v/>
      </c>
      <c r="P76"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6" s="63"/>
    </row>
    <row r="77" spans="1:17" ht="15.5" x14ac:dyDescent="0.35">
      <c r="A77" s="58"/>
      <c r="B77" s="55"/>
      <c r="C77" s="56"/>
      <c r="D77" s="56"/>
      <c r="E77" s="13"/>
      <c r="F77" s="55"/>
      <c r="G77" s="159"/>
      <c r="H77" s="57"/>
      <c r="I77" s="18"/>
      <c r="J77" s="13"/>
      <c r="K77" s="83"/>
      <c r="L77" s="14">
        <f t="shared" si="4"/>
        <v>0</v>
      </c>
      <c r="M77" s="59">
        <f t="shared" si="3"/>
        <v>0</v>
      </c>
      <c r="N77" s="61" t="str">
        <f>IF(Table2683254[[#This Row],[Fault Type]]="PM",IF(L77&lt;=(D77-C77),"Yes","No"),"")</f>
        <v/>
      </c>
      <c r="O77" s="62" t="str">
        <f t="shared" si="5"/>
        <v/>
      </c>
      <c r="P77"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7" s="63"/>
    </row>
    <row r="78" spans="1:17" ht="15.5" x14ac:dyDescent="0.35">
      <c r="A78" s="58"/>
      <c r="B78" s="55"/>
      <c r="C78" s="56"/>
      <c r="D78" s="56"/>
      <c r="E78" s="13"/>
      <c r="F78" s="55"/>
      <c r="G78" s="159"/>
      <c r="H78" s="57"/>
      <c r="I78" s="18"/>
      <c r="J78" s="13"/>
      <c r="K78" s="83"/>
      <c r="L78" s="14">
        <f t="shared" ref="L78:L84" si="6">J78-E78</f>
        <v>0</v>
      </c>
      <c r="M78" s="59">
        <f t="shared" si="3"/>
        <v>0</v>
      </c>
      <c r="N78" s="61" t="str">
        <f>IF(Table2683254[[#This Row],[Fault Type]]="PM",IF(L78&lt;=(D78-C78),"Yes","No"),"")</f>
        <v/>
      </c>
      <c r="O78" s="62" t="str">
        <f t="shared" si="5"/>
        <v/>
      </c>
      <c r="P78"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8" s="63"/>
    </row>
    <row r="79" spans="1:17" ht="15.5" x14ac:dyDescent="0.35">
      <c r="A79" s="58"/>
      <c r="B79" s="55"/>
      <c r="C79" s="56"/>
      <c r="D79" s="56"/>
      <c r="E79" s="13"/>
      <c r="F79" s="55"/>
      <c r="G79" s="159"/>
      <c r="H79" s="57"/>
      <c r="I79" s="18"/>
      <c r="J79" s="13"/>
      <c r="K79" s="83"/>
      <c r="L79" s="14">
        <f t="shared" si="6"/>
        <v>0</v>
      </c>
      <c r="M79" s="59">
        <f t="shared" si="3"/>
        <v>0</v>
      </c>
      <c r="N79" s="61" t="str">
        <f>IF(Table2683254[[#This Row],[Fault Type]]="PM",IF(L79&lt;=(D79-C79),"Yes","No"),"")</f>
        <v/>
      </c>
      <c r="O79" s="62" t="str">
        <f t="shared" si="5"/>
        <v/>
      </c>
      <c r="P79"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79" s="63"/>
    </row>
    <row r="80" spans="1:17" ht="15.5" x14ac:dyDescent="0.35">
      <c r="A80" s="58"/>
      <c r="B80" s="55"/>
      <c r="C80" s="56"/>
      <c r="D80" s="56"/>
      <c r="E80" s="13"/>
      <c r="F80" s="55"/>
      <c r="G80" s="159"/>
      <c r="H80" s="57"/>
      <c r="I80" s="18"/>
      <c r="J80" s="13"/>
      <c r="K80" s="83"/>
      <c r="L80" s="14">
        <f t="shared" si="6"/>
        <v>0</v>
      </c>
      <c r="M80" s="59">
        <f t="shared" si="3"/>
        <v>0</v>
      </c>
      <c r="N80" s="61" t="str">
        <f>IF(Table2683254[[#This Row],[Fault Type]]="PM",IF(L80&lt;=(D80-C80),"Yes","No"),"")</f>
        <v/>
      </c>
      <c r="O80" s="62" t="str">
        <f t="shared" si="5"/>
        <v/>
      </c>
      <c r="P80"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0" s="63"/>
    </row>
    <row r="81" spans="1:17" ht="15.5" x14ac:dyDescent="0.35">
      <c r="A81" s="58"/>
      <c r="B81" s="55"/>
      <c r="C81" s="56"/>
      <c r="D81" s="56"/>
      <c r="E81" s="13"/>
      <c r="F81" s="55"/>
      <c r="G81" s="159"/>
      <c r="H81" s="57"/>
      <c r="I81" s="18"/>
      <c r="J81" s="13"/>
      <c r="K81" s="83"/>
      <c r="L81" s="14">
        <f t="shared" si="6"/>
        <v>0</v>
      </c>
      <c r="M81" s="59">
        <f t="shared" si="3"/>
        <v>0</v>
      </c>
      <c r="N81" s="61" t="str">
        <f>IF(Table2683254[[#This Row],[Fault Type]]="PM",IF(L81&lt;=(D81-C81),"Yes","No"),"")</f>
        <v/>
      </c>
      <c r="O81" s="62" t="str">
        <f t="shared" si="5"/>
        <v/>
      </c>
      <c r="P81"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1" s="63"/>
    </row>
    <row r="82" spans="1:17" ht="15.5" x14ac:dyDescent="0.35">
      <c r="A82" s="92"/>
      <c r="B82" s="93"/>
      <c r="C82" s="94"/>
      <c r="D82" s="94"/>
      <c r="E82" s="94"/>
      <c r="F82" s="12"/>
      <c r="G82" s="159"/>
      <c r="H82" s="95"/>
      <c r="I82" s="95"/>
      <c r="J82" s="94"/>
      <c r="K82" s="100"/>
      <c r="L82" s="96">
        <f t="shared" si="6"/>
        <v>0</v>
      </c>
      <c r="M82" s="97">
        <f>L82*F82</f>
        <v>0</v>
      </c>
      <c r="N82" s="98" t="str">
        <f>IF(Table2683254[[#This Row],[Fault Type]]="PM",IF(L82&lt;=(D82-C82),"Yes","No"),"")</f>
        <v/>
      </c>
      <c r="O82" s="99" t="str">
        <f>IF(N82="No",(L82-(D82-C82)),"")</f>
        <v/>
      </c>
      <c r="P82"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2" s="91"/>
    </row>
    <row r="83" spans="1:17" ht="15.5" x14ac:dyDescent="0.35">
      <c r="A83" s="92"/>
      <c r="B83" s="93"/>
      <c r="C83" s="94"/>
      <c r="D83" s="94"/>
      <c r="E83" s="94"/>
      <c r="F83" s="12"/>
      <c r="G83" s="159"/>
      <c r="H83" s="95"/>
      <c r="I83" s="95"/>
      <c r="J83" s="94"/>
      <c r="K83" s="100"/>
      <c r="L83" s="96">
        <f t="shared" si="6"/>
        <v>0</v>
      </c>
      <c r="M83" s="97">
        <f>L83*F83</f>
        <v>0</v>
      </c>
      <c r="N83" s="98" t="str">
        <f>IF(Table2683254[[#This Row],[Fault Type]]="PM",IF(L83&lt;=(D83-C83),"Yes","No"),"")</f>
        <v/>
      </c>
      <c r="O83" s="99" t="str">
        <f>IF(N83="No",(L83-(D83-C83)),"")</f>
        <v/>
      </c>
      <c r="P83"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3" s="91"/>
    </row>
    <row r="84" spans="1:17" ht="15.5" x14ac:dyDescent="0.35">
      <c r="A84" s="92"/>
      <c r="B84" s="93"/>
      <c r="C84" s="94"/>
      <c r="D84" s="94"/>
      <c r="E84" s="94"/>
      <c r="F84" s="12"/>
      <c r="G84" s="159"/>
      <c r="H84" s="95"/>
      <c r="I84" s="95"/>
      <c r="J84" s="94"/>
      <c r="K84" s="100"/>
      <c r="L84" s="96">
        <f t="shared" si="6"/>
        <v>0</v>
      </c>
      <c r="M84" s="97">
        <f>L84*F84</f>
        <v>0</v>
      </c>
      <c r="N84" s="98" t="str">
        <f>IF(Table2683254[[#This Row],[Fault Type]]="PM",IF(L84&lt;=(D84-C84),"Yes","No"),"")</f>
        <v/>
      </c>
      <c r="O84" s="99" t="str">
        <f>IF(N84="No",(L84-(D84-C84)),"")</f>
        <v/>
      </c>
      <c r="P84" s="30" t="str">
        <f>IF(AND(Table2683254[[#This Row],[Name of Feeder]]&lt;&gt;"",OR(Table2683254[[#This Row],[Fault Type]]="TL",Table2683254[[#This Row],[Fault Type]]="TS",Table2683254[[#This Row],[Fault Type]]="UF",Table2683254[[#This Row],[Fault Type]]="SE")),(IF(AND(VLOOKUP(Table2683254[[#This Row],[Name of Feeder]],Main!D:E,2,0)="URBAN",ISNUMBER(SEARCH("33KV",Table2683254[[#This Row],[Name of Feeder]]))),IF(AND(Table2683254[[#This Row],[Outage Duration]]&gt;0,Table2683254[[#This Row],[Outage Duration]]&lt;=0.25),"Yes","No"),IF(AND(VLOOKUP(Table2683254[[#This Row],[Name of Feeder]],Main!D:E,2,0)="RURAL",ISNUMBER(SEARCH("33KV",Table2683254[[#This Row],[Name of Feeder]]))),IF(AND(Table2683254[[#This Row],[Outage Duration]]&gt;0,Table2683254[[#This Row],[Outage Duration]]&lt;=0.33),"Yes","No"),IF(AND(VLOOKUP(Table2683254[[#This Row],[Name of Feeder]],Main!D:E,2,0)="RURAL",ISNUMBER(SEARCH("11KV",Table2683254[[#This Row],[Name of Feeder]]))),IF(AND(Table2683254[[#This Row],[Outage Duration]]&gt;0,Table2683254[[#This Row],[Outage Duration]]&lt;=0.17),"Yes","No"),IF(AND(VLOOKUP(Table2683254[[#This Row],[Name of Feeder]],Main!D:E,2,0)="URBAN",ISNUMBER(SEARCH("11KV",Table2683254[[#This Row],[Name of Feeder]]))),IF(AND(Table2683254[[#This Row],[Outage Duration]]&gt;0,Table2683254[[#This Row],[Outage Duration]]&lt;=0.17),"Yes","No"),""))))),"")</f>
        <v/>
      </c>
      <c r="Q84"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0000000}">
          <x14:formula1>
            <xm:f>Main!$F$226:$F$228</xm:f>
          </x14:formula1>
          <xm:sqref>I2:I84</xm:sqref>
        </x14:dataValidation>
        <x14:dataValidation type="list" allowBlank="1" showInputMessage="1" showErrorMessage="1" xr:uid="{00000000-0002-0000-1000-000001000000}">
          <x14:formula1>
            <xm:f>Main!$D$2:$D$196</xm:f>
          </x14:formula1>
          <xm:sqref>A2:A84</xm:sqref>
        </x14:dataValidation>
        <x14:dataValidation type="list" allowBlank="1" showInputMessage="1" showErrorMessage="1" xr:uid="{00000000-0002-0000-1000-000002000000}">
          <x14:formula1>
            <xm:f>Main!F$222:F$225</xm:f>
          </x14:formula1>
          <xm:sqref>G2:G84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77"/>
  <sheetViews>
    <sheetView topLeftCell="C52" zoomScale="70" zoomScaleNormal="70" workbookViewId="0">
      <selection activeCell="Q17" sqref="Q17:Q26"/>
    </sheetView>
  </sheetViews>
  <sheetFormatPr defaultRowHeight="14.5" x14ac:dyDescent="0.35"/>
  <cols>
    <col min="1" max="1" width="27.26953125" customWidth="1"/>
    <col min="2" max="2" width="8.26953125" customWidth="1"/>
    <col min="3" max="3" width="17.26953125" customWidth="1"/>
    <col min="4" max="4" width="18" customWidth="1"/>
    <col min="5" max="5" width="18.269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106"/>
      <c r="B2" s="107"/>
      <c r="C2" s="108"/>
      <c r="D2" s="108"/>
      <c r="E2" s="108"/>
      <c r="F2" s="107"/>
      <c r="G2" s="107"/>
      <c r="H2" s="110"/>
      <c r="I2" s="110"/>
      <c r="J2" s="108"/>
      <c r="K2" s="111"/>
      <c r="L2" s="14">
        <f t="shared" ref="L2:L63" si="0">J2-E2</f>
        <v>0</v>
      </c>
      <c r="M2" s="31">
        <f t="shared" ref="M2:M22" si="1">L2*F2</f>
        <v>0</v>
      </c>
      <c r="N2" s="15" t="str">
        <f>IF(Table2683253[[#This Row],[Fault Type]]="PM",IF(L2&lt;=(D2-C2),"Yes","No"),"")</f>
        <v/>
      </c>
      <c r="O2" s="16" t="str">
        <f t="shared" ref="O2:O63" si="2">IF(N2="No",(L2-(D2-C2)),"")</f>
        <v/>
      </c>
      <c r="P2" s="30"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 s="17"/>
    </row>
    <row r="3" spans="1:17" ht="15.5" x14ac:dyDescent="0.35">
      <c r="A3" s="106"/>
      <c r="B3" s="107"/>
      <c r="C3" s="108"/>
      <c r="D3" s="108"/>
      <c r="E3" s="108"/>
      <c r="F3" s="107"/>
      <c r="G3" s="159"/>
      <c r="H3" s="110"/>
      <c r="I3" s="110"/>
      <c r="J3" s="108"/>
      <c r="K3" s="111"/>
      <c r="L3" s="14">
        <f t="shared" si="0"/>
        <v>0</v>
      </c>
      <c r="M3" s="31">
        <f t="shared" si="1"/>
        <v>0</v>
      </c>
      <c r="N3" s="15" t="str">
        <f>IF(Table2683253[[#This Row],[Fault Type]]="PM",IF(L3&lt;=(D3-C3),"Yes","No"),"")</f>
        <v/>
      </c>
      <c r="O3" s="16" t="str">
        <f t="shared" si="2"/>
        <v/>
      </c>
      <c r="P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 s="17"/>
    </row>
    <row r="4" spans="1:17" ht="15.5" x14ac:dyDescent="0.35">
      <c r="A4" s="106"/>
      <c r="B4" s="107"/>
      <c r="C4" s="108"/>
      <c r="D4" s="108"/>
      <c r="E4" s="108"/>
      <c r="F4" s="107"/>
      <c r="G4" s="159"/>
      <c r="H4" s="107"/>
      <c r="I4" s="107"/>
      <c r="J4" s="108"/>
      <c r="K4" s="111"/>
      <c r="L4" s="14">
        <f t="shared" si="0"/>
        <v>0</v>
      </c>
      <c r="M4" s="31">
        <f t="shared" si="1"/>
        <v>0</v>
      </c>
      <c r="N4" s="15" t="str">
        <f>IF(Table2683253[[#This Row],[Fault Type]]="PM",IF(L4&lt;=(D4-C4),"Yes","No"),"")</f>
        <v/>
      </c>
      <c r="O4" s="16" t="str">
        <f t="shared" si="2"/>
        <v/>
      </c>
      <c r="P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 s="17"/>
    </row>
    <row r="5" spans="1:17" ht="15.5" x14ac:dyDescent="0.35">
      <c r="A5" s="106"/>
      <c r="B5" s="107"/>
      <c r="C5" s="108"/>
      <c r="D5" s="108"/>
      <c r="E5" s="108"/>
      <c r="F5" s="107"/>
      <c r="G5" s="159"/>
      <c r="H5" s="107"/>
      <c r="I5" s="107"/>
      <c r="J5" s="108"/>
      <c r="K5" s="111"/>
      <c r="L5" s="14">
        <f t="shared" si="0"/>
        <v>0</v>
      </c>
      <c r="M5" s="31">
        <f t="shared" si="1"/>
        <v>0</v>
      </c>
      <c r="N5" s="15" t="str">
        <f>IF(Table2683253[[#This Row],[Fault Type]]="PM",IF(L5&lt;=(D5-C5),"Yes","No"),"")</f>
        <v/>
      </c>
      <c r="O5" s="16" t="str">
        <f t="shared" si="2"/>
        <v/>
      </c>
      <c r="P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 s="17"/>
    </row>
    <row r="6" spans="1:17" ht="15.5" x14ac:dyDescent="0.35">
      <c r="A6" s="106"/>
      <c r="B6" s="107"/>
      <c r="C6" s="108"/>
      <c r="D6" s="108"/>
      <c r="E6" s="108"/>
      <c r="F6" s="107"/>
      <c r="G6" s="159"/>
      <c r="H6" s="107"/>
      <c r="I6" s="107"/>
      <c r="J6" s="108"/>
      <c r="K6" s="111"/>
      <c r="L6" s="14">
        <f t="shared" si="0"/>
        <v>0</v>
      </c>
      <c r="M6" s="31">
        <f t="shared" si="1"/>
        <v>0</v>
      </c>
      <c r="N6" s="15" t="str">
        <f>IF(Table2683253[[#This Row],[Fault Type]]="PM",IF(L6&lt;=(D6-C6),"Yes","No"),"")</f>
        <v/>
      </c>
      <c r="O6" s="16" t="str">
        <f t="shared" si="2"/>
        <v/>
      </c>
      <c r="P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 s="17"/>
    </row>
    <row r="7" spans="1:17" ht="15.5" x14ac:dyDescent="0.35">
      <c r="A7" s="106"/>
      <c r="B7" s="107"/>
      <c r="C7" s="108"/>
      <c r="D7" s="108"/>
      <c r="E7" s="108"/>
      <c r="F7" s="107"/>
      <c r="G7" s="159"/>
      <c r="H7" s="107"/>
      <c r="I7" s="107"/>
      <c r="J7" s="108"/>
      <c r="K7" s="111"/>
      <c r="L7" s="14">
        <f t="shared" si="0"/>
        <v>0</v>
      </c>
      <c r="M7" s="31">
        <f t="shared" si="1"/>
        <v>0</v>
      </c>
      <c r="N7" s="15" t="str">
        <f>IF(Table2683253[[#This Row],[Fault Type]]="PM",IF(L7&lt;=(D7-C7),"Yes","No"),"")</f>
        <v/>
      </c>
      <c r="O7" s="16" t="str">
        <f t="shared" si="2"/>
        <v/>
      </c>
      <c r="P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 s="17"/>
    </row>
    <row r="8" spans="1:17" ht="15.5" x14ac:dyDescent="0.35">
      <c r="A8" s="106"/>
      <c r="B8" s="107"/>
      <c r="C8" s="108"/>
      <c r="D8" s="108"/>
      <c r="E8" s="108"/>
      <c r="F8" s="107"/>
      <c r="G8" s="159"/>
      <c r="H8" s="107"/>
      <c r="I8" s="107"/>
      <c r="J8" s="108"/>
      <c r="K8" s="111"/>
      <c r="L8" s="14">
        <f t="shared" si="0"/>
        <v>0</v>
      </c>
      <c r="M8" s="31">
        <f t="shared" si="1"/>
        <v>0</v>
      </c>
      <c r="N8" s="15" t="str">
        <f>IF(Table2683253[[#This Row],[Fault Type]]="PM",IF(L8&lt;=(D8-C8),"Yes","No"),"")</f>
        <v/>
      </c>
      <c r="O8" s="16" t="str">
        <f t="shared" si="2"/>
        <v/>
      </c>
      <c r="P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8" s="17"/>
    </row>
    <row r="9" spans="1:17" ht="15.5" x14ac:dyDescent="0.35">
      <c r="A9" s="106"/>
      <c r="B9" s="107"/>
      <c r="C9" s="108"/>
      <c r="D9" s="108"/>
      <c r="E9" s="108"/>
      <c r="F9" s="107"/>
      <c r="G9" s="159"/>
      <c r="H9" s="107"/>
      <c r="I9" s="107"/>
      <c r="J9" s="108"/>
      <c r="K9" s="111"/>
      <c r="L9" s="14">
        <f t="shared" si="0"/>
        <v>0</v>
      </c>
      <c r="M9" s="31">
        <f t="shared" si="1"/>
        <v>0</v>
      </c>
      <c r="N9" s="15" t="str">
        <f>IF(Table2683253[[#This Row],[Fault Type]]="PM",IF(L9&lt;=(D9-C9),"Yes","No"),"")</f>
        <v/>
      </c>
      <c r="O9" s="16" t="str">
        <f t="shared" si="2"/>
        <v/>
      </c>
      <c r="P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9" s="17"/>
    </row>
    <row r="10" spans="1:17" ht="15.5" x14ac:dyDescent="0.35">
      <c r="A10" s="106"/>
      <c r="B10" s="107"/>
      <c r="C10" s="108"/>
      <c r="D10" s="108"/>
      <c r="E10" s="108"/>
      <c r="F10" s="107"/>
      <c r="G10" s="159"/>
      <c r="H10" s="107"/>
      <c r="I10" s="107"/>
      <c r="J10" s="108"/>
      <c r="K10" s="111"/>
      <c r="L10" s="14">
        <f t="shared" si="0"/>
        <v>0</v>
      </c>
      <c r="M10" s="31">
        <f t="shared" si="1"/>
        <v>0</v>
      </c>
      <c r="N10" s="15" t="str">
        <f>IF(Table2683253[[#This Row],[Fault Type]]="PM",IF(L10&lt;=(D10-C10),"Yes","No"),"")</f>
        <v/>
      </c>
      <c r="O10" s="16" t="str">
        <f t="shared" si="2"/>
        <v/>
      </c>
      <c r="P1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0" s="17"/>
    </row>
    <row r="11" spans="1:17" ht="15.5" x14ac:dyDescent="0.35">
      <c r="A11" s="106"/>
      <c r="B11" s="107"/>
      <c r="C11" s="108"/>
      <c r="D11" s="108"/>
      <c r="E11" s="108"/>
      <c r="F11" s="107"/>
      <c r="G11" s="159"/>
      <c r="H11" s="107"/>
      <c r="I11" s="107"/>
      <c r="J11" s="108"/>
      <c r="K11" s="111"/>
      <c r="L11" s="14">
        <f t="shared" si="0"/>
        <v>0</v>
      </c>
      <c r="M11" s="31">
        <f t="shared" si="1"/>
        <v>0</v>
      </c>
      <c r="N11" s="15" t="str">
        <f>IF(Table2683253[[#This Row],[Fault Type]]="PM",IF(L11&lt;=(D11-C11),"Yes","No"),"")</f>
        <v/>
      </c>
      <c r="O11" s="16" t="str">
        <f t="shared" si="2"/>
        <v/>
      </c>
      <c r="P1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1" s="17"/>
    </row>
    <row r="12" spans="1:17" ht="15.5" x14ac:dyDescent="0.35">
      <c r="A12" s="158"/>
      <c r="B12" s="107"/>
      <c r="C12" s="108"/>
      <c r="D12" s="108"/>
      <c r="E12" s="108"/>
      <c r="F12" s="107"/>
      <c r="G12" s="159"/>
      <c r="H12" s="109"/>
      <c r="I12" s="109"/>
      <c r="J12" s="108"/>
      <c r="K12" s="111"/>
      <c r="L12" s="14">
        <f t="shared" si="0"/>
        <v>0</v>
      </c>
      <c r="M12" s="31">
        <f t="shared" si="1"/>
        <v>0</v>
      </c>
      <c r="N12" s="15" t="str">
        <f>IF(Table2683253[[#This Row],[Fault Type]]="PM",IF(L12&lt;=(D12-C12),"Yes","No"),"")</f>
        <v/>
      </c>
      <c r="O12" s="16" t="str">
        <f t="shared" si="2"/>
        <v/>
      </c>
      <c r="P1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2" s="144"/>
    </row>
    <row r="13" spans="1:17" ht="15.5" x14ac:dyDescent="0.35">
      <c r="A13" s="114"/>
      <c r="B13" s="107"/>
      <c r="C13" s="108"/>
      <c r="D13" s="108"/>
      <c r="E13" s="108"/>
      <c r="F13" s="107"/>
      <c r="G13" s="159"/>
      <c r="H13" s="109"/>
      <c r="I13" s="109"/>
      <c r="J13" s="108"/>
      <c r="K13" s="115"/>
      <c r="L13" s="14">
        <f t="shared" si="0"/>
        <v>0</v>
      </c>
      <c r="M13" s="31">
        <f t="shared" si="1"/>
        <v>0</v>
      </c>
      <c r="N13" s="15" t="str">
        <f>IF(Table2683253[[#This Row],[Fault Type]]="PM",IF(L13&lt;=(D13-C13),"Yes","No"),"")</f>
        <v/>
      </c>
      <c r="O13" s="16" t="str">
        <f t="shared" si="2"/>
        <v/>
      </c>
      <c r="P1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3" s="144"/>
    </row>
    <row r="14" spans="1:17" ht="15.5" x14ac:dyDescent="0.35">
      <c r="A14" s="106"/>
      <c r="B14" s="107"/>
      <c r="C14" s="108"/>
      <c r="D14" s="108"/>
      <c r="E14" s="108"/>
      <c r="F14" s="107"/>
      <c r="G14" s="159"/>
      <c r="H14" s="107"/>
      <c r="I14" s="107"/>
      <c r="J14" s="108"/>
      <c r="K14" s="111"/>
      <c r="L14" s="14">
        <f t="shared" si="0"/>
        <v>0</v>
      </c>
      <c r="M14" s="31">
        <f t="shared" si="1"/>
        <v>0</v>
      </c>
      <c r="N14" s="15" t="str">
        <f>IF(Table2683253[[#This Row],[Fault Type]]="PM",IF(L14&lt;=(D14-C14),"Yes","No"),"")</f>
        <v/>
      </c>
      <c r="O14" s="16" t="str">
        <f t="shared" si="2"/>
        <v/>
      </c>
      <c r="P1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4" s="144"/>
    </row>
    <row r="15" spans="1:17" ht="15.5" x14ac:dyDescent="0.35">
      <c r="A15" s="106"/>
      <c r="B15" s="107"/>
      <c r="C15" s="108"/>
      <c r="D15" s="108"/>
      <c r="E15" s="108"/>
      <c r="F15" s="107"/>
      <c r="G15" s="159"/>
      <c r="H15" s="107"/>
      <c r="I15" s="107"/>
      <c r="J15" s="108"/>
      <c r="K15" s="111"/>
      <c r="L15" s="14">
        <f t="shared" si="0"/>
        <v>0</v>
      </c>
      <c r="M15" s="31">
        <f t="shared" si="1"/>
        <v>0</v>
      </c>
      <c r="N15" s="15" t="str">
        <f>IF(Table2683253[[#This Row],[Fault Type]]="PM",IF(L15&lt;=(D15-C15),"Yes","No"),"")</f>
        <v/>
      </c>
      <c r="O15" s="16" t="str">
        <f t="shared" si="2"/>
        <v/>
      </c>
      <c r="P1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5" s="144"/>
    </row>
    <row r="16" spans="1:17" ht="15.5" x14ac:dyDescent="0.35">
      <c r="A16" s="106"/>
      <c r="B16" s="107"/>
      <c r="C16" s="108"/>
      <c r="D16" s="108"/>
      <c r="E16" s="108"/>
      <c r="F16" s="107"/>
      <c r="G16" s="159"/>
      <c r="H16" s="107"/>
      <c r="I16" s="107"/>
      <c r="J16" s="108"/>
      <c r="K16" s="111"/>
      <c r="L16" s="14">
        <f t="shared" si="0"/>
        <v>0</v>
      </c>
      <c r="M16" s="31">
        <f t="shared" si="1"/>
        <v>0</v>
      </c>
      <c r="N16" s="15" t="str">
        <f>IF(Table2683253[[#This Row],[Fault Type]]="PM",IF(L16&lt;=(D16-C16),"Yes","No"),"")</f>
        <v/>
      </c>
      <c r="O16" s="16" t="str">
        <f t="shared" si="2"/>
        <v/>
      </c>
      <c r="P1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6" s="144"/>
    </row>
    <row r="17" spans="1:17" ht="15.5" x14ac:dyDescent="0.35">
      <c r="A17" s="106"/>
      <c r="B17" s="107"/>
      <c r="C17" s="108"/>
      <c r="D17" s="108"/>
      <c r="E17" s="108"/>
      <c r="F17" s="107"/>
      <c r="G17" s="159"/>
      <c r="H17" s="107"/>
      <c r="I17" s="107"/>
      <c r="J17" s="108"/>
      <c r="K17" s="111"/>
      <c r="L17" s="14">
        <f t="shared" si="0"/>
        <v>0</v>
      </c>
      <c r="M17" s="31">
        <f t="shared" si="1"/>
        <v>0</v>
      </c>
      <c r="N17" s="15" t="str">
        <f>IF(Table2683253[[#This Row],[Fault Type]]="PM",IF(L17&lt;=(D17-C17),"Yes","No"),"")</f>
        <v/>
      </c>
      <c r="O17" s="16" t="str">
        <f t="shared" si="2"/>
        <v/>
      </c>
      <c r="P1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7" s="144"/>
    </row>
    <row r="18" spans="1:17" ht="15.5" x14ac:dyDescent="0.35">
      <c r="A18" s="158"/>
      <c r="B18" s="107"/>
      <c r="C18" s="108"/>
      <c r="D18" s="108"/>
      <c r="E18" s="108"/>
      <c r="F18" s="109"/>
      <c r="G18" s="159"/>
      <c r="H18" s="107"/>
      <c r="I18" s="109"/>
      <c r="J18" s="108"/>
      <c r="K18" s="111"/>
      <c r="L18" s="14">
        <f t="shared" si="0"/>
        <v>0</v>
      </c>
      <c r="M18" s="31">
        <f t="shared" si="1"/>
        <v>0</v>
      </c>
      <c r="N18" s="15" t="str">
        <f>IF(Table2683253[[#This Row],[Fault Type]]="PM",IF(L18&lt;=(D18-C18),"Yes","No"),"")</f>
        <v/>
      </c>
      <c r="O18" s="16" t="str">
        <f t="shared" si="2"/>
        <v/>
      </c>
      <c r="P1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8" s="144"/>
    </row>
    <row r="19" spans="1:17" ht="15.5" x14ac:dyDescent="0.35">
      <c r="A19" s="114"/>
      <c r="B19" s="107"/>
      <c r="C19" s="108"/>
      <c r="D19" s="108"/>
      <c r="E19" s="108"/>
      <c r="F19" s="109"/>
      <c r="G19" s="159"/>
      <c r="H19" s="109"/>
      <c r="I19" s="109"/>
      <c r="J19" s="108"/>
      <c r="K19" s="115"/>
      <c r="L19" s="14">
        <f t="shared" si="0"/>
        <v>0</v>
      </c>
      <c r="M19" s="31">
        <f t="shared" si="1"/>
        <v>0</v>
      </c>
      <c r="N19" s="15" t="str">
        <f>IF(Table2683253[[#This Row],[Fault Type]]="PM",IF(L19&lt;=(D19-C19),"Yes","No"),"")</f>
        <v/>
      </c>
      <c r="O19" s="16" t="str">
        <f t="shared" si="2"/>
        <v/>
      </c>
      <c r="P1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19" s="144"/>
    </row>
    <row r="20" spans="1:17" ht="15.5" x14ac:dyDescent="0.35">
      <c r="A20" s="106"/>
      <c r="B20" s="107"/>
      <c r="C20" s="108"/>
      <c r="D20" s="108"/>
      <c r="E20" s="108"/>
      <c r="F20" s="107"/>
      <c r="G20" s="159"/>
      <c r="H20" s="107"/>
      <c r="I20" s="107"/>
      <c r="J20" s="108"/>
      <c r="K20" s="111"/>
      <c r="L20" s="14">
        <f t="shared" si="0"/>
        <v>0</v>
      </c>
      <c r="M20" s="31">
        <f t="shared" si="1"/>
        <v>0</v>
      </c>
      <c r="N20" s="15" t="str">
        <f>IF(Table2683253[[#This Row],[Fault Type]]="PM",IF(L20&lt;=(D20-C20),"Yes","No"),"")</f>
        <v/>
      </c>
      <c r="O20" s="16" t="str">
        <f t="shared" si="2"/>
        <v/>
      </c>
      <c r="P2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0" s="144"/>
    </row>
    <row r="21" spans="1:17" ht="15.5" x14ac:dyDescent="0.35">
      <c r="A21" s="106"/>
      <c r="B21" s="107"/>
      <c r="C21" s="108"/>
      <c r="D21" s="108"/>
      <c r="E21" s="108"/>
      <c r="F21" s="109"/>
      <c r="G21" s="159"/>
      <c r="H21" s="109"/>
      <c r="I21" s="109"/>
      <c r="J21" s="108"/>
      <c r="K21" s="111"/>
      <c r="L21" s="14">
        <f t="shared" si="0"/>
        <v>0</v>
      </c>
      <c r="M21" s="31">
        <f t="shared" si="1"/>
        <v>0</v>
      </c>
      <c r="N21" s="15" t="str">
        <f>IF(Table2683253[[#This Row],[Fault Type]]="PM",IF(L21&lt;=(D21-C21),"Yes","No"),"")</f>
        <v/>
      </c>
      <c r="O21" s="16" t="str">
        <f t="shared" si="2"/>
        <v/>
      </c>
      <c r="P2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1" s="144"/>
    </row>
    <row r="22" spans="1:17" ht="15.5" x14ac:dyDescent="0.35">
      <c r="A22" s="106"/>
      <c r="B22" s="107"/>
      <c r="C22" s="108"/>
      <c r="D22" s="108"/>
      <c r="E22" s="108"/>
      <c r="F22" s="109"/>
      <c r="G22" s="159"/>
      <c r="H22" s="109"/>
      <c r="I22" s="109"/>
      <c r="J22" s="108"/>
      <c r="K22" s="111"/>
      <c r="L22" s="14">
        <f t="shared" si="0"/>
        <v>0</v>
      </c>
      <c r="M22" s="31">
        <f t="shared" si="1"/>
        <v>0</v>
      </c>
      <c r="N22" s="15" t="str">
        <f>IF(Table2683253[[#This Row],[Fault Type]]="PM",IF(L22&lt;=(D22-C22),"Yes","No"),"")</f>
        <v/>
      </c>
      <c r="O22" s="16" t="str">
        <f t="shared" si="2"/>
        <v/>
      </c>
      <c r="P2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2" s="144"/>
    </row>
    <row r="23" spans="1:17" ht="15.5" x14ac:dyDescent="0.35">
      <c r="A23" s="106"/>
      <c r="B23" s="107"/>
      <c r="C23" s="108"/>
      <c r="D23" s="108"/>
      <c r="E23" s="108"/>
      <c r="F23" s="112"/>
      <c r="G23" s="159"/>
      <c r="H23" s="113"/>
      <c r="I23" s="113"/>
      <c r="J23" s="108"/>
      <c r="K23" s="111"/>
      <c r="L23" s="14">
        <f t="shared" si="0"/>
        <v>0</v>
      </c>
      <c r="M23" s="31">
        <f t="shared" ref="M23:M77" si="3">L23*F23</f>
        <v>0</v>
      </c>
      <c r="N23" s="15" t="str">
        <f>IF(Table2683253[[#This Row],[Fault Type]]="PM",IF(L23&lt;=(D23-C23),"Yes","No"),"")</f>
        <v/>
      </c>
      <c r="O23" s="16" t="str">
        <f t="shared" si="2"/>
        <v/>
      </c>
      <c r="P2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3" s="144"/>
    </row>
    <row r="24" spans="1:17" ht="15.5" x14ac:dyDescent="0.35">
      <c r="A24" s="114"/>
      <c r="B24" s="107"/>
      <c r="C24" s="108"/>
      <c r="D24" s="108"/>
      <c r="E24" s="108"/>
      <c r="F24" s="112"/>
      <c r="G24" s="159"/>
      <c r="H24" s="113"/>
      <c r="I24" s="113"/>
      <c r="J24" s="108"/>
      <c r="K24" s="115"/>
      <c r="L24" s="14">
        <f t="shared" si="0"/>
        <v>0</v>
      </c>
      <c r="M24" s="31">
        <f t="shared" si="3"/>
        <v>0</v>
      </c>
      <c r="N24" s="15" t="str">
        <f>IF(Table2683253[[#This Row],[Fault Type]]="PM",IF(L24&lt;=(D24-C24),"Yes","No"),"")</f>
        <v/>
      </c>
      <c r="O24" s="16" t="str">
        <f t="shared" si="2"/>
        <v/>
      </c>
      <c r="P2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4" s="144"/>
    </row>
    <row r="25" spans="1:17" ht="15.5" x14ac:dyDescent="0.35">
      <c r="A25" s="106"/>
      <c r="B25" s="107"/>
      <c r="C25" s="108"/>
      <c r="D25" s="108"/>
      <c r="E25" s="108"/>
      <c r="F25" s="109"/>
      <c r="G25" s="159"/>
      <c r="H25" s="109"/>
      <c r="I25" s="109"/>
      <c r="J25" s="108"/>
      <c r="K25" s="111"/>
      <c r="L25" s="14">
        <f t="shared" si="0"/>
        <v>0</v>
      </c>
      <c r="M25" s="31">
        <f t="shared" si="3"/>
        <v>0</v>
      </c>
      <c r="N25" s="15" t="str">
        <f>IF(Table2683253[[#This Row],[Fault Type]]="PM",IF(L25&lt;=(D25-C25),"Yes","No"),"")</f>
        <v/>
      </c>
      <c r="O25" s="16" t="str">
        <f t="shared" si="2"/>
        <v/>
      </c>
      <c r="P2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5" s="144"/>
    </row>
    <row r="26" spans="1:17" ht="15.5" x14ac:dyDescent="0.35">
      <c r="A26" s="114"/>
      <c r="B26" s="107"/>
      <c r="C26" s="108"/>
      <c r="D26" s="108"/>
      <c r="E26" s="108"/>
      <c r="F26" s="109"/>
      <c r="G26" s="159"/>
      <c r="H26" s="109"/>
      <c r="I26" s="109"/>
      <c r="J26" s="118"/>
      <c r="K26" s="142"/>
      <c r="L26" s="14">
        <f t="shared" si="0"/>
        <v>0</v>
      </c>
      <c r="M26" s="31">
        <f t="shared" si="3"/>
        <v>0</v>
      </c>
      <c r="N26" s="15" t="str">
        <f>IF(Table2683253[[#This Row],[Fault Type]]="PM",IF(L26&lt;=(D26-C26),"Yes","No"),"")</f>
        <v/>
      </c>
      <c r="O26" s="16" t="str">
        <f t="shared" si="2"/>
        <v/>
      </c>
      <c r="P2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6" s="144"/>
    </row>
    <row r="27" spans="1:17" ht="15.5" x14ac:dyDescent="0.35">
      <c r="A27" s="114"/>
      <c r="B27" s="107"/>
      <c r="C27" s="108"/>
      <c r="D27" s="108"/>
      <c r="E27" s="108"/>
      <c r="F27" s="109"/>
      <c r="G27" s="159"/>
      <c r="H27" s="109"/>
      <c r="I27" s="109"/>
      <c r="J27" s="108"/>
      <c r="K27" s="115"/>
      <c r="L27" s="14">
        <f t="shared" si="0"/>
        <v>0</v>
      </c>
      <c r="M27" s="31">
        <f t="shared" si="3"/>
        <v>0</v>
      </c>
      <c r="N27" s="15" t="str">
        <f>IF(Table2683253[[#This Row],[Fault Type]]="PM",IF(L27&lt;=(D27-C27),"Yes","No"),"")</f>
        <v/>
      </c>
      <c r="O27" s="16" t="str">
        <f t="shared" si="2"/>
        <v/>
      </c>
      <c r="P2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7" s="144"/>
    </row>
    <row r="28" spans="1:17" ht="15.5" x14ac:dyDescent="0.35">
      <c r="A28" s="106"/>
      <c r="B28" s="107"/>
      <c r="C28" s="108"/>
      <c r="D28" s="108"/>
      <c r="E28" s="108"/>
      <c r="F28" s="109"/>
      <c r="G28" s="159"/>
      <c r="H28" s="109"/>
      <c r="I28" s="109"/>
      <c r="J28" s="108"/>
      <c r="K28" s="111"/>
      <c r="L28" s="14">
        <f t="shared" si="0"/>
        <v>0</v>
      </c>
      <c r="M28" s="31">
        <f t="shared" si="3"/>
        <v>0</v>
      </c>
      <c r="N28" s="15" t="str">
        <f>IF(Table2683253[[#This Row],[Fault Type]]="PM",IF(L28&lt;=(D28-C28),"Yes","No"),"")</f>
        <v/>
      </c>
      <c r="O28" s="16" t="str">
        <f t="shared" si="2"/>
        <v/>
      </c>
      <c r="P2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8" s="144"/>
    </row>
    <row r="29" spans="1:17" ht="15.5" x14ac:dyDescent="0.35">
      <c r="A29" s="106"/>
      <c r="B29" s="107"/>
      <c r="C29" s="108"/>
      <c r="D29" s="108"/>
      <c r="E29" s="108"/>
      <c r="F29" s="109"/>
      <c r="G29" s="159"/>
      <c r="H29" s="109"/>
      <c r="I29" s="109"/>
      <c r="J29" s="108"/>
      <c r="K29" s="111"/>
      <c r="L29" s="14">
        <f t="shared" si="0"/>
        <v>0</v>
      </c>
      <c r="M29" s="31">
        <f t="shared" si="3"/>
        <v>0</v>
      </c>
      <c r="N29" s="15" t="str">
        <f>IF(Table2683253[[#This Row],[Fault Type]]="PM",IF(L29&lt;=(D29-C29),"Yes","No"),"")</f>
        <v/>
      </c>
      <c r="O29" s="16" t="str">
        <f t="shared" si="2"/>
        <v/>
      </c>
      <c r="P2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29" s="119"/>
    </row>
    <row r="30" spans="1:17" ht="15.5" x14ac:dyDescent="0.35">
      <c r="A30" s="106"/>
      <c r="B30" s="107"/>
      <c r="C30" s="108"/>
      <c r="D30" s="108"/>
      <c r="E30" s="108"/>
      <c r="F30" s="109"/>
      <c r="G30" s="159"/>
      <c r="H30" s="109"/>
      <c r="I30" s="109"/>
      <c r="J30" s="108"/>
      <c r="K30" s="111"/>
      <c r="L30" s="14">
        <f t="shared" si="0"/>
        <v>0</v>
      </c>
      <c r="M30" s="31">
        <f t="shared" si="3"/>
        <v>0</v>
      </c>
      <c r="N30" s="15" t="str">
        <f>IF(Table2683253[[#This Row],[Fault Type]]="PM",IF(L30&lt;=(D30-C30),"Yes","No"),"")</f>
        <v/>
      </c>
      <c r="O30" s="16" t="str">
        <f t="shared" si="2"/>
        <v/>
      </c>
      <c r="P3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0" s="119"/>
    </row>
    <row r="31" spans="1:17" ht="15.5" x14ac:dyDescent="0.35">
      <c r="A31" s="106"/>
      <c r="B31" s="107"/>
      <c r="C31" s="108"/>
      <c r="D31" s="108"/>
      <c r="E31" s="108"/>
      <c r="F31" s="107"/>
      <c r="G31" s="159"/>
      <c r="H31" s="107"/>
      <c r="I31" s="107"/>
      <c r="J31" s="108"/>
      <c r="K31" s="111"/>
      <c r="L31" s="14">
        <f t="shared" si="0"/>
        <v>0</v>
      </c>
      <c r="M31" s="31">
        <f t="shared" si="3"/>
        <v>0</v>
      </c>
      <c r="N31" s="15" t="str">
        <f>IF(Table2683253[[#This Row],[Fault Type]]="PM",IF(L31&lt;=(D31-C31),"Yes","No"),"")</f>
        <v/>
      </c>
      <c r="O31" s="16" t="str">
        <f t="shared" si="2"/>
        <v/>
      </c>
      <c r="P3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1" s="119"/>
    </row>
    <row r="32" spans="1:17" ht="15.5" x14ac:dyDescent="0.35">
      <c r="A32" s="106"/>
      <c r="B32" s="107"/>
      <c r="C32" s="108"/>
      <c r="D32" s="108"/>
      <c r="E32" s="108"/>
      <c r="F32" s="109"/>
      <c r="G32" s="159"/>
      <c r="H32" s="109"/>
      <c r="I32" s="109"/>
      <c r="J32" s="108"/>
      <c r="K32" s="111"/>
      <c r="L32" s="14">
        <f t="shared" si="0"/>
        <v>0</v>
      </c>
      <c r="M32" s="31">
        <f t="shared" si="3"/>
        <v>0</v>
      </c>
      <c r="N32" s="15" t="str">
        <f>IF(Table2683253[[#This Row],[Fault Type]]="PM",IF(L32&lt;=(D32-C32),"Yes","No"),"")</f>
        <v/>
      </c>
      <c r="O32" s="16" t="str">
        <f t="shared" si="2"/>
        <v/>
      </c>
      <c r="P3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2" s="17"/>
    </row>
    <row r="33" spans="1:17" ht="15.5" x14ac:dyDescent="0.35">
      <c r="A33" s="106"/>
      <c r="B33" s="107"/>
      <c r="C33" s="108"/>
      <c r="D33" s="108"/>
      <c r="E33" s="108"/>
      <c r="F33" s="109"/>
      <c r="G33" s="159"/>
      <c r="H33" s="109"/>
      <c r="I33" s="109"/>
      <c r="J33" s="108"/>
      <c r="K33" s="111"/>
      <c r="L33" s="14">
        <f t="shared" si="0"/>
        <v>0</v>
      </c>
      <c r="M33" s="31">
        <f t="shared" si="3"/>
        <v>0</v>
      </c>
      <c r="N33" s="15" t="str">
        <f>IF(Table2683253[[#This Row],[Fault Type]]="PM",IF(L33&lt;=(D33-C33),"Yes","No"),"")</f>
        <v/>
      </c>
      <c r="O33" s="16" t="str">
        <f t="shared" si="2"/>
        <v/>
      </c>
      <c r="P3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3" s="17"/>
    </row>
    <row r="34" spans="1:17" ht="15.5" x14ac:dyDescent="0.35">
      <c r="A34" s="106"/>
      <c r="B34" s="107"/>
      <c r="C34" s="108"/>
      <c r="D34" s="108"/>
      <c r="E34" s="108"/>
      <c r="F34" s="107"/>
      <c r="G34" s="159"/>
      <c r="H34" s="107"/>
      <c r="I34" s="107"/>
      <c r="J34" s="118"/>
      <c r="K34" s="111"/>
      <c r="L34" s="14">
        <f t="shared" si="0"/>
        <v>0</v>
      </c>
      <c r="M34" s="31">
        <f t="shared" si="3"/>
        <v>0</v>
      </c>
      <c r="N34" s="15" t="str">
        <f>IF(Table2683253[[#This Row],[Fault Type]]="PM",IF(L34&lt;=(D34-C34),"Yes","No"),"")</f>
        <v/>
      </c>
      <c r="O34" s="16" t="str">
        <f t="shared" si="2"/>
        <v/>
      </c>
      <c r="P3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4" s="17"/>
    </row>
    <row r="35" spans="1:17" ht="15.5" x14ac:dyDescent="0.35">
      <c r="A35" s="106"/>
      <c r="B35" s="107"/>
      <c r="C35" s="108"/>
      <c r="D35" s="108"/>
      <c r="E35" s="108"/>
      <c r="F35" s="109"/>
      <c r="G35" s="159"/>
      <c r="H35" s="109"/>
      <c r="I35" s="109"/>
      <c r="J35" s="108"/>
      <c r="K35" s="111"/>
      <c r="L35" s="14">
        <f t="shared" si="0"/>
        <v>0</v>
      </c>
      <c r="M35" s="31">
        <f t="shared" si="3"/>
        <v>0</v>
      </c>
      <c r="N35" s="15" t="str">
        <f>IF(Table2683253[[#This Row],[Fault Type]]="PM",IF(L35&lt;=(D35-C35),"Yes","No"),"")</f>
        <v/>
      </c>
      <c r="O35" s="16" t="str">
        <f t="shared" si="2"/>
        <v/>
      </c>
      <c r="P3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5" s="17"/>
    </row>
    <row r="36" spans="1:17" ht="15.5" x14ac:dyDescent="0.35">
      <c r="A36" s="114"/>
      <c r="B36" s="107"/>
      <c r="C36" s="108"/>
      <c r="D36" s="108"/>
      <c r="E36" s="108"/>
      <c r="F36" s="109"/>
      <c r="G36" s="159"/>
      <c r="H36" s="109"/>
      <c r="I36" s="109"/>
      <c r="J36" s="108"/>
      <c r="K36" s="115"/>
      <c r="L36" s="14">
        <f t="shared" si="0"/>
        <v>0</v>
      </c>
      <c r="M36" s="31">
        <f t="shared" si="3"/>
        <v>0</v>
      </c>
      <c r="N36" s="15" t="str">
        <f>IF(Table2683253[[#This Row],[Fault Type]]="PM",IF(L36&lt;=(D36-C36),"Yes","No"),"")</f>
        <v/>
      </c>
      <c r="O36" s="16" t="str">
        <f t="shared" si="2"/>
        <v/>
      </c>
      <c r="P3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6" s="17"/>
    </row>
    <row r="37" spans="1:17" ht="15.5" x14ac:dyDescent="0.35">
      <c r="A37" s="106"/>
      <c r="B37" s="107"/>
      <c r="C37" s="108"/>
      <c r="D37" s="108"/>
      <c r="E37" s="108"/>
      <c r="F37" s="109"/>
      <c r="G37" s="159"/>
      <c r="H37" s="109"/>
      <c r="I37" s="109"/>
      <c r="J37" s="108"/>
      <c r="K37" s="111"/>
      <c r="L37" s="14">
        <f t="shared" si="0"/>
        <v>0</v>
      </c>
      <c r="M37" s="31">
        <f t="shared" si="3"/>
        <v>0</v>
      </c>
      <c r="N37" s="15" t="str">
        <f>IF(Table2683253[[#This Row],[Fault Type]]="PM",IF(L37&lt;=(D37-C37),"Yes","No"),"")</f>
        <v/>
      </c>
      <c r="O37" s="16" t="str">
        <f t="shared" si="2"/>
        <v/>
      </c>
      <c r="P3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7" s="17"/>
    </row>
    <row r="38" spans="1:17" ht="15.5" x14ac:dyDescent="0.35">
      <c r="A38" s="106"/>
      <c r="B38" s="107"/>
      <c r="C38" s="108"/>
      <c r="D38" s="108"/>
      <c r="E38" s="108"/>
      <c r="F38" s="109"/>
      <c r="G38" s="159"/>
      <c r="H38" s="109"/>
      <c r="I38" s="109"/>
      <c r="J38" s="108"/>
      <c r="K38" s="111"/>
      <c r="L38" s="14">
        <f t="shared" si="0"/>
        <v>0</v>
      </c>
      <c r="M38" s="31">
        <f t="shared" si="3"/>
        <v>0</v>
      </c>
      <c r="N38" s="15" t="str">
        <f>IF(Table2683253[[#This Row],[Fault Type]]="PM",IF(L38&lt;=(D38-C38),"Yes","No"),"")</f>
        <v/>
      </c>
      <c r="O38" s="16" t="str">
        <f t="shared" si="2"/>
        <v/>
      </c>
      <c r="P3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8" s="17"/>
    </row>
    <row r="39" spans="1:17" ht="15.5" x14ac:dyDescent="0.35">
      <c r="A39" s="106"/>
      <c r="B39" s="107"/>
      <c r="C39" s="108"/>
      <c r="D39" s="108"/>
      <c r="E39" s="108"/>
      <c r="F39" s="109"/>
      <c r="G39" s="159"/>
      <c r="H39" s="109"/>
      <c r="I39" s="109"/>
      <c r="J39" s="108"/>
      <c r="K39" s="111"/>
      <c r="L39" s="14">
        <f t="shared" si="0"/>
        <v>0</v>
      </c>
      <c r="M39" s="31">
        <f t="shared" si="3"/>
        <v>0</v>
      </c>
      <c r="N39" s="15" t="str">
        <f>IF(Table2683253[[#This Row],[Fault Type]]="PM",IF(L39&lt;=(D39-C39),"Yes","No"),"")</f>
        <v/>
      </c>
      <c r="O39" s="16" t="str">
        <f t="shared" si="2"/>
        <v/>
      </c>
      <c r="P3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IF(Table2683253[[#This Row],[Fault Type]]="PM",IF(L40&lt;=(D40-C40),"Yes","No"),"")</f>
        <v/>
      </c>
      <c r="O40" s="16" t="str">
        <f t="shared" si="2"/>
        <v/>
      </c>
      <c r="P4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IF(Table2683253[[#This Row],[Fault Type]]="PM",IF(L41&lt;=(D41-C41),"Yes","No"),"")</f>
        <v/>
      </c>
      <c r="O41" s="16" t="str">
        <f t="shared" si="2"/>
        <v/>
      </c>
      <c r="P4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1" s="17"/>
    </row>
    <row r="42" spans="1:17" ht="15.5" x14ac:dyDescent="0.35">
      <c r="A42" s="4"/>
      <c r="B42" s="12"/>
      <c r="C42" s="13"/>
      <c r="D42" s="13"/>
      <c r="E42" s="13"/>
      <c r="F42" s="18"/>
      <c r="G42" s="159"/>
      <c r="H42" s="18"/>
      <c r="I42" s="18"/>
      <c r="J42" s="13"/>
      <c r="K42" s="32"/>
      <c r="L42" s="14">
        <f t="shared" si="0"/>
        <v>0</v>
      </c>
      <c r="M42" s="31">
        <f t="shared" si="3"/>
        <v>0</v>
      </c>
      <c r="N42" s="15" t="str">
        <f>IF(Table2683253[[#This Row],[Fault Type]]="PM",IF(L42&lt;=(D42-C42),"Yes","No"),"")</f>
        <v/>
      </c>
      <c r="O42" s="16" t="str">
        <f t="shared" si="2"/>
        <v/>
      </c>
      <c r="P4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2" s="17"/>
    </row>
    <row r="43" spans="1:17" ht="15.75" customHeight="1" x14ac:dyDescent="0.35">
      <c r="A43" s="4"/>
      <c r="B43" s="12"/>
      <c r="C43" s="13"/>
      <c r="D43" s="13"/>
      <c r="E43" s="13"/>
      <c r="F43" s="12"/>
      <c r="G43" s="159"/>
      <c r="H43" s="12"/>
      <c r="I43" s="12"/>
      <c r="J43" s="13"/>
      <c r="K43" s="32"/>
      <c r="L43" s="14">
        <f t="shared" si="0"/>
        <v>0</v>
      </c>
      <c r="M43" s="31">
        <f t="shared" si="3"/>
        <v>0</v>
      </c>
      <c r="N43" s="15" t="str">
        <f>IF(Table2683253[[#This Row],[Fault Type]]="PM",IF(L43&lt;=(D43-C43),"Yes","No"),"")</f>
        <v/>
      </c>
      <c r="O43" s="16" t="str">
        <f t="shared" si="2"/>
        <v/>
      </c>
      <c r="P4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3" s="17"/>
    </row>
    <row r="44" spans="1:17" ht="15.5" x14ac:dyDescent="0.35">
      <c r="A44" s="4"/>
      <c r="B44" s="12"/>
      <c r="C44" s="13"/>
      <c r="D44" s="13"/>
      <c r="E44" s="13"/>
      <c r="F44" s="18"/>
      <c r="G44" s="159"/>
      <c r="H44" s="18"/>
      <c r="I44" s="18"/>
      <c r="J44" s="13"/>
      <c r="K44" s="32"/>
      <c r="L44" s="14">
        <f t="shared" si="0"/>
        <v>0</v>
      </c>
      <c r="M44" s="31">
        <f t="shared" si="3"/>
        <v>0</v>
      </c>
      <c r="N44" s="15" t="str">
        <f>IF(Table2683253[[#This Row],[Fault Type]]="PM",IF(L44&lt;=(D44-C44),"Yes","No"),"")</f>
        <v/>
      </c>
      <c r="O44" s="16" t="str">
        <f t="shared" si="2"/>
        <v/>
      </c>
      <c r="P4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4" s="17"/>
    </row>
    <row r="45" spans="1:17" ht="15.5" x14ac:dyDescent="0.35">
      <c r="A45" s="4"/>
      <c r="B45" s="49"/>
      <c r="C45" s="49"/>
      <c r="D45" s="49"/>
      <c r="E45" s="13"/>
      <c r="F45" s="64"/>
      <c r="G45" s="159"/>
      <c r="H45" s="54"/>
      <c r="I45" s="54"/>
      <c r="J45" s="13"/>
      <c r="K45" s="32"/>
      <c r="L45" s="14">
        <f t="shared" si="0"/>
        <v>0</v>
      </c>
      <c r="M45" s="53">
        <f t="shared" si="3"/>
        <v>0</v>
      </c>
      <c r="N45" s="50" t="str">
        <f>IF(Table2683253[[#This Row],[Fault Type]]="PM",IF(L45&lt;=(D45-C45),"Yes","No"),"")</f>
        <v/>
      </c>
      <c r="O45" s="51" t="str">
        <f t="shared" si="2"/>
        <v/>
      </c>
      <c r="P4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5" s="17"/>
    </row>
    <row r="46" spans="1:17" ht="15.5" x14ac:dyDescent="0.35">
      <c r="A46" s="58"/>
      <c r="B46" s="55"/>
      <c r="C46" s="56"/>
      <c r="D46" s="56"/>
      <c r="E46" s="13"/>
      <c r="F46" s="55"/>
      <c r="G46" s="159"/>
      <c r="H46" s="57"/>
      <c r="I46" s="18"/>
      <c r="J46" s="13"/>
      <c r="K46" s="32"/>
      <c r="L46" s="14">
        <f t="shared" si="0"/>
        <v>0</v>
      </c>
      <c r="M46" s="59">
        <f t="shared" si="3"/>
        <v>0</v>
      </c>
      <c r="N46" s="61" t="str">
        <f>IF(Table2683253[[#This Row],[Fault Type]]="PM",IF(L46&lt;=(D46-C46),"Yes","No"),"")</f>
        <v/>
      </c>
      <c r="O46" s="62" t="str">
        <f t="shared" si="2"/>
        <v/>
      </c>
      <c r="P4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6" s="17"/>
    </row>
    <row r="47" spans="1:17" ht="15.5" x14ac:dyDescent="0.35">
      <c r="A47" s="58"/>
      <c r="B47" s="55"/>
      <c r="C47" s="56"/>
      <c r="D47" s="56"/>
      <c r="E47" s="13"/>
      <c r="F47" s="55"/>
      <c r="G47" s="159"/>
      <c r="H47" s="57"/>
      <c r="I47" s="18"/>
      <c r="J47" s="13"/>
      <c r="K47" s="32"/>
      <c r="L47" s="14">
        <f t="shared" si="0"/>
        <v>0</v>
      </c>
      <c r="M47" s="59">
        <f t="shared" si="3"/>
        <v>0</v>
      </c>
      <c r="N47" s="61" t="str">
        <f>IF(Table2683253[[#This Row],[Fault Type]]="PM",IF(L47&lt;=(D47-C47),"Yes","No"),"")</f>
        <v/>
      </c>
      <c r="O47" s="62" t="str">
        <f t="shared" si="2"/>
        <v/>
      </c>
      <c r="P4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7" s="17"/>
    </row>
    <row r="48" spans="1:17" ht="15.5" x14ac:dyDescent="0.35">
      <c r="A48" s="58"/>
      <c r="B48" s="55"/>
      <c r="C48" s="56"/>
      <c r="D48" s="56"/>
      <c r="E48" s="13"/>
      <c r="F48" s="55"/>
      <c r="G48" s="159"/>
      <c r="H48" s="57"/>
      <c r="I48" s="18"/>
      <c r="J48" s="13"/>
      <c r="K48" s="32"/>
      <c r="L48" s="14">
        <f t="shared" si="0"/>
        <v>0</v>
      </c>
      <c r="M48" s="59">
        <f t="shared" si="3"/>
        <v>0</v>
      </c>
      <c r="N48" s="61" t="str">
        <f>IF(Table2683253[[#This Row],[Fault Type]]="PM",IF(L48&lt;=(D48-C48),"Yes","No"),"")</f>
        <v/>
      </c>
      <c r="O48" s="62" t="str">
        <f t="shared" si="2"/>
        <v/>
      </c>
      <c r="P4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48" s="17"/>
    </row>
    <row r="49" spans="1:17" ht="15.5" x14ac:dyDescent="0.35">
      <c r="A49" s="58"/>
      <c r="B49" s="55"/>
      <c r="C49" s="56"/>
      <c r="D49" s="56"/>
      <c r="E49" s="13"/>
      <c r="F49" s="55"/>
      <c r="G49" s="159"/>
      <c r="H49" s="57"/>
      <c r="I49" s="18"/>
      <c r="J49" s="13"/>
      <c r="K49" s="60"/>
      <c r="L49" s="14">
        <f t="shared" si="0"/>
        <v>0</v>
      </c>
      <c r="M49" s="59">
        <f t="shared" si="3"/>
        <v>0</v>
      </c>
      <c r="N49" s="61" t="str">
        <f>IF(Table2683253[[#This Row],[Fault Type]]="PM",IF(L49&lt;=(D49-C49),"Yes","No"),"")</f>
        <v/>
      </c>
      <c r="O49" s="62" t="str">
        <f t="shared" si="2"/>
        <v/>
      </c>
      <c r="P4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row>
    <row r="50" spans="1:17" ht="15.5" x14ac:dyDescent="0.35">
      <c r="A50" s="58"/>
      <c r="B50" s="55"/>
      <c r="C50" s="56"/>
      <c r="D50" s="56"/>
      <c r="E50" s="13"/>
      <c r="F50" s="55"/>
      <c r="G50" s="159"/>
      <c r="H50" s="57"/>
      <c r="I50" s="18"/>
      <c r="J50" s="13"/>
      <c r="K50" s="60"/>
      <c r="L50" s="14">
        <f t="shared" si="0"/>
        <v>0</v>
      </c>
      <c r="M50" s="59">
        <f t="shared" si="3"/>
        <v>0</v>
      </c>
      <c r="N50" s="61" t="str">
        <f>IF(Table2683253[[#This Row],[Fault Type]]="PM",IF(L50&lt;=(D50-C50),"Yes","No"),"")</f>
        <v/>
      </c>
      <c r="O50" s="62" t="str">
        <f t="shared" si="2"/>
        <v/>
      </c>
      <c r="P5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0" s="63"/>
    </row>
    <row r="51" spans="1:17" ht="15.5" x14ac:dyDescent="0.35">
      <c r="A51" s="58"/>
      <c r="B51" s="55"/>
      <c r="C51" s="56"/>
      <c r="D51" s="56"/>
      <c r="E51" s="13"/>
      <c r="F51" s="55"/>
      <c r="G51" s="159"/>
      <c r="H51" s="57"/>
      <c r="I51" s="18"/>
      <c r="J51" s="13"/>
      <c r="K51" s="60"/>
      <c r="L51" s="14">
        <f t="shared" si="0"/>
        <v>0</v>
      </c>
      <c r="M51" s="59">
        <f t="shared" si="3"/>
        <v>0</v>
      </c>
      <c r="N51" s="61" t="str">
        <f>IF(Table2683253[[#This Row],[Fault Type]]="PM",IF(L51&lt;=(D51-C51),"Yes","No"),"")</f>
        <v/>
      </c>
      <c r="O51" s="62" t="str">
        <f t="shared" si="2"/>
        <v/>
      </c>
      <c r="P5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1" s="63"/>
    </row>
    <row r="52" spans="1:17" ht="15.5" x14ac:dyDescent="0.35">
      <c r="A52" s="58"/>
      <c r="B52" s="55"/>
      <c r="C52" s="56"/>
      <c r="D52" s="56"/>
      <c r="E52" s="13"/>
      <c r="F52" s="55"/>
      <c r="G52" s="159"/>
      <c r="H52" s="57"/>
      <c r="I52" s="18"/>
      <c r="J52" s="13"/>
      <c r="K52" s="60"/>
      <c r="L52" s="14">
        <f t="shared" si="0"/>
        <v>0</v>
      </c>
      <c r="M52" s="59">
        <f t="shared" si="3"/>
        <v>0</v>
      </c>
      <c r="N52" s="61" t="str">
        <f>IF(Table2683253[[#This Row],[Fault Type]]="PM",IF(L52&lt;=(D52-C52),"Yes","No"),"")</f>
        <v/>
      </c>
      <c r="O52" s="62" t="str">
        <f t="shared" si="2"/>
        <v/>
      </c>
      <c r="P5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2" s="63"/>
    </row>
    <row r="53" spans="1:17" ht="15.5" x14ac:dyDescent="0.35">
      <c r="A53" s="58"/>
      <c r="B53" s="55"/>
      <c r="C53" s="56"/>
      <c r="D53" s="56"/>
      <c r="E53" s="13"/>
      <c r="F53" s="55"/>
      <c r="G53" s="159"/>
      <c r="H53" s="57"/>
      <c r="I53" s="18"/>
      <c r="J53" s="13"/>
      <c r="K53" s="60"/>
      <c r="L53" s="14">
        <f t="shared" si="0"/>
        <v>0</v>
      </c>
      <c r="M53" s="59">
        <f t="shared" si="3"/>
        <v>0</v>
      </c>
      <c r="N53" s="61" t="str">
        <f>IF(Table2683253[[#This Row],[Fault Type]]="PM",IF(L53&lt;=(D53-C53),"Yes","No"),"")</f>
        <v/>
      </c>
      <c r="O53" s="62" t="str">
        <f t="shared" si="2"/>
        <v/>
      </c>
      <c r="P5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3" s="63"/>
    </row>
    <row r="54" spans="1:17" ht="15.5" x14ac:dyDescent="0.35">
      <c r="A54" s="58"/>
      <c r="B54" s="55"/>
      <c r="C54" s="56"/>
      <c r="D54" s="56"/>
      <c r="E54" s="13"/>
      <c r="F54" s="55"/>
      <c r="G54" s="159"/>
      <c r="H54" s="57"/>
      <c r="I54" s="18"/>
      <c r="J54" s="13"/>
      <c r="K54" s="60"/>
      <c r="L54" s="14">
        <f t="shared" si="0"/>
        <v>0</v>
      </c>
      <c r="M54" s="59">
        <f t="shared" si="3"/>
        <v>0</v>
      </c>
      <c r="N54" s="61" t="str">
        <f>IF(Table2683253[[#This Row],[Fault Type]]="PM",IF(L54&lt;=(D54-C54),"Yes","No"),"")</f>
        <v/>
      </c>
      <c r="O54" s="62" t="str">
        <f t="shared" si="2"/>
        <v/>
      </c>
      <c r="P5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4" s="63"/>
    </row>
    <row r="55" spans="1:17" ht="15.5" x14ac:dyDescent="0.35">
      <c r="A55" s="58"/>
      <c r="B55" s="55"/>
      <c r="C55" s="56"/>
      <c r="D55" s="56"/>
      <c r="E55" s="13"/>
      <c r="F55" s="55"/>
      <c r="G55" s="159"/>
      <c r="H55" s="57"/>
      <c r="I55" s="18"/>
      <c r="J55" s="13"/>
      <c r="K55" s="60"/>
      <c r="L55" s="14">
        <f t="shared" si="0"/>
        <v>0</v>
      </c>
      <c r="M55" s="59">
        <f t="shared" si="3"/>
        <v>0</v>
      </c>
      <c r="N55" s="61" t="str">
        <f>IF(Table2683253[[#This Row],[Fault Type]]="PM",IF(L55&lt;=(D55-C55),"Yes","No"),"")</f>
        <v/>
      </c>
      <c r="O55" s="62" t="str">
        <f t="shared" si="2"/>
        <v/>
      </c>
      <c r="P5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5" s="63"/>
    </row>
    <row r="56" spans="1:17" ht="15.5" x14ac:dyDescent="0.35">
      <c r="A56" s="58"/>
      <c r="B56" s="55"/>
      <c r="C56" s="56"/>
      <c r="D56" s="56"/>
      <c r="E56" s="13"/>
      <c r="F56" s="55"/>
      <c r="G56" s="159"/>
      <c r="H56" s="57"/>
      <c r="I56" s="18"/>
      <c r="J56" s="13"/>
      <c r="K56" s="60"/>
      <c r="L56" s="14">
        <f t="shared" si="0"/>
        <v>0</v>
      </c>
      <c r="M56" s="59">
        <f t="shared" si="3"/>
        <v>0</v>
      </c>
      <c r="N56" s="61" t="str">
        <f>IF(Table2683253[[#This Row],[Fault Type]]="PM",IF(L56&lt;=(D56-C56),"Yes","No"),"")</f>
        <v/>
      </c>
      <c r="O56" s="62" t="str">
        <f t="shared" si="2"/>
        <v/>
      </c>
      <c r="P5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6" s="63"/>
    </row>
    <row r="57" spans="1:17" ht="15.5" x14ac:dyDescent="0.35">
      <c r="A57" s="58"/>
      <c r="B57" s="55"/>
      <c r="C57" s="56"/>
      <c r="D57" s="56"/>
      <c r="E57" s="13"/>
      <c r="F57" s="55"/>
      <c r="G57" s="159"/>
      <c r="H57" s="57"/>
      <c r="I57" s="18"/>
      <c r="J57" s="13"/>
      <c r="K57" s="60"/>
      <c r="L57" s="14">
        <f t="shared" si="0"/>
        <v>0</v>
      </c>
      <c r="M57" s="59">
        <f t="shared" si="3"/>
        <v>0</v>
      </c>
      <c r="N57" s="61" t="str">
        <f>IF(Table2683253[[#This Row],[Fault Type]]="PM",IF(L57&lt;=(D57-C57),"Yes","No"),"")</f>
        <v/>
      </c>
      <c r="O57" s="62" t="str">
        <f t="shared" si="2"/>
        <v/>
      </c>
      <c r="P5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7" s="63"/>
    </row>
    <row r="58" spans="1:17" ht="15.5" x14ac:dyDescent="0.35">
      <c r="A58" s="58"/>
      <c r="B58" s="55"/>
      <c r="C58" s="56"/>
      <c r="D58" s="56"/>
      <c r="E58" s="13"/>
      <c r="F58" s="55"/>
      <c r="G58" s="159"/>
      <c r="H58" s="57"/>
      <c r="I58" s="18"/>
      <c r="J58" s="13"/>
      <c r="K58" s="60"/>
      <c r="L58" s="14">
        <f t="shared" si="0"/>
        <v>0</v>
      </c>
      <c r="M58" s="59">
        <f t="shared" si="3"/>
        <v>0</v>
      </c>
      <c r="N58" s="61" t="str">
        <f>IF(Table2683253[[#This Row],[Fault Type]]="PM",IF(L58&lt;=(D58-C58),"Yes","No"),"")</f>
        <v/>
      </c>
      <c r="O58" s="62" t="str">
        <f t="shared" si="2"/>
        <v/>
      </c>
      <c r="P5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8" s="63"/>
    </row>
    <row r="59" spans="1:17" ht="15.5" x14ac:dyDescent="0.35">
      <c r="A59" s="58"/>
      <c r="B59" s="55"/>
      <c r="C59" s="56"/>
      <c r="D59" s="56"/>
      <c r="E59" s="13"/>
      <c r="F59" s="55"/>
      <c r="G59" s="159"/>
      <c r="H59" s="57"/>
      <c r="I59" s="18"/>
      <c r="J59" s="13"/>
      <c r="K59" s="60"/>
      <c r="L59" s="14">
        <f t="shared" si="0"/>
        <v>0</v>
      </c>
      <c r="M59" s="59">
        <f t="shared" si="3"/>
        <v>0</v>
      </c>
      <c r="N59" s="61" t="str">
        <f>IF(Table2683253[[#This Row],[Fault Type]]="PM",IF(L59&lt;=(D59-C59),"Yes","No"),"")</f>
        <v/>
      </c>
      <c r="O59" s="62" t="str">
        <f t="shared" si="2"/>
        <v/>
      </c>
      <c r="P5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59" s="63"/>
    </row>
    <row r="60" spans="1:17" ht="15.5" x14ac:dyDescent="0.35">
      <c r="A60" s="58"/>
      <c r="B60" s="55"/>
      <c r="C60" s="56"/>
      <c r="D60" s="56"/>
      <c r="E60" s="13"/>
      <c r="F60" s="55"/>
      <c r="G60" s="159"/>
      <c r="H60" s="57"/>
      <c r="I60" s="18"/>
      <c r="J60" s="13"/>
      <c r="K60" s="60"/>
      <c r="L60" s="14">
        <f t="shared" si="0"/>
        <v>0</v>
      </c>
      <c r="M60" s="59">
        <f t="shared" si="3"/>
        <v>0</v>
      </c>
      <c r="N60" s="61" t="str">
        <f>IF(Table2683253[[#This Row],[Fault Type]]="PM",IF(L60&lt;=(D60-C60),"Yes","No"),"")</f>
        <v/>
      </c>
      <c r="O60" s="62" t="str">
        <f t="shared" si="2"/>
        <v/>
      </c>
      <c r="P6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0" s="63"/>
    </row>
    <row r="61" spans="1:17" ht="15.5" x14ac:dyDescent="0.35">
      <c r="A61" s="58"/>
      <c r="B61" s="55"/>
      <c r="C61" s="56"/>
      <c r="D61" s="56"/>
      <c r="E61" s="13"/>
      <c r="F61" s="55"/>
      <c r="G61" s="159"/>
      <c r="H61" s="57"/>
      <c r="I61" s="18"/>
      <c r="J61" s="13"/>
      <c r="K61" s="60"/>
      <c r="L61" s="14">
        <f t="shared" si="0"/>
        <v>0</v>
      </c>
      <c r="M61" s="59">
        <f t="shared" si="3"/>
        <v>0</v>
      </c>
      <c r="N61" s="61" t="str">
        <f>IF(Table2683253[[#This Row],[Fault Type]]="PM",IF(L61&lt;=(D61-C61),"Yes","No"),"")</f>
        <v/>
      </c>
      <c r="O61" s="62" t="str">
        <f t="shared" si="2"/>
        <v/>
      </c>
      <c r="P6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1" s="63"/>
    </row>
    <row r="62" spans="1:17" ht="15.5" x14ac:dyDescent="0.35">
      <c r="A62" s="58"/>
      <c r="B62" s="55"/>
      <c r="C62" s="56"/>
      <c r="D62" s="56"/>
      <c r="E62" s="13"/>
      <c r="F62" s="55"/>
      <c r="G62" s="159"/>
      <c r="H62" s="57"/>
      <c r="I62" s="18"/>
      <c r="J62" s="13"/>
      <c r="K62" s="60"/>
      <c r="L62" s="14">
        <f t="shared" si="0"/>
        <v>0</v>
      </c>
      <c r="M62" s="59">
        <f t="shared" si="3"/>
        <v>0</v>
      </c>
      <c r="N62" s="61" t="str">
        <f>IF(Table2683253[[#This Row],[Fault Type]]="PM",IF(L62&lt;=(D62-C62),"Yes","No"),"")</f>
        <v/>
      </c>
      <c r="O62" s="62" t="str">
        <f t="shared" si="2"/>
        <v/>
      </c>
      <c r="P6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2" s="63"/>
    </row>
    <row r="63" spans="1:17" ht="15.5" x14ac:dyDescent="0.35">
      <c r="A63" s="58"/>
      <c r="B63" s="55"/>
      <c r="C63" s="56"/>
      <c r="D63" s="56"/>
      <c r="E63" s="13"/>
      <c r="F63" s="55"/>
      <c r="G63" s="159"/>
      <c r="H63" s="57"/>
      <c r="I63" s="18"/>
      <c r="J63" s="13"/>
      <c r="K63" s="60"/>
      <c r="L63" s="14">
        <f t="shared" si="0"/>
        <v>0</v>
      </c>
      <c r="M63" s="59">
        <f t="shared" si="3"/>
        <v>0</v>
      </c>
      <c r="N63" s="61" t="str">
        <f>IF(Table2683253[[#This Row],[Fault Type]]="PM",IF(L63&lt;=(D63-C63),"Yes","No"),"")</f>
        <v/>
      </c>
      <c r="O63" s="62" t="str">
        <f t="shared" si="2"/>
        <v/>
      </c>
      <c r="P6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3" s="63"/>
    </row>
    <row r="64" spans="1:17" ht="15.5" x14ac:dyDescent="0.35">
      <c r="A64" s="58"/>
      <c r="B64" s="55"/>
      <c r="C64" s="56"/>
      <c r="D64" s="56"/>
      <c r="E64" s="13"/>
      <c r="F64" s="55"/>
      <c r="G64" s="159"/>
      <c r="H64" s="57"/>
      <c r="I64" s="18"/>
      <c r="J64" s="13"/>
      <c r="K64" s="60"/>
      <c r="L64" s="14">
        <f t="shared" ref="L64:L77" si="4">J64-E64</f>
        <v>0</v>
      </c>
      <c r="M64" s="59">
        <f t="shared" si="3"/>
        <v>0</v>
      </c>
      <c r="N64" s="61" t="str">
        <f>IF(Table2683253[[#This Row],[Fault Type]]="PM",IF(L64&lt;=(D64-C64),"Yes","No"),"")</f>
        <v/>
      </c>
      <c r="O64" s="62" t="str">
        <f t="shared" ref="O64:O77" si="5">IF(N64="No",(L64-(D64-C64)),"")</f>
        <v/>
      </c>
      <c r="P6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4" s="63"/>
    </row>
    <row r="65" spans="1:17" ht="15.5" x14ac:dyDescent="0.35">
      <c r="A65" s="58"/>
      <c r="B65" s="55"/>
      <c r="C65" s="56"/>
      <c r="D65" s="56"/>
      <c r="E65" s="13"/>
      <c r="F65" s="55"/>
      <c r="G65" s="159"/>
      <c r="H65" s="57"/>
      <c r="I65" s="18"/>
      <c r="J65" s="13"/>
      <c r="K65" s="60"/>
      <c r="L65" s="14">
        <f t="shared" si="4"/>
        <v>0</v>
      </c>
      <c r="M65" s="59">
        <f t="shared" si="3"/>
        <v>0</v>
      </c>
      <c r="N65" s="61" t="str">
        <f>IF(Table2683253[[#This Row],[Fault Type]]="PM",IF(L65&lt;=(D65-C65),"Yes","No"),"")</f>
        <v/>
      </c>
      <c r="O65" s="62" t="str">
        <f t="shared" si="5"/>
        <v/>
      </c>
      <c r="P6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5" s="63"/>
    </row>
    <row r="66" spans="1:17" ht="15.5" x14ac:dyDescent="0.35">
      <c r="A66" s="58"/>
      <c r="B66" s="55"/>
      <c r="C66" s="56"/>
      <c r="D66" s="56"/>
      <c r="E66" s="13"/>
      <c r="F66" s="55"/>
      <c r="G66" s="159"/>
      <c r="H66" s="57"/>
      <c r="I66" s="18"/>
      <c r="J66" s="13"/>
      <c r="K66" s="60"/>
      <c r="L66" s="14">
        <f t="shared" si="4"/>
        <v>0</v>
      </c>
      <c r="M66" s="59">
        <f t="shared" si="3"/>
        <v>0</v>
      </c>
      <c r="N66" s="61" t="str">
        <f>IF(Table2683253[[#This Row],[Fault Type]]="PM",IF(L66&lt;=(D66-C66),"Yes","No"),"")</f>
        <v/>
      </c>
      <c r="O66" s="62" t="str">
        <f t="shared" si="5"/>
        <v/>
      </c>
      <c r="P6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6" s="63"/>
    </row>
    <row r="67" spans="1:17" ht="15.5" x14ac:dyDescent="0.35">
      <c r="A67" s="58"/>
      <c r="B67" s="55"/>
      <c r="C67" s="56"/>
      <c r="D67" s="56"/>
      <c r="E67" s="13"/>
      <c r="F67" s="55"/>
      <c r="G67" s="159"/>
      <c r="H67" s="57"/>
      <c r="I67" s="18"/>
      <c r="J67" s="13"/>
      <c r="K67" s="60"/>
      <c r="L67" s="14">
        <f t="shared" si="4"/>
        <v>0</v>
      </c>
      <c r="M67" s="59">
        <f t="shared" si="3"/>
        <v>0</v>
      </c>
      <c r="N67" s="61" t="str">
        <f>IF(Table2683253[[#This Row],[Fault Type]]="PM",IF(L67&lt;=(D67-C67),"Yes","No"),"")</f>
        <v/>
      </c>
      <c r="O67" s="62" t="str">
        <f t="shared" si="5"/>
        <v/>
      </c>
      <c r="P6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7" s="63"/>
    </row>
    <row r="68" spans="1:17" ht="15.5" x14ac:dyDescent="0.35">
      <c r="A68" s="58"/>
      <c r="B68" s="55"/>
      <c r="C68" s="56"/>
      <c r="D68" s="56"/>
      <c r="E68" s="13"/>
      <c r="F68" s="55"/>
      <c r="G68" s="159"/>
      <c r="H68" s="57"/>
      <c r="I68" s="18"/>
      <c r="J68" s="13"/>
      <c r="K68" s="60"/>
      <c r="L68" s="14">
        <f t="shared" si="4"/>
        <v>0</v>
      </c>
      <c r="M68" s="59">
        <f t="shared" si="3"/>
        <v>0</v>
      </c>
      <c r="N68" s="61" t="str">
        <f>IF(Table2683253[[#This Row],[Fault Type]]="PM",IF(L68&lt;=(D68-C68),"Yes","No"),"")</f>
        <v/>
      </c>
      <c r="O68" s="62" t="str">
        <f t="shared" si="5"/>
        <v/>
      </c>
      <c r="P68"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8" s="63"/>
    </row>
    <row r="69" spans="1:17" ht="15.5" x14ac:dyDescent="0.35">
      <c r="A69" s="58"/>
      <c r="B69" s="55"/>
      <c r="C69" s="56"/>
      <c r="D69" s="56"/>
      <c r="E69" s="13"/>
      <c r="F69" s="55"/>
      <c r="G69" s="159"/>
      <c r="H69" s="57"/>
      <c r="I69" s="18"/>
      <c r="J69" s="13"/>
      <c r="K69" s="60"/>
      <c r="L69" s="14">
        <f t="shared" si="4"/>
        <v>0</v>
      </c>
      <c r="M69" s="59">
        <f t="shared" si="3"/>
        <v>0</v>
      </c>
      <c r="N69" s="61" t="str">
        <f>IF(Table2683253[[#This Row],[Fault Type]]="PM",IF(L69&lt;=(D69-C69),"Yes","No"),"")</f>
        <v/>
      </c>
      <c r="O69" s="62" t="str">
        <f t="shared" si="5"/>
        <v/>
      </c>
      <c r="P69"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69" s="63"/>
    </row>
    <row r="70" spans="1:17" ht="15.5" x14ac:dyDescent="0.35">
      <c r="A70" s="58"/>
      <c r="B70" s="55"/>
      <c r="C70" s="56"/>
      <c r="D70" s="56"/>
      <c r="E70" s="13"/>
      <c r="F70" s="55"/>
      <c r="G70" s="159"/>
      <c r="H70" s="57"/>
      <c r="I70" s="18"/>
      <c r="J70" s="13"/>
      <c r="K70" s="60"/>
      <c r="L70" s="14">
        <f t="shared" si="4"/>
        <v>0</v>
      </c>
      <c r="M70" s="59">
        <f t="shared" si="3"/>
        <v>0</v>
      </c>
      <c r="N70" s="61" t="str">
        <f>IF(Table2683253[[#This Row],[Fault Type]]="PM",IF(L70&lt;=(D70-C70),"Yes","No"),"")</f>
        <v/>
      </c>
      <c r="O70" s="62" t="str">
        <f t="shared" si="5"/>
        <v/>
      </c>
      <c r="P70"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0" s="63"/>
    </row>
    <row r="71" spans="1:17" ht="15.5" x14ac:dyDescent="0.35">
      <c r="A71" s="58"/>
      <c r="B71" s="55"/>
      <c r="C71" s="56"/>
      <c r="D71" s="56"/>
      <c r="E71" s="13"/>
      <c r="F71" s="55"/>
      <c r="G71" s="159"/>
      <c r="H71" s="57"/>
      <c r="I71" s="18"/>
      <c r="J71" s="13"/>
      <c r="K71" s="60"/>
      <c r="L71" s="14">
        <f t="shared" si="4"/>
        <v>0</v>
      </c>
      <c r="M71" s="59">
        <f t="shared" si="3"/>
        <v>0</v>
      </c>
      <c r="N71" s="61" t="str">
        <f>IF(Table2683253[[#This Row],[Fault Type]]="PM",IF(L71&lt;=(D71-C71),"Yes","No"),"")</f>
        <v/>
      </c>
      <c r="O71" s="62" t="str">
        <f t="shared" si="5"/>
        <v/>
      </c>
      <c r="P71"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61" t="str">
        <f>IF(Table2683253[[#This Row],[Fault Type]]="PM",IF(L72&lt;=(D72-C72),"Yes","No"),"")</f>
        <v/>
      </c>
      <c r="O72" s="62" t="str">
        <f t="shared" si="5"/>
        <v/>
      </c>
      <c r="P72"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61" t="str">
        <f>IF(Table2683253[[#This Row],[Fault Type]]="PM",IF(L73&lt;=(D73-C73),"Yes","No"),"")</f>
        <v/>
      </c>
      <c r="O73" s="62" t="str">
        <f t="shared" si="5"/>
        <v/>
      </c>
      <c r="P73"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61" t="str">
        <f>IF(Table2683253[[#This Row],[Fault Type]]="PM",IF(L74&lt;=(D74-C74),"Yes","No"),"")</f>
        <v/>
      </c>
      <c r="O74" s="62" t="str">
        <f t="shared" si="5"/>
        <v/>
      </c>
      <c r="P74"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IF(Table2683253[[#This Row],[Fault Type]]="PM",IF(L75&lt;=(D75-C75),"Yes","No"),"")</f>
        <v/>
      </c>
      <c r="O75" s="62" t="str">
        <f t="shared" si="5"/>
        <v/>
      </c>
      <c r="P75"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IF(Table2683253[[#This Row],[Fault Type]]="PM",IF(L76&lt;=(D76-C76),"Yes","No"),"")</f>
        <v/>
      </c>
      <c r="O76" s="62" t="str">
        <f t="shared" si="5"/>
        <v/>
      </c>
      <c r="P76"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61" t="str">
        <f>IF(Table2683253[[#This Row],[Fault Type]]="PM",IF(L77&lt;=(D77-C77),"Yes","No"),"")</f>
        <v/>
      </c>
      <c r="O77" s="62" t="str">
        <f t="shared" si="5"/>
        <v/>
      </c>
      <c r="P77" s="166" t="str">
        <f>IF(AND(Table2683253[[#This Row],[Name of Feeder]]&lt;&gt;"",OR(Table2683253[[#This Row],[Fault Type]]="TL",Table2683253[[#This Row],[Fault Type]]="TS",Table2683253[[#This Row],[Fault Type]]="UF",Table2683253[[#This Row],[Fault Type]]="SE")),(IF(AND(VLOOKUP(Table2683253[[#This Row],[Name of Feeder]],Main!D:E,2,0)="URBAN",ISNUMBER(SEARCH("33KV",Table2683253[[#This Row],[Name of Feeder]]))),IF(AND(Table2683253[[#This Row],[Outage Duration]]&gt;0,Table2683253[[#This Row],[Outage Duration]]&lt;=0.25),"Yes","No"),IF(AND(VLOOKUP(Table2683253[[#This Row],[Name of Feeder]],Main!D:E,2,0)="RURAL",ISNUMBER(SEARCH("33KV",Table2683253[[#This Row],[Name of Feeder]]))),IF(AND(Table2683253[[#This Row],[Outage Duration]]&gt;0,Table2683253[[#This Row],[Outage Duration]]&lt;=0.33),"Yes","No"),IF(AND(VLOOKUP(Table2683253[[#This Row],[Name of Feeder]],Main!D:E,2,0)="RURAL",ISNUMBER(SEARCH("11KV",Table2683253[[#This Row],[Name of Feeder]]))),IF(AND(Table2683253[[#This Row],[Outage Duration]]&gt;0,Table2683253[[#This Row],[Outage Duration]]&lt;=0.17),"Yes","No"),IF(AND(VLOOKUP(Table2683253[[#This Row],[Name of Feeder]],Main!D:E,2,0)="URBAN",ISNUMBER(SEARCH("11KV",Table2683253[[#This Row],[Name of Feeder]]))),IF(AND(Table2683253[[#This Row],[Outage Duration]]&gt;0,Table2683253[[#This Row],[Outage Duration]]&lt;=0.17),"Yes","No"),""))))),"")</f>
        <v/>
      </c>
      <c r="Q77"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0000000}">
          <x14:formula1>
            <xm:f>Main!$F$226:$F$228</xm:f>
          </x14:formula1>
          <xm:sqref>I2:I77</xm:sqref>
        </x14:dataValidation>
        <x14:dataValidation type="list" allowBlank="1" showInputMessage="1" showErrorMessage="1" xr:uid="{00000000-0002-0000-1100-000001000000}">
          <x14:formula1>
            <xm:f>Main!$D$2:$D$196</xm:f>
          </x14:formula1>
          <xm:sqref>A2:A77</xm:sqref>
        </x14:dataValidation>
        <x14:dataValidation type="list" allowBlank="1" showInputMessage="1" showErrorMessage="1" xr:uid="{00000000-0002-0000-1100-000002000000}">
          <x14:formula1>
            <xm:f>Main!F$222:F$225</xm:f>
          </x14:formula1>
          <xm:sqref>G2:G77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81"/>
  <sheetViews>
    <sheetView topLeftCell="C67" zoomScale="70" zoomScaleNormal="70" workbookViewId="0">
      <selection activeCell="Q8" sqref="Q8:Q33"/>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7" si="0">J2-E2</f>
        <v>0</v>
      </c>
      <c r="M2" s="31">
        <f t="shared" ref="M2:M23" si="1">L2*F2</f>
        <v>0</v>
      </c>
      <c r="N2" s="15" t="str">
        <f>IF(Table2683252[[#This Row],[Fault Type]]="PM",IF(L2&lt;=(D2-C2),"Yes","No"),"")</f>
        <v/>
      </c>
      <c r="O2" s="16" t="str">
        <f t="shared" ref="O2:O67" si="2">IF(N2="No",(L2-(D2-C2)),"")</f>
        <v/>
      </c>
      <c r="P2" s="30"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 s="17"/>
    </row>
    <row r="3" spans="1:17" ht="15.5" x14ac:dyDescent="0.35">
      <c r="A3" s="4"/>
      <c r="B3" s="12"/>
      <c r="C3" s="13"/>
      <c r="D3" s="13"/>
      <c r="E3" s="13"/>
      <c r="F3" s="12"/>
      <c r="G3" s="159"/>
      <c r="H3" s="27"/>
      <c r="I3" s="27"/>
      <c r="J3" s="13"/>
      <c r="K3" s="32"/>
      <c r="L3" s="14">
        <f t="shared" si="0"/>
        <v>0</v>
      </c>
      <c r="M3" s="31">
        <f t="shared" si="1"/>
        <v>0</v>
      </c>
      <c r="N3" s="15" t="str">
        <f>IF(Table2683252[[#This Row],[Fault Type]]="PM",IF(L3&lt;=(D3-C3),"Yes","No"),"")</f>
        <v/>
      </c>
      <c r="O3" s="16" t="str">
        <f t="shared" si="2"/>
        <v/>
      </c>
      <c r="P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 s="17"/>
    </row>
    <row r="4" spans="1:17" ht="15.5" x14ac:dyDescent="0.35">
      <c r="A4" s="4"/>
      <c r="B4" s="12"/>
      <c r="C4" s="13"/>
      <c r="D4" s="13"/>
      <c r="E4" s="13"/>
      <c r="F4" s="12"/>
      <c r="G4" s="159"/>
      <c r="H4" s="12"/>
      <c r="I4" s="12"/>
      <c r="J4" s="13"/>
      <c r="K4" s="32"/>
      <c r="L4" s="14">
        <f t="shared" si="0"/>
        <v>0</v>
      </c>
      <c r="M4" s="31">
        <f t="shared" si="1"/>
        <v>0</v>
      </c>
      <c r="N4" s="15" t="str">
        <f>IF(Table2683252[[#This Row],[Fault Type]]="PM",IF(L4&lt;=(D4-C4),"Yes","No"),"")</f>
        <v/>
      </c>
      <c r="O4" s="16" t="str">
        <f t="shared" si="2"/>
        <v/>
      </c>
      <c r="P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 s="17"/>
    </row>
    <row r="5" spans="1:17" ht="15.5" x14ac:dyDescent="0.35">
      <c r="A5" s="4"/>
      <c r="B5" s="12"/>
      <c r="C5" s="13"/>
      <c r="D5" s="13"/>
      <c r="E5" s="13"/>
      <c r="F5" s="12"/>
      <c r="G5" s="159"/>
      <c r="H5" s="12"/>
      <c r="I5" s="12"/>
      <c r="J5" s="13"/>
      <c r="K5" s="32"/>
      <c r="L5" s="14">
        <f t="shared" si="0"/>
        <v>0</v>
      </c>
      <c r="M5" s="31">
        <f t="shared" si="1"/>
        <v>0</v>
      </c>
      <c r="N5" s="15" t="str">
        <f>IF(Table2683252[[#This Row],[Fault Type]]="PM",IF(L5&lt;=(D5-C5),"Yes","No"),"")</f>
        <v/>
      </c>
      <c r="O5" s="16" t="str">
        <f t="shared" si="2"/>
        <v/>
      </c>
      <c r="P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 s="17"/>
    </row>
    <row r="6" spans="1:17" ht="15.5" x14ac:dyDescent="0.35">
      <c r="A6" s="4"/>
      <c r="B6" s="12"/>
      <c r="C6" s="13"/>
      <c r="D6" s="13"/>
      <c r="E6" s="13"/>
      <c r="F6" s="12"/>
      <c r="G6" s="159"/>
      <c r="H6" s="12"/>
      <c r="I6" s="12"/>
      <c r="J6" s="13"/>
      <c r="K6" s="32"/>
      <c r="L6" s="14">
        <f t="shared" si="0"/>
        <v>0</v>
      </c>
      <c r="M6" s="31">
        <f t="shared" si="1"/>
        <v>0</v>
      </c>
      <c r="N6" s="15" t="str">
        <f>IF(Table2683252[[#This Row],[Fault Type]]="PM",IF(L6&lt;=(D6-C6),"Yes","No"),"")</f>
        <v/>
      </c>
      <c r="O6" s="16" t="str">
        <f t="shared" si="2"/>
        <v/>
      </c>
      <c r="P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 s="17"/>
    </row>
    <row r="7" spans="1:17" ht="15.5" x14ac:dyDescent="0.35">
      <c r="A7" s="4"/>
      <c r="B7" s="12"/>
      <c r="C7" s="13"/>
      <c r="D7" s="13"/>
      <c r="E7" s="13"/>
      <c r="F7" s="12"/>
      <c r="G7" s="159"/>
      <c r="H7" s="12"/>
      <c r="I7" s="12"/>
      <c r="J7" s="118"/>
      <c r="K7" s="111"/>
      <c r="L7" s="14">
        <f t="shared" si="0"/>
        <v>0</v>
      </c>
      <c r="M7" s="31">
        <f t="shared" si="1"/>
        <v>0</v>
      </c>
      <c r="N7" s="15" t="str">
        <f>IF(Table2683252[[#This Row],[Fault Type]]="PM",IF(L7&lt;=(D7-C7),"Yes","No"),"")</f>
        <v/>
      </c>
      <c r="O7" s="16" t="str">
        <f t="shared" si="2"/>
        <v/>
      </c>
      <c r="P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 s="17"/>
    </row>
    <row r="8" spans="1:17" ht="15.5" x14ac:dyDescent="0.35">
      <c r="A8" s="4"/>
      <c r="B8" s="12"/>
      <c r="C8" s="13"/>
      <c r="D8" s="13"/>
      <c r="E8" s="13"/>
      <c r="F8" s="12"/>
      <c r="G8" s="159"/>
      <c r="H8" s="12"/>
      <c r="I8" s="12"/>
      <c r="J8" s="13"/>
      <c r="K8" s="32"/>
      <c r="L8" s="14">
        <f t="shared" si="0"/>
        <v>0</v>
      </c>
      <c r="M8" s="31">
        <f t="shared" si="1"/>
        <v>0</v>
      </c>
      <c r="N8" s="15" t="str">
        <f>IF(Table2683252[[#This Row],[Fault Type]]="PM",IF(L8&lt;=(D8-C8),"Yes","No"),"")</f>
        <v/>
      </c>
      <c r="O8" s="16" t="str">
        <f t="shared" si="2"/>
        <v/>
      </c>
      <c r="P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8" s="17"/>
    </row>
    <row r="9" spans="1:17" ht="15.5" x14ac:dyDescent="0.35">
      <c r="A9" s="4"/>
      <c r="B9" s="12"/>
      <c r="C9" s="13"/>
      <c r="D9" s="13"/>
      <c r="E9" s="13"/>
      <c r="F9" s="12"/>
      <c r="G9" s="159"/>
      <c r="H9" s="12"/>
      <c r="I9" s="12"/>
      <c r="J9" s="13"/>
      <c r="K9" s="32"/>
      <c r="L9" s="14">
        <f t="shared" si="0"/>
        <v>0</v>
      </c>
      <c r="M9" s="31">
        <f t="shared" si="1"/>
        <v>0</v>
      </c>
      <c r="N9" s="15" t="str">
        <f>IF(Table2683252[[#This Row],[Fault Type]]="PM",IF(L9&lt;=(D9-C9),"Yes","No"),"")</f>
        <v/>
      </c>
      <c r="O9" s="16" t="str">
        <f t="shared" si="2"/>
        <v/>
      </c>
      <c r="P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9" s="17"/>
    </row>
    <row r="10" spans="1:17" ht="15.5" x14ac:dyDescent="0.35">
      <c r="A10" s="4"/>
      <c r="B10" s="12"/>
      <c r="C10" s="13"/>
      <c r="D10" s="13"/>
      <c r="E10" s="13"/>
      <c r="F10" s="12"/>
      <c r="G10" s="159"/>
      <c r="H10" s="12"/>
      <c r="I10" s="12"/>
      <c r="J10" s="13"/>
      <c r="K10" s="32"/>
      <c r="L10" s="14">
        <f t="shared" si="0"/>
        <v>0</v>
      </c>
      <c r="M10" s="31">
        <f t="shared" si="1"/>
        <v>0</v>
      </c>
      <c r="N10" s="15" t="str">
        <f>IF(Table2683252[[#This Row],[Fault Type]]="PM",IF(L10&lt;=(D10-C10),"Yes","No"),"")</f>
        <v/>
      </c>
      <c r="O10" s="16" t="str">
        <f t="shared" si="2"/>
        <v/>
      </c>
      <c r="P1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0" s="17"/>
    </row>
    <row r="11" spans="1:17" ht="15.5" x14ac:dyDescent="0.35">
      <c r="A11" s="4"/>
      <c r="B11" s="12"/>
      <c r="C11" s="13"/>
      <c r="D11" s="13"/>
      <c r="E11" s="13"/>
      <c r="F11" s="12"/>
      <c r="G11" s="159"/>
      <c r="H11" s="12"/>
      <c r="I11" s="12"/>
      <c r="J11" s="13"/>
      <c r="K11" s="32"/>
      <c r="L11" s="14">
        <f t="shared" si="0"/>
        <v>0</v>
      </c>
      <c r="M11" s="31">
        <f t="shared" si="1"/>
        <v>0</v>
      </c>
      <c r="N11" s="15" t="str">
        <f>IF(Table2683252[[#This Row],[Fault Type]]="PM",IF(L11&lt;=(D11-C11),"Yes","No"),"")</f>
        <v/>
      </c>
      <c r="O11" s="16" t="str">
        <f t="shared" si="2"/>
        <v/>
      </c>
      <c r="P1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1" s="144"/>
    </row>
    <row r="12" spans="1:17" ht="15.5" x14ac:dyDescent="0.35">
      <c r="A12" s="4"/>
      <c r="B12" s="12"/>
      <c r="C12" s="13"/>
      <c r="D12" s="13"/>
      <c r="E12" s="13"/>
      <c r="F12" s="12"/>
      <c r="G12" s="159"/>
      <c r="H12" s="12"/>
      <c r="I12" s="12"/>
      <c r="J12" s="118"/>
      <c r="K12" s="32"/>
      <c r="L12" s="14">
        <f t="shared" si="0"/>
        <v>0</v>
      </c>
      <c r="M12" s="31">
        <f t="shared" si="1"/>
        <v>0</v>
      </c>
      <c r="N12" s="15" t="str">
        <f>IF(Table2683252[[#This Row],[Fault Type]]="PM",IF(L12&lt;=(D12-C12),"Yes","No"),"")</f>
        <v/>
      </c>
      <c r="O12" s="16" t="str">
        <f t="shared" si="2"/>
        <v/>
      </c>
      <c r="P1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2" s="17"/>
    </row>
    <row r="13" spans="1:17" ht="15.5" x14ac:dyDescent="0.35">
      <c r="A13" s="4"/>
      <c r="B13" s="12"/>
      <c r="C13" s="13"/>
      <c r="D13" s="13"/>
      <c r="E13" s="13"/>
      <c r="F13" s="12"/>
      <c r="G13" s="159"/>
      <c r="H13" s="12"/>
      <c r="I13" s="12"/>
      <c r="J13" s="13"/>
      <c r="K13" s="32"/>
      <c r="L13" s="14">
        <f t="shared" si="0"/>
        <v>0</v>
      </c>
      <c r="M13" s="31">
        <f t="shared" si="1"/>
        <v>0</v>
      </c>
      <c r="N13" s="15" t="str">
        <f>IF(Table2683252[[#This Row],[Fault Type]]="PM",IF(L13&lt;=(D13-C13),"Yes","No"),"")</f>
        <v/>
      </c>
      <c r="O13" s="16" t="str">
        <f t="shared" si="2"/>
        <v/>
      </c>
      <c r="P1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3" s="17"/>
    </row>
    <row r="14" spans="1:17" ht="15.5" x14ac:dyDescent="0.35">
      <c r="A14" s="4"/>
      <c r="B14" s="12"/>
      <c r="C14" s="13"/>
      <c r="D14" s="13"/>
      <c r="E14" s="13"/>
      <c r="F14" s="12"/>
      <c r="G14" s="159"/>
      <c r="H14" s="12"/>
      <c r="I14" s="12"/>
      <c r="J14" s="13"/>
      <c r="K14" s="32"/>
      <c r="L14" s="14">
        <f t="shared" si="0"/>
        <v>0</v>
      </c>
      <c r="M14" s="31">
        <f t="shared" si="1"/>
        <v>0</v>
      </c>
      <c r="N14" s="15" t="str">
        <f>IF(Table2683252[[#This Row],[Fault Type]]="PM",IF(L14&lt;=(D14-C14),"Yes","No"),"")</f>
        <v/>
      </c>
      <c r="O14" s="16" t="str">
        <f t="shared" si="2"/>
        <v/>
      </c>
      <c r="P1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4" s="17"/>
    </row>
    <row r="15" spans="1:17" ht="15.5" x14ac:dyDescent="0.35">
      <c r="A15" s="4"/>
      <c r="B15" s="12"/>
      <c r="C15" s="13"/>
      <c r="D15" s="13"/>
      <c r="E15" s="13"/>
      <c r="F15" s="12"/>
      <c r="G15" s="159"/>
      <c r="H15" s="12"/>
      <c r="I15" s="12"/>
      <c r="J15" s="13"/>
      <c r="K15" s="32"/>
      <c r="L15" s="14">
        <f t="shared" si="0"/>
        <v>0</v>
      </c>
      <c r="M15" s="31">
        <f t="shared" si="1"/>
        <v>0</v>
      </c>
      <c r="N15" s="15" t="str">
        <f>IF(Table2683252[[#This Row],[Fault Type]]="PM",IF(L15&lt;=(D15-C15),"Yes","No"),"")</f>
        <v/>
      </c>
      <c r="O15" s="16" t="str">
        <f t="shared" si="2"/>
        <v/>
      </c>
      <c r="P1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5" s="17"/>
    </row>
    <row r="16" spans="1:17" ht="15.5" x14ac:dyDescent="0.35">
      <c r="A16" s="4"/>
      <c r="B16" s="12"/>
      <c r="C16" s="13"/>
      <c r="D16" s="13"/>
      <c r="E16" s="13"/>
      <c r="F16" s="18"/>
      <c r="G16" s="159"/>
      <c r="H16" s="18"/>
      <c r="I16" s="18"/>
      <c r="J16" s="13"/>
      <c r="K16" s="32"/>
      <c r="L16" s="14">
        <f t="shared" si="0"/>
        <v>0</v>
      </c>
      <c r="M16" s="31">
        <f t="shared" si="1"/>
        <v>0</v>
      </c>
      <c r="N16" s="15" t="str">
        <f>IF(Table2683252[[#This Row],[Fault Type]]="PM",IF(L16&lt;=(D16-C16),"Yes","No"),"")</f>
        <v/>
      </c>
      <c r="O16" s="16" t="str">
        <f t="shared" si="2"/>
        <v/>
      </c>
      <c r="P1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6" s="17"/>
    </row>
    <row r="17" spans="1:17" ht="15.5" x14ac:dyDescent="0.35">
      <c r="A17" s="4"/>
      <c r="B17" s="12"/>
      <c r="C17" s="13"/>
      <c r="D17" s="13"/>
      <c r="E17" s="13"/>
      <c r="F17" s="12"/>
      <c r="G17" s="159"/>
      <c r="H17" s="12"/>
      <c r="I17" s="12"/>
      <c r="J17" s="13"/>
      <c r="K17" s="32"/>
      <c r="L17" s="14">
        <f t="shared" si="0"/>
        <v>0</v>
      </c>
      <c r="M17" s="31">
        <f t="shared" si="1"/>
        <v>0</v>
      </c>
      <c r="N17" s="15" t="str">
        <f>IF(Table2683252[[#This Row],[Fault Type]]="PM",IF(L17&lt;=(D17-C17),"Yes","No"),"")</f>
        <v/>
      </c>
      <c r="O17" s="16" t="str">
        <f t="shared" si="2"/>
        <v/>
      </c>
      <c r="P1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7" s="17"/>
    </row>
    <row r="18" spans="1:17" ht="15.5" x14ac:dyDescent="0.35">
      <c r="A18" s="4"/>
      <c r="B18" s="12"/>
      <c r="C18" s="13"/>
      <c r="D18" s="13"/>
      <c r="E18" s="13"/>
      <c r="F18" s="18"/>
      <c r="G18" s="159"/>
      <c r="H18" s="18"/>
      <c r="I18" s="18"/>
      <c r="J18" s="118"/>
      <c r="K18" s="32"/>
      <c r="L18" s="14">
        <f t="shared" si="0"/>
        <v>0</v>
      </c>
      <c r="M18" s="31">
        <f t="shared" si="1"/>
        <v>0</v>
      </c>
      <c r="N18" s="15" t="str">
        <f>IF(Table2683252[[#This Row],[Fault Type]]="PM",IF(L18&lt;=(D18-C18),"Yes","No"),"")</f>
        <v/>
      </c>
      <c r="O18" s="16" t="str">
        <f t="shared" si="2"/>
        <v/>
      </c>
      <c r="P1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8" s="17"/>
    </row>
    <row r="19" spans="1:17" ht="15.5" x14ac:dyDescent="0.35">
      <c r="A19" s="4"/>
      <c r="B19" s="12"/>
      <c r="C19" s="13"/>
      <c r="D19" s="13"/>
      <c r="E19" s="13"/>
      <c r="F19" s="18"/>
      <c r="G19" s="159"/>
      <c r="H19" s="18"/>
      <c r="I19" s="18"/>
      <c r="J19" s="13"/>
      <c r="K19" s="32"/>
      <c r="L19" s="14">
        <f t="shared" si="0"/>
        <v>0</v>
      </c>
      <c r="M19" s="31">
        <f t="shared" si="1"/>
        <v>0</v>
      </c>
      <c r="N19" s="15" t="str">
        <f>IF(Table2683252[[#This Row],[Fault Type]]="PM",IF(L19&lt;=(D19-C19),"Yes","No"),"")</f>
        <v/>
      </c>
      <c r="O19" s="16" t="str">
        <f t="shared" si="2"/>
        <v/>
      </c>
      <c r="P1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19" s="17"/>
    </row>
    <row r="20" spans="1:17" s="116" customFormat="1" ht="15.5" x14ac:dyDescent="0.35">
      <c r="A20" s="106"/>
      <c r="B20" s="107"/>
      <c r="C20" s="118"/>
      <c r="D20" s="118"/>
      <c r="E20" s="118"/>
      <c r="F20" s="109"/>
      <c r="G20" s="159"/>
      <c r="H20" s="109"/>
      <c r="I20" s="109"/>
      <c r="J20" s="118"/>
      <c r="K20" s="111"/>
      <c r="L20" s="14">
        <f>J20-E20</f>
        <v>0</v>
      </c>
      <c r="M20" s="31">
        <f>L20*F20</f>
        <v>0</v>
      </c>
      <c r="N20" s="15" t="str">
        <f>IF(Table2683252[[#This Row],[Fault Type]]="PM",IF(L20&lt;=(D20-C20),"Yes","No"),"")</f>
        <v/>
      </c>
      <c r="O20" s="16" t="str">
        <f>IF(N20="No",(L20-(D20-C20)),"")</f>
        <v/>
      </c>
      <c r="P2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0" s="119"/>
    </row>
    <row r="21" spans="1:17" ht="15.5" x14ac:dyDescent="0.35">
      <c r="A21" s="4"/>
      <c r="B21" s="12"/>
      <c r="C21" s="13"/>
      <c r="D21" s="13"/>
      <c r="E21" s="13"/>
      <c r="G21" s="159"/>
      <c r="H21" s="54"/>
      <c r="I21" s="54"/>
      <c r="J21" s="13"/>
      <c r="K21" s="32"/>
      <c r="L21" s="14">
        <f t="shared" si="0"/>
        <v>0</v>
      </c>
      <c r="M21" s="31">
        <f t="shared" si="1"/>
        <v>0</v>
      </c>
      <c r="N21" s="15" t="str">
        <f>IF(Table2683252[[#This Row],[Fault Type]]="PM",IF(L21&lt;=(D21-C21),"Yes","No"),"")</f>
        <v/>
      </c>
      <c r="O21" s="16" t="str">
        <f t="shared" si="2"/>
        <v/>
      </c>
      <c r="P2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1" s="17"/>
    </row>
    <row r="22" spans="1:17" ht="15.5" x14ac:dyDescent="0.35">
      <c r="A22" s="4"/>
      <c r="B22" s="12"/>
      <c r="C22" s="13"/>
      <c r="D22" s="13"/>
      <c r="E22" s="13"/>
      <c r="F22" s="18"/>
      <c r="G22" s="159"/>
      <c r="H22" s="18"/>
      <c r="I22" s="18"/>
      <c r="J22" s="13"/>
      <c r="K22" s="32"/>
      <c r="L22" s="14">
        <f t="shared" si="0"/>
        <v>0</v>
      </c>
      <c r="M22" s="31">
        <f t="shared" si="1"/>
        <v>0</v>
      </c>
      <c r="N22" s="15" t="str">
        <f>IF(Table2683252[[#This Row],[Fault Type]]="PM",IF(L22&lt;=(D22-C22),"Yes","No"),"")</f>
        <v/>
      </c>
      <c r="O22" s="16" t="str">
        <f t="shared" si="2"/>
        <v/>
      </c>
      <c r="P2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2" s="17"/>
    </row>
    <row r="23" spans="1:17" ht="15.5" x14ac:dyDescent="0.35">
      <c r="A23" s="4"/>
      <c r="B23" s="12"/>
      <c r="C23" s="13"/>
      <c r="D23" s="13"/>
      <c r="E23" s="13"/>
      <c r="F23" s="18"/>
      <c r="G23" s="159"/>
      <c r="H23" s="18"/>
      <c r="I23" s="18"/>
      <c r="J23" s="13"/>
      <c r="K23" s="32"/>
      <c r="L23" s="14">
        <f t="shared" si="0"/>
        <v>0</v>
      </c>
      <c r="M23" s="31">
        <f t="shared" si="1"/>
        <v>0</v>
      </c>
      <c r="N23" s="15" t="str">
        <f>IF(Table2683252[[#This Row],[Fault Type]]="PM",IF(L23&lt;=(D23-C23),"Yes","No"),"")</f>
        <v/>
      </c>
      <c r="O23" s="16" t="str">
        <f t="shared" si="2"/>
        <v/>
      </c>
      <c r="P2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3" s="17"/>
    </row>
    <row r="24" spans="1:17" ht="15.5" x14ac:dyDescent="0.35">
      <c r="A24" s="4"/>
      <c r="B24" s="12"/>
      <c r="C24" s="13"/>
      <c r="D24" s="13"/>
      <c r="E24" s="13"/>
      <c r="F24" s="18"/>
      <c r="G24" s="159"/>
      <c r="H24" s="18"/>
      <c r="I24" s="18"/>
      <c r="J24" s="13"/>
      <c r="K24" s="32"/>
      <c r="L24" s="14">
        <f t="shared" si="0"/>
        <v>0</v>
      </c>
      <c r="M24" s="31">
        <f t="shared" ref="M24:M81" si="3">L24*F24</f>
        <v>0</v>
      </c>
      <c r="N24" s="15" t="str">
        <f>IF(Table2683252[[#This Row],[Fault Type]]="PM",IF(L24&lt;=(D24-C24),"Yes","No"),"")</f>
        <v/>
      </c>
      <c r="O24" s="16" t="str">
        <f t="shared" si="2"/>
        <v/>
      </c>
      <c r="P2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4" s="17"/>
    </row>
    <row r="25" spans="1:17" ht="15.5" x14ac:dyDescent="0.35">
      <c r="A25" s="4"/>
      <c r="B25" s="12"/>
      <c r="C25" s="13"/>
      <c r="D25" s="13"/>
      <c r="E25" s="13"/>
      <c r="F25" s="18"/>
      <c r="G25" s="159"/>
      <c r="H25" s="18"/>
      <c r="I25" s="18"/>
      <c r="J25" s="13"/>
      <c r="K25" s="32"/>
      <c r="L25" s="14">
        <f t="shared" si="0"/>
        <v>0</v>
      </c>
      <c r="M25" s="31">
        <f t="shared" si="3"/>
        <v>0</v>
      </c>
      <c r="N25" s="15" t="str">
        <f>IF(Table2683252[[#This Row],[Fault Type]]="PM",IF(L25&lt;=(D25-C25),"Yes","No"),"")</f>
        <v/>
      </c>
      <c r="O25" s="16" t="str">
        <f t="shared" si="2"/>
        <v/>
      </c>
      <c r="P2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5" s="17"/>
    </row>
    <row r="26" spans="1:17" ht="15.5" x14ac:dyDescent="0.35">
      <c r="A26" s="4"/>
      <c r="B26" s="12"/>
      <c r="C26" s="13"/>
      <c r="D26" s="13"/>
      <c r="E26" s="13"/>
      <c r="F26" s="18"/>
      <c r="G26" s="159"/>
      <c r="H26" s="18"/>
      <c r="I26" s="18"/>
      <c r="J26" s="13"/>
      <c r="K26" s="32"/>
      <c r="L26" s="14">
        <f t="shared" si="0"/>
        <v>0</v>
      </c>
      <c r="M26" s="31">
        <f t="shared" si="3"/>
        <v>0</v>
      </c>
      <c r="N26" s="15" t="str">
        <f>IF(Table2683252[[#This Row],[Fault Type]]="PM",IF(L26&lt;=(D26-C26),"Yes","No"),"")</f>
        <v/>
      </c>
      <c r="O26" s="16" t="str">
        <f t="shared" si="2"/>
        <v/>
      </c>
      <c r="P2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6" s="17"/>
    </row>
    <row r="27" spans="1:17" ht="15.5" x14ac:dyDescent="0.35">
      <c r="A27" s="4"/>
      <c r="B27" s="12"/>
      <c r="C27" s="13"/>
      <c r="D27" s="13"/>
      <c r="E27" s="13"/>
      <c r="F27" s="12"/>
      <c r="G27" s="159"/>
      <c r="H27" s="12"/>
      <c r="I27" s="12"/>
      <c r="J27" s="13"/>
      <c r="K27" s="32"/>
      <c r="L27" s="14">
        <f t="shared" si="0"/>
        <v>0</v>
      </c>
      <c r="M27" s="31">
        <f t="shared" si="3"/>
        <v>0</v>
      </c>
      <c r="N27" s="15" t="str">
        <f>IF(Table2683252[[#This Row],[Fault Type]]="PM",IF(L27&lt;=(D27-C27),"Yes","No"),"")</f>
        <v/>
      </c>
      <c r="O27" s="16" t="str">
        <f t="shared" si="2"/>
        <v/>
      </c>
      <c r="P2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7" s="17"/>
    </row>
    <row r="28" spans="1:17" s="116" customFormat="1" ht="15.5" x14ac:dyDescent="0.35">
      <c r="A28" s="106"/>
      <c r="B28" s="107"/>
      <c r="C28" s="118"/>
      <c r="D28" s="118"/>
      <c r="E28" s="118"/>
      <c r="F28" s="107"/>
      <c r="G28" s="159"/>
      <c r="H28" s="107"/>
      <c r="I28" s="107"/>
      <c r="J28" s="118"/>
      <c r="K28" s="111"/>
      <c r="L28" s="14">
        <f>J28-E28</f>
        <v>0</v>
      </c>
      <c r="M28" s="31">
        <f>L28*F28</f>
        <v>0</v>
      </c>
      <c r="N28" s="15" t="str">
        <f>IF(Table2683252[[#This Row],[Fault Type]]="PM",IF(L28&lt;=(D28-C28),"Yes","No"),"")</f>
        <v/>
      </c>
      <c r="O28" s="16" t="str">
        <f>IF(N28="No",(L28-(D28-C28)),"")</f>
        <v/>
      </c>
      <c r="P2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8" s="119"/>
    </row>
    <row r="29" spans="1:17" ht="15.5" x14ac:dyDescent="0.35">
      <c r="A29" s="4"/>
      <c r="B29" s="12"/>
      <c r="C29" s="13"/>
      <c r="D29" s="13"/>
      <c r="E29" s="13"/>
      <c r="F29" s="18"/>
      <c r="G29" s="159"/>
      <c r="H29" s="18"/>
      <c r="I29" s="18"/>
      <c r="J29" s="13"/>
      <c r="K29" s="32"/>
      <c r="L29" s="14">
        <f t="shared" si="0"/>
        <v>0</v>
      </c>
      <c r="M29" s="31">
        <f t="shared" si="3"/>
        <v>0</v>
      </c>
      <c r="N29" s="15" t="str">
        <f>IF(Table2683252[[#This Row],[Fault Type]]="PM",IF(L29&lt;=(D29-C29),"Yes","No"),"")</f>
        <v/>
      </c>
      <c r="O29" s="16" t="str">
        <f t="shared" si="2"/>
        <v/>
      </c>
      <c r="P2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29" s="17"/>
    </row>
    <row r="30" spans="1:17" ht="15.5" x14ac:dyDescent="0.35">
      <c r="A30" s="4"/>
      <c r="B30" s="12"/>
      <c r="C30" s="13"/>
      <c r="D30" s="13"/>
      <c r="E30" s="13"/>
      <c r="F30" s="18"/>
      <c r="G30" s="159"/>
      <c r="H30" s="18"/>
      <c r="I30" s="18"/>
      <c r="J30" s="13"/>
      <c r="K30" s="32"/>
      <c r="L30" s="14">
        <f t="shared" si="0"/>
        <v>0</v>
      </c>
      <c r="M30" s="31">
        <f t="shared" si="3"/>
        <v>0</v>
      </c>
      <c r="N30" s="15" t="str">
        <f>IF(Table2683252[[#This Row],[Fault Type]]="PM",IF(L30&lt;=(D30-C30),"Yes","No"),"")</f>
        <v/>
      </c>
      <c r="O30" s="16" t="str">
        <f t="shared" si="2"/>
        <v/>
      </c>
      <c r="P3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0" s="17"/>
    </row>
    <row r="31" spans="1:17" ht="15.5" x14ac:dyDescent="0.35">
      <c r="A31" s="4"/>
      <c r="B31" s="12"/>
      <c r="C31" s="13"/>
      <c r="D31" s="13"/>
      <c r="E31" s="13"/>
      <c r="F31" s="12"/>
      <c r="G31" s="159"/>
      <c r="H31" s="12"/>
      <c r="I31" s="12"/>
      <c r="J31" s="13"/>
      <c r="K31" s="32"/>
      <c r="L31" s="14">
        <f t="shared" si="0"/>
        <v>0</v>
      </c>
      <c r="M31" s="31">
        <f t="shared" si="3"/>
        <v>0</v>
      </c>
      <c r="N31" s="15" t="str">
        <f>IF(Table2683252[[#This Row],[Fault Type]]="PM",IF(L31&lt;=(D31-C31),"Yes","No"),"")</f>
        <v/>
      </c>
      <c r="O31" s="16" t="str">
        <f t="shared" si="2"/>
        <v/>
      </c>
      <c r="P3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1" s="17"/>
    </row>
    <row r="32" spans="1:17" ht="15.5" x14ac:dyDescent="0.35">
      <c r="A32" s="4"/>
      <c r="B32" s="12"/>
      <c r="C32" s="13"/>
      <c r="D32" s="13"/>
      <c r="E32" s="13"/>
      <c r="F32" s="18"/>
      <c r="G32" s="159"/>
      <c r="H32" s="18"/>
      <c r="I32" s="18"/>
      <c r="J32" s="13"/>
      <c r="K32" s="32"/>
      <c r="L32" s="14">
        <f t="shared" si="0"/>
        <v>0</v>
      </c>
      <c r="M32" s="31">
        <f t="shared" si="3"/>
        <v>0</v>
      </c>
      <c r="N32" s="15" t="str">
        <f>IF(Table2683252[[#This Row],[Fault Type]]="PM",IF(L32&lt;=(D32-C32),"Yes","No"),"")</f>
        <v/>
      </c>
      <c r="O32" s="16" t="str">
        <f t="shared" si="2"/>
        <v/>
      </c>
      <c r="P3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2" s="17"/>
    </row>
    <row r="33" spans="1:17" ht="15.5" x14ac:dyDescent="0.35">
      <c r="A33" s="4"/>
      <c r="B33" s="12"/>
      <c r="C33" s="13"/>
      <c r="D33" s="13"/>
      <c r="E33" s="13"/>
      <c r="F33" s="18"/>
      <c r="G33" s="159"/>
      <c r="H33" s="18"/>
      <c r="I33" s="18"/>
      <c r="J33" s="13"/>
      <c r="K33" s="32"/>
      <c r="L33" s="14">
        <f t="shared" si="0"/>
        <v>0</v>
      </c>
      <c r="M33" s="31">
        <f t="shared" si="3"/>
        <v>0</v>
      </c>
      <c r="N33" s="15" t="str">
        <f>IF(Table2683252[[#This Row],[Fault Type]]="PM",IF(L33&lt;=(D33-C33),"Yes","No"),"")</f>
        <v/>
      </c>
      <c r="O33" s="16" t="str">
        <f t="shared" si="2"/>
        <v/>
      </c>
      <c r="P3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3" s="17"/>
    </row>
    <row r="34" spans="1:17" ht="15.5" x14ac:dyDescent="0.35">
      <c r="A34" s="4"/>
      <c r="B34" s="12"/>
      <c r="C34" s="13"/>
      <c r="D34" s="13"/>
      <c r="E34" s="13"/>
      <c r="F34" s="18"/>
      <c r="G34" s="159"/>
      <c r="H34" s="18"/>
      <c r="I34" s="18"/>
      <c r="J34" s="13"/>
      <c r="K34" s="32"/>
      <c r="L34" s="14">
        <f t="shared" si="0"/>
        <v>0</v>
      </c>
      <c r="M34" s="31">
        <f t="shared" si="3"/>
        <v>0</v>
      </c>
      <c r="N34" s="15" t="str">
        <f>IF(Table2683252[[#This Row],[Fault Type]]="PM",IF(L34&lt;=(D34-C34),"Yes","No"),"")</f>
        <v/>
      </c>
      <c r="O34" s="16" t="str">
        <f t="shared" si="2"/>
        <v/>
      </c>
      <c r="P3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4" s="17"/>
    </row>
    <row r="35" spans="1:17" ht="15.5" x14ac:dyDescent="0.35">
      <c r="A35" s="4"/>
      <c r="B35" s="12"/>
      <c r="C35" s="13"/>
      <c r="D35" s="13"/>
      <c r="E35" s="13"/>
      <c r="F35" s="18"/>
      <c r="G35" s="159"/>
      <c r="H35" s="18"/>
      <c r="I35" s="18"/>
      <c r="J35" s="13"/>
      <c r="K35" s="32"/>
      <c r="L35" s="14">
        <f t="shared" si="0"/>
        <v>0</v>
      </c>
      <c r="M35" s="31">
        <f t="shared" si="3"/>
        <v>0</v>
      </c>
      <c r="N35" s="15" t="str">
        <f>IF(Table2683252[[#This Row],[Fault Type]]="PM",IF(L35&lt;=(D35-C35),"Yes","No"),"")</f>
        <v/>
      </c>
      <c r="O35" s="16" t="str">
        <f t="shared" si="2"/>
        <v/>
      </c>
      <c r="P3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5" s="17"/>
    </row>
    <row r="36" spans="1:17" ht="15.5" x14ac:dyDescent="0.35">
      <c r="A36" s="4"/>
      <c r="B36" s="12"/>
      <c r="C36" s="13"/>
      <c r="D36" s="13"/>
      <c r="E36" s="13"/>
      <c r="F36" s="18"/>
      <c r="G36" s="159"/>
      <c r="H36" s="18"/>
      <c r="I36" s="18"/>
      <c r="J36" s="13"/>
      <c r="K36" s="32"/>
      <c r="L36" s="14">
        <f t="shared" si="0"/>
        <v>0</v>
      </c>
      <c r="M36" s="31">
        <f t="shared" si="3"/>
        <v>0</v>
      </c>
      <c r="N36" s="15" t="str">
        <f>IF(Table2683252[[#This Row],[Fault Type]]="PM",IF(L36&lt;=(D36-C36),"Yes","No"),"")</f>
        <v/>
      </c>
      <c r="O36" s="16" t="str">
        <f t="shared" si="2"/>
        <v/>
      </c>
      <c r="P3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6" s="17"/>
    </row>
    <row r="37" spans="1:17" ht="15.5" x14ac:dyDescent="0.35">
      <c r="A37" s="4"/>
      <c r="B37" s="12"/>
      <c r="C37" s="13"/>
      <c r="D37" s="13"/>
      <c r="E37" s="13"/>
      <c r="F37" s="18"/>
      <c r="G37" s="159"/>
      <c r="H37" s="18"/>
      <c r="I37" s="18"/>
      <c r="J37" s="13"/>
      <c r="K37" s="32"/>
      <c r="L37" s="14">
        <f t="shared" si="0"/>
        <v>0</v>
      </c>
      <c r="M37" s="31">
        <f t="shared" si="3"/>
        <v>0</v>
      </c>
      <c r="N37" s="15" t="str">
        <f>IF(Table2683252[[#This Row],[Fault Type]]="PM",IF(L37&lt;=(D37-C37),"Yes","No"),"")</f>
        <v/>
      </c>
      <c r="O37" s="16" t="str">
        <f t="shared" si="2"/>
        <v/>
      </c>
      <c r="P3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7" s="17"/>
    </row>
    <row r="38" spans="1:17" ht="15.5" x14ac:dyDescent="0.35">
      <c r="A38" s="4"/>
      <c r="B38" s="12"/>
      <c r="C38" s="13"/>
      <c r="D38" s="13"/>
      <c r="E38" s="13"/>
      <c r="F38" s="18"/>
      <c r="G38" s="159"/>
      <c r="H38" s="18"/>
      <c r="I38" s="18"/>
      <c r="J38" s="13"/>
      <c r="K38" s="32"/>
      <c r="L38" s="14">
        <f t="shared" si="0"/>
        <v>0</v>
      </c>
      <c r="M38" s="31">
        <f t="shared" si="3"/>
        <v>0</v>
      </c>
      <c r="N38" s="15" t="str">
        <f>IF(Table2683252[[#This Row],[Fault Type]]="PM",IF(L38&lt;=(D38-C38),"Yes","No"),"")</f>
        <v/>
      </c>
      <c r="O38" s="16" t="str">
        <f t="shared" si="2"/>
        <v/>
      </c>
      <c r="P3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8" s="17"/>
    </row>
    <row r="39" spans="1:17" ht="15.5" x14ac:dyDescent="0.35">
      <c r="A39" s="158"/>
      <c r="B39" s="12"/>
      <c r="C39" s="13"/>
      <c r="D39" s="13"/>
      <c r="E39" s="13"/>
      <c r="F39" s="18"/>
      <c r="G39" s="159"/>
      <c r="H39" s="18"/>
      <c r="I39" s="18"/>
      <c r="J39" s="13"/>
      <c r="K39" s="32"/>
      <c r="L39" s="14">
        <f t="shared" si="0"/>
        <v>0</v>
      </c>
      <c r="M39" s="31">
        <f t="shared" si="3"/>
        <v>0</v>
      </c>
      <c r="N39" s="15" t="str">
        <f>IF(Table2683252[[#This Row],[Fault Type]]="PM",IF(L39&lt;=(D39-C39),"Yes","No"),"")</f>
        <v/>
      </c>
      <c r="O39" s="16" t="str">
        <f t="shared" si="2"/>
        <v/>
      </c>
      <c r="P3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IF(Table2683252[[#This Row],[Fault Type]]="PM",IF(L40&lt;=(D40-C40),"Yes","No"),"")</f>
        <v/>
      </c>
      <c r="O40" s="16" t="str">
        <f t="shared" si="2"/>
        <v/>
      </c>
      <c r="P4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IF(Table2683252[[#This Row],[Fault Type]]="PM",IF(L41&lt;=(D41-C41),"Yes","No"),"")</f>
        <v/>
      </c>
      <c r="O41" s="16" t="str">
        <f t="shared" si="2"/>
        <v/>
      </c>
      <c r="P4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1" s="17"/>
    </row>
    <row r="42" spans="1:17" ht="15.5" x14ac:dyDescent="0.35">
      <c r="A42" s="4"/>
      <c r="B42" s="12"/>
      <c r="C42" s="13"/>
      <c r="D42" s="13"/>
      <c r="E42" s="13"/>
      <c r="F42" s="18"/>
      <c r="G42" s="159"/>
      <c r="H42" s="18"/>
      <c r="I42" s="18"/>
      <c r="J42" s="13"/>
      <c r="K42" s="32"/>
      <c r="L42" s="14">
        <f t="shared" si="0"/>
        <v>0</v>
      </c>
      <c r="M42" s="31">
        <f t="shared" si="3"/>
        <v>0</v>
      </c>
      <c r="N42" s="15" t="str">
        <f>IF(Table2683252[[#This Row],[Fault Type]]="PM",IF(L42&lt;=(D42-C42),"Yes","No"),"")</f>
        <v/>
      </c>
      <c r="O42" s="16" t="str">
        <f t="shared" si="2"/>
        <v/>
      </c>
      <c r="P4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2" s="17"/>
    </row>
    <row r="43" spans="1:17" ht="15.5" x14ac:dyDescent="0.35">
      <c r="A43" s="4"/>
      <c r="B43" s="12"/>
      <c r="C43" s="13"/>
      <c r="D43" s="13"/>
      <c r="E43" s="13"/>
      <c r="F43" s="18"/>
      <c r="G43" s="159"/>
      <c r="H43" s="18"/>
      <c r="I43" s="18"/>
      <c r="J43" s="13"/>
      <c r="K43" s="32"/>
      <c r="L43" s="14">
        <f t="shared" si="0"/>
        <v>0</v>
      </c>
      <c r="M43" s="31">
        <f t="shared" si="3"/>
        <v>0</v>
      </c>
      <c r="N43" s="15" t="str">
        <f>IF(Table2683252[[#This Row],[Fault Type]]="PM",IF(L43&lt;=(D43-C43),"Yes","No"),"")</f>
        <v/>
      </c>
      <c r="O43" s="16" t="str">
        <f t="shared" si="2"/>
        <v/>
      </c>
      <c r="P4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3" s="17"/>
    </row>
    <row r="44" spans="1:17" ht="15.5" x14ac:dyDescent="0.35">
      <c r="A44" s="4"/>
      <c r="B44" s="12"/>
      <c r="C44" s="13"/>
      <c r="D44" s="13"/>
      <c r="E44" s="13"/>
      <c r="F44" s="18"/>
      <c r="G44" s="159"/>
      <c r="H44" s="18"/>
      <c r="I44" s="18"/>
      <c r="J44" s="13"/>
      <c r="K44" s="32"/>
      <c r="L44" s="14">
        <f t="shared" si="0"/>
        <v>0</v>
      </c>
      <c r="M44" s="31">
        <f t="shared" si="3"/>
        <v>0</v>
      </c>
      <c r="N44" s="15" t="str">
        <f>IF(Table2683252[[#This Row],[Fault Type]]="PM",IF(L44&lt;=(D44-C44),"Yes","No"),"")</f>
        <v/>
      </c>
      <c r="O44" s="16" t="str">
        <f t="shared" si="2"/>
        <v/>
      </c>
      <c r="P4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4" s="17"/>
    </row>
    <row r="45" spans="1:17" ht="15.5" x14ac:dyDescent="0.35">
      <c r="A45" s="4"/>
      <c r="B45" s="12"/>
      <c r="C45" s="13"/>
      <c r="D45" s="13"/>
      <c r="E45" s="13"/>
      <c r="F45" s="18"/>
      <c r="G45" s="159"/>
      <c r="H45" s="18"/>
      <c r="I45" s="18"/>
      <c r="J45" s="13"/>
      <c r="K45" s="32"/>
      <c r="L45" s="14">
        <f t="shared" si="0"/>
        <v>0</v>
      </c>
      <c r="M45" s="31">
        <f t="shared" si="3"/>
        <v>0</v>
      </c>
      <c r="N45" s="15" t="str">
        <f>IF(Table2683252[[#This Row],[Fault Type]]="PM",IF(L45&lt;=(D45-C45),"Yes","No"),"")</f>
        <v/>
      </c>
      <c r="O45" s="16" t="str">
        <f t="shared" si="2"/>
        <v/>
      </c>
      <c r="P4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5" s="17"/>
    </row>
    <row r="46" spans="1:17" ht="15.5" x14ac:dyDescent="0.35">
      <c r="A46" s="4"/>
      <c r="B46" s="12"/>
      <c r="C46" s="13"/>
      <c r="D46" s="13"/>
      <c r="E46" s="13"/>
      <c r="F46" s="18"/>
      <c r="G46" s="159"/>
      <c r="H46" s="18"/>
      <c r="I46" s="18"/>
      <c r="J46" s="13"/>
      <c r="K46" s="32"/>
      <c r="L46" s="14">
        <f t="shared" si="0"/>
        <v>0</v>
      </c>
      <c r="M46" s="31">
        <f t="shared" si="3"/>
        <v>0</v>
      </c>
      <c r="N46" s="15" t="str">
        <f>IF(Table2683252[[#This Row],[Fault Type]]="PM",IF(L46&lt;=(D46-C46),"Yes","No"),"")</f>
        <v/>
      </c>
      <c r="O46" s="16" t="str">
        <f t="shared" si="2"/>
        <v/>
      </c>
      <c r="P4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6" s="17"/>
    </row>
    <row r="47" spans="1:17" ht="15.75" customHeight="1" x14ac:dyDescent="0.35">
      <c r="A47" s="4"/>
      <c r="B47" s="12"/>
      <c r="C47" s="13"/>
      <c r="D47" s="13"/>
      <c r="E47" s="13"/>
      <c r="F47" s="12"/>
      <c r="G47" s="159"/>
      <c r="H47" s="12"/>
      <c r="I47" s="12"/>
      <c r="J47" s="13"/>
      <c r="K47" s="32"/>
      <c r="L47" s="14">
        <f t="shared" si="0"/>
        <v>0</v>
      </c>
      <c r="M47" s="31">
        <f t="shared" si="3"/>
        <v>0</v>
      </c>
      <c r="N47" s="15" t="str">
        <f>IF(Table2683252[[#This Row],[Fault Type]]="PM",IF(L47&lt;=(D47-C47),"Yes","No"),"")</f>
        <v/>
      </c>
      <c r="O47" s="16" t="str">
        <f t="shared" si="2"/>
        <v/>
      </c>
      <c r="P4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7" s="17"/>
    </row>
    <row r="48" spans="1:17" ht="15.5" x14ac:dyDescent="0.35">
      <c r="A48" s="4"/>
      <c r="B48" s="12"/>
      <c r="C48" s="13"/>
      <c r="D48" s="13"/>
      <c r="E48" s="13"/>
      <c r="F48" s="18"/>
      <c r="G48" s="159"/>
      <c r="H48" s="18"/>
      <c r="I48" s="18"/>
      <c r="J48" s="13"/>
      <c r="K48" s="32"/>
      <c r="L48" s="14">
        <f t="shared" si="0"/>
        <v>0</v>
      </c>
      <c r="M48" s="31">
        <f t="shared" si="3"/>
        <v>0</v>
      </c>
      <c r="N48" s="15" t="str">
        <f>IF(Table2683252[[#This Row],[Fault Type]]="PM",IF(L48&lt;=(D48-C48),"Yes","No"),"")</f>
        <v/>
      </c>
      <c r="O48" s="16" t="str">
        <f t="shared" si="2"/>
        <v/>
      </c>
      <c r="P4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8" s="17"/>
    </row>
    <row r="49" spans="1:17" ht="15.5" x14ac:dyDescent="0.35">
      <c r="A49" s="4"/>
      <c r="B49" s="49"/>
      <c r="C49" s="49"/>
      <c r="D49" s="49"/>
      <c r="E49" s="13"/>
      <c r="F49" s="64"/>
      <c r="G49" s="159"/>
      <c r="H49" s="54"/>
      <c r="I49" s="54"/>
      <c r="J49" s="13"/>
      <c r="K49" s="32"/>
      <c r="L49" s="14">
        <f t="shared" si="0"/>
        <v>0</v>
      </c>
      <c r="M49" s="53">
        <f t="shared" si="3"/>
        <v>0</v>
      </c>
      <c r="N49" s="50" t="str">
        <f>IF(Table2683252[[#This Row],[Fault Type]]="PM",IF(L49&lt;=(D49-C49),"Yes","No"),"")</f>
        <v/>
      </c>
      <c r="O49" s="51" t="str">
        <f t="shared" si="2"/>
        <v/>
      </c>
      <c r="P4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49" s="17"/>
    </row>
    <row r="50" spans="1:17" ht="15.5" x14ac:dyDescent="0.35">
      <c r="A50" s="58"/>
      <c r="B50" s="55"/>
      <c r="C50" s="56"/>
      <c r="D50" s="56"/>
      <c r="E50" s="13"/>
      <c r="F50" s="55"/>
      <c r="G50" s="159"/>
      <c r="H50" s="57"/>
      <c r="I50" s="18"/>
      <c r="J50" s="13"/>
      <c r="K50" s="32"/>
      <c r="L50" s="14">
        <f t="shared" si="0"/>
        <v>0</v>
      </c>
      <c r="M50" s="59">
        <f t="shared" si="3"/>
        <v>0</v>
      </c>
      <c r="N50" s="61" t="str">
        <f>IF(Table2683252[[#This Row],[Fault Type]]="PM",IF(L50&lt;=(D50-C50),"Yes","No"),"")</f>
        <v/>
      </c>
      <c r="O50" s="62" t="str">
        <f t="shared" si="2"/>
        <v/>
      </c>
      <c r="P5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0" s="17"/>
    </row>
    <row r="51" spans="1:17" ht="15.5" x14ac:dyDescent="0.35">
      <c r="A51" s="58"/>
      <c r="B51" s="55"/>
      <c r="C51" s="56"/>
      <c r="D51" s="56"/>
      <c r="E51" s="13"/>
      <c r="F51" s="55"/>
      <c r="G51" s="159"/>
      <c r="H51" s="57"/>
      <c r="I51" s="18"/>
      <c r="J51" s="13"/>
      <c r="K51" s="32"/>
      <c r="L51" s="14">
        <f t="shared" si="0"/>
        <v>0</v>
      </c>
      <c r="M51" s="59">
        <f t="shared" si="3"/>
        <v>0</v>
      </c>
      <c r="N51" s="61" t="str">
        <f>IF(Table2683252[[#This Row],[Fault Type]]="PM",IF(L51&lt;=(D51-C51),"Yes","No"),"")</f>
        <v/>
      </c>
      <c r="O51" s="62" t="str">
        <f t="shared" si="2"/>
        <v/>
      </c>
      <c r="P5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1" s="17"/>
    </row>
    <row r="52" spans="1:17" ht="15.5" x14ac:dyDescent="0.35">
      <c r="A52" s="58"/>
      <c r="B52" s="55"/>
      <c r="C52" s="56"/>
      <c r="D52" s="56"/>
      <c r="E52" s="13"/>
      <c r="F52" s="55"/>
      <c r="G52" s="159"/>
      <c r="H52" s="57"/>
      <c r="I52" s="18"/>
      <c r="J52" s="13"/>
      <c r="K52" s="32"/>
      <c r="L52" s="14">
        <f t="shared" si="0"/>
        <v>0</v>
      </c>
      <c r="M52" s="59">
        <f t="shared" si="3"/>
        <v>0</v>
      </c>
      <c r="N52" s="61" t="str">
        <f>IF(Table2683252[[#This Row],[Fault Type]]="PM",IF(L52&lt;=(D52-C52),"Yes","No"),"")</f>
        <v/>
      </c>
      <c r="O52" s="62" t="str">
        <f t="shared" si="2"/>
        <v/>
      </c>
      <c r="P5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2" s="17"/>
    </row>
    <row r="53" spans="1:17" ht="15.5" x14ac:dyDescent="0.35">
      <c r="A53" s="58"/>
      <c r="B53" s="55"/>
      <c r="C53" s="56"/>
      <c r="D53" s="56"/>
      <c r="E53" s="13"/>
      <c r="F53" s="55"/>
      <c r="G53" s="159"/>
      <c r="H53" s="57"/>
      <c r="I53" s="18"/>
      <c r="J53" s="13"/>
      <c r="K53" s="83"/>
      <c r="L53" s="14">
        <f t="shared" si="0"/>
        <v>0</v>
      </c>
      <c r="M53" s="59">
        <f t="shared" si="3"/>
        <v>0</v>
      </c>
      <c r="N53" s="61" t="str">
        <f>IF(Table2683252[[#This Row],[Fault Type]]="PM",IF(L53&lt;=(D53-C53),"Yes","No"),"")</f>
        <v/>
      </c>
      <c r="O53" s="62" t="str">
        <f t="shared" si="2"/>
        <v/>
      </c>
      <c r="P5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3" s="17"/>
    </row>
    <row r="54" spans="1:17" ht="15.5" x14ac:dyDescent="0.35">
      <c r="A54" s="58"/>
      <c r="B54" s="55"/>
      <c r="C54" s="56"/>
      <c r="D54" s="56"/>
      <c r="E54" s="13"/>
      <c r="F54" s="55"/>
      <c r="G54" s="159"/>
      <c r="H54" s="57"/>
      <c r="I54" s="18"/>
      <c r="J54" s="13"/>
      <c r="K54" s="83"/>
      <c r="L54" s="14">
        <f t="shared" si="0"/>
        <v>0</v>
      </c>
      <c r="M54" s="59">
        <f t="shared" si="3"/>
        <v>0</v>
      </c>
      <c r="N54" s="61" t="str">
        <f>IF(Table2683252[[#This Row],[Fault Type]]="PM",IF(L54&lt;=(D54-C54),"Yes","No"),"")</f>
        <v/>
      </c>
      <c r="O54" s="62" t="str">
        <f t="shared" si="2"/>
        <v/>
      </c>
      <c r="P5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4" s="17"/>
    </row>
    <row r="55" spans="1:17" ht="15.5" x14ac:dyDescent="0.35">
      <c r="A55" s="58"/>
      <c r="B55" s="55"/>
      <c r="C55" s="56"/>
      <c r="D55" s="56"/>
      <c r="E55" s="13"/>
      <c r="F55" s="55"/>
      <c r="G55" s="159"/>
      <c r="H55" s="57"/>
      <c r="I55" s="18"/>
      <c r="J55" s="13"/>
      <c r="K55" s="83"/>
      <c r="L55" s="14">
        <f t="shared" si="0"/>
        <v>0</v>
      </c>
      <c r="M55" s="59">
        <f t="shared" si="3"/>
        <v>0</v>
      </c>
      <c r="N55" s="61" t="str">
        <f>IF(Table2683252[[#This Row],[Fault Type]]="PM",IF(L55&lt;=(D55-C55),"Yes","No"),"")</f>
        <v/>
      </c>
      <c r="O55" s="62" t="str">
        <f t="shared" si="2"/>
        <v/>
      </c>
      <c r="P5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row>
    <row r="56" spans="1:17" ht="15.5" x14ac:dyDescent="0.35">
      <c r="A56" s="58"/>
      <c r="B56" s="55"/>
      <c r="C56" s="56"/>
      <c r="D56" s="56"/>
      <c r="E56" s="13"/>
      <c r="F56" s="55"/>
      <c r="G56" s="159"/>
      <c r="H56" s="57"/>
      <c r="I56" s="18"/>
      <c r="J56" s="13"/>
      <c r="K56" s="83"/>
      <c r="L56" s="14">
        <f t="shared" si="0"/>
        <v>0</v>
      </c>
      <c r="M56" s="59">
        <f t="shared" si="3"/>
        <v>0</v>
      </c>
      <c r="N56" s="61" t="str">
        <f>IF(Table2683252[[#This Row],[Fault Type]]="PM",IF(L56&lt;=(D56-C56),"Yes","No"),"")</f>
        <v/>
      </c>
      <c r="O56" s="62" t="str">
        <f t="shared" si="2"/>
        <v/>
      </c>
      <c r="P5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61" t="str">
        <f>IF(Table2683252[[#This Row],[Fault Type]]="PM",IF(L57&lt;=(D57-C57),"Yes","No"),"")</f>
        <v/>
      </c>
      <c r="O57" s="62" t="str">
        <f t="shared" si="2"/>
        <v/>
      </c>
      <c r="P5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61" t="str">
        <f>IF(Table2683252[[#This Row],[Fault Type]]="PM",IF(L58&lt;=(D58-C58),"Yes","No"),"")</f>
        <v/>
      </c>
      <c r="O58" s="62" t="str">
        <f t="shared" si="2"/>
        <v/>
      </c>
      <c r="P5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61" t="str">
        <f>IF(Table2683252[[#This Row],[Fault Type]]="PM",IF(L59&lt;=(D59-C59),"Yes","No"),"")</f>
        <v/>
      </c>
      <c r="O59" s="62" t="str">
        <f t="shared" si="2"/>
        <v/>
      </c>
      <c r="P5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59" s="63"/>
    </row>
    <row r="60" spans="1:17" ht="15.5" x14ac:dyDescent="0.35">
      <c r="A60" s="58"/>
      <c r="B60" s="55"/>
      <c r="C60" s="56"/>
      <c r="D60" s="56"/>
      <c r="E60" s="13"/>
      <c r="F60" s="55"/>
      <c r="G60" s="159"/>
      <c r="H60" s="57"/>
      <c r="I60" s="18"/>
      <c r="J60" s="13"/>
      <c r="K60" s="83"/>
      <c r="L60" s="14">
        <f t="shared" si="0"/>
        <v>0</v>
      </c>
      <c r="M60" s="59">
        <f t="shared" si="3"/>
        <v>0</v>
      </c>
      <c r="N60" s="61" t="str">
        <f>IF(Table2683252[[#This Row],[Fault Type]]="PM",IF(L60&lt;=(D60-C60),"Yes","No"),"")</f>
        <v/>
      </c>
      <c r="O60" s="62" t="str">
        <f t="shared" si="2"/>
        <v/>
      </c>
      <c r="P6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0" s="63"/>
    </row>
    <row r="61" spans="1:17" ht="15.5" x14ac:dyDescent="0.35">
      <c r="A61" s="58"/>
      <c r="B61" s="55"/>
      <c r="C61" s="56"/>
      <c r="D61" s="56"/>
      <c r="E61" s="13"/>
      <c r="F61" s="55"/>
      <c r="G61" s="159"/>
      <c r="H61" s="57"/>
      <c r="I61" s="18"/>
      <c r="J61" s="13"/>
      <c r="K61" s="83"/>
      <c r="L61" s="14">
        <f t="shared" si="0"/>
        <v>0</v>
      </c>
      <c r="M61" s="59">
        <f t="shared" si="3"/>
        <v>0</v>
      </c>
      <c r="N61" s="61" t="str">
        <f>IF(Table2683252[[#This Row],[Fault Type]]="PM",IF(L61&lt;=(D61-C61),"Yes","No"),"")</f>
        <v/>
      </c>
      <c r="O61" s="62" t="str">
        <f t="shared" si="2"/>
        <v/>
      </c>
      <c r="P6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1" s="63"/>
    </row>
    <row r="62" spans="1:17" ht="15.5" x14ac:dyDescent="0.35">
      <c r="A62" s="58"/>
      <c r="B62" s="55"/>
      <c r="C62" s="56"/>
      <c r="D62" s="56"/>
      <c r="E62" s="13"/>
      <c r="F62" s="55"/>
      <c r="G62" s="159"/>
      <c r="H62" s="57"/>
      <c r="I62" s="18"/>
      <c r="J62" s="13"/>
      <c r="K62" s="83"/>
      <c r="L62" s="14">
        <f t="shared" si="0"/>
        <v>0</v>
      </c>
      <c r="M62" s="59">
        <f t="shared" si="3"/>
        <v>0</v>
      </c>
      <c r="N62" s="61" t="str">
        <f>IF(Table2683252[[#This Row],[Fault Type]]="PM",IF(L62&lt;=(D62-C62),"Yes","No"),"")</f>
        <v/>
      </c>
      <c r="O62" s="62" t="str">
        <f t="shared" si="2"/>
        <v/>
      </c>
      <c r="P6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2" s="63"/>
    </row>
    <row r="63" spans="1:17" ht="15.5" x14ac:dyDescent="0.35">
      <c r="A63" s="58"/>
      <c r="B63" s="55"/>
      <c r="C63" s="56"/>
      <c r="D63" s="56"/>
      <c r="E63" s="13"/>
      <c r="F63" s="55"/>
      <c r="G63" s="159"/>
      <c r="H63" s="57"/>
      <c r="I63" s="18"/>
      <c r="J63" s="13"/>
      <c r="K63" s="83"/>
      <c r="L63" s="14">
        <f t="shared" si="0"/>
        <v>0</v>
      </c>
      <c r="M63" s="59">
        <f t="shared" si="3"/>
        <v>0</v>
      </c>
      <c r="N63" s="61" t="str">
        <f>IF(Table2683252[[#This Row],[Fault Type]]="PM",IF(L63&lt;=(D63-C63),"Yes","No"),"")</f>
        <v/>
      </c>
      <c r="O63" s="62" t="str">
        <f t="shared" si="2"/>
        <v/>
      </c>
      <c r="P6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3" s="63"/>
    </row>
    <row r="64" spans="1:17" ht="15.5" x14ac:dyDescent="0.35">
      <c r="A64" s="58"/>
      <c r="B64" s="55"/>
      <c r="C64" s="56"/>
      <c r="D64" s="56"/>
      <c r="E64" s="13"/>
      <c r="F64" s="55"/>
      <c r="G64" s="159"/>
      <c r="H64" s="57"/>
      <c r="I64" s="18"/>
      <c r="J64" s="13"/>
      <c r="K64" s="83"/>
      <c r="L64" s="14">
        <f t="shared" si="0"/>
        <v>0</v>
      </c>
      <c r="M64" s="59">
        <f t="shared" si="3"/>
        <v>0</v>
      </c>
      <c r="N64" s="61" t="str">
        <f>IF(Table2683252[[#This Row],[Fault Type]]="PM",IF(L64&lt;=(D64-C64),"Yes","No"),"")</f>
        <v/>
      </c>
      <c r="O64" s="62" t="str">
        <f t="shared" si="2"/>
        <v/>
      </c>
      <c r="P6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4" s="63"/>
    </row>
    <row r="65" spans="1:17" ht="15.5" x14ac:dyDescent="0.35">
      <c r="A65" s="58"/>
      <c r="B65" s="55"/>
      <c r="C65" s="56"/>
      <c r="D65" s="56"/>
      <c r="E65" s="13"/>
      <c r="F65" s="55"/>
      <c r="G65" s="159"/>
      <c r="H65" s="57"/>
      <c r="I65" s="18"/>
      <c r="J65" s="13"/>
      <c r="K65" s="83"/>
      <c r="L65" s="14">
        <f t="shared" si="0"/>
        <v>0</v>
      </c>
      <c r="M65" s="59">
        <f t="shared" si="3"/>
        <v>0</v>
      </c>
      <c r="N65" s="61" t="str">
        <f>IF(Table2683252[[#This Row],[Fault Type]]="PM",IF(L65&lt;=(D65-C65),"Yes","No"),"")</f>
        <v/>
      </c>
      <c r="O65" s="62" t="str">
        <f t="shared" si="2"/>
        <v/>
      </c>
      <c r="P6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5" s="63"/>
    </row>
    <row r="66" spans="1:17" ht="15.5" x14ac:dyDescent="0.35">
      <c r="A66" s="58"/>
      <c r="B66" s="55"/>
      <c r="C66" s="56"/>
      <c r="D66" s="56"/>
      <c r="E66" s="13"/>
      <c r="F66" s="55"/>
      <c r="G66" s="159"/>
      <c r="H66" s="57"/>
      <c r="I66" s="18"/>
      <c r="J66" s="13"/>
      <c r="K66" s="83"/>
      <c r="L66" s="14">
        <f t="shared" si="0"/>
        <v>0</v>
      </c>
      <c r="M66" s="59">
        <f t="shared" si="3"/>
        <v>0</v>
      </c>
      <c r="N66" s="61" t="str">
        <f>IF(Table2683252[[#This Row],[Fault Type]]="PM",IF(L66&lt;=(D66-C66),"Yes","No"),"")</f>
        <v/>
      </c>
      <c r="O66" s="62" t="str">
        <f t="shared" si="2"/>
        <v/>
      </c>
      <c r="P6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6" s="63"/>
    </row>
    <row r="67" spans="1:17" ht="15.5" x14ac:dyDescent="0.35">
      <c r="A67" s="58"/>
      <c r="B67" s="55"/>
      <c r="C67" s="56"/>
      <c r="D67" s="56"/>
      <c r="E67" s="13"/>
      <c r="F67" s="55"/>
      <c r="G67" s="159"/>
      <c r="H67" s="57"/>
      <c r="I67" s="18"/>
      <c r="J67" s="13"/>
      <c r="K67" s="83"/>
      <c r="L67" s="14">
        <f t="shared" si="0"/>
        <v>0</v>
      </c>
      <c r="M67" s="59">
        <f t="shared" si="3"/>
        <v>0</v>
      </c>
      <c r="N67" s="61" t="str">
        <f>IF(Table2683252[[#This Row],[Fault Type]]="PM",IF(L67&lt;=(D67-C67),"Yes","No"),"")</f>
        <v/>
      </c>
      <c r="O67" s="62" t="str">
        <f t="shared" si="2"/>
        <v/>
      </c>
      <c r="P6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7" s="63"/>
    </row>
    <row r="68" spans="1:17" ht="15.5" x14ac:dyDescent="0.35">
      <c r="A68" s="58"/>
      <c r="B68" s="55"/>
      <c r="C68" s="56"/>
      <c r="D68" s="56"/>
      <c r="E68" s="13"/>
      <c r="F68" s="55"/>
      <c r="G68" s="159"/>
      <c r="H68" s="57"/>
      <c r="I68" s="18"/>
      <c r="J68" s="13"/>
      <c r="K68" s="83"/>
      <c r="L68" s="14">
        <f t="shared" ref="L68:L81" si="4">J68-E68</f>
        <v>0</v>
      </c>
      <c r="M68" s="59">
        <f t="shared" si="3"/>
        <v>0</v>
      </c>
      <c r="N68" s="61" t="str">
        <f>IF(Table2683252[[#This Row],[Fault Type]]="PM",IF(L68&lt;=(D68-C68),"Yes","No"),"")</f>
        <v/>
      </c>
      <c r="O68" s="62" t="str">
        <f t="shared" ref="O68:O81" si="5">IF(N68="No",(L68-(D68-C68)),"")</f>
        <v/>
      </c>
      <c r="P6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8" s="63"/>
    </row>
    <row r="69" spans="1:17" ht="15.5" x14ac:dyDescent="0.35">
      <c r="A69" s="58"/>
      <c r="B69" s="55"/>
      <c r="C69" s="56"/>
      <c r="D69" s="56"/>
      <c r="E69" s="13"/>
      <c r="F69" s="55"/>
      <c r="G69" s="159"/>
      <c r="H69" s="57"/>
      <c r="I69" s="18"/>
      <c r="J69" s="13"/>
      <c r="K69" s="60"/>
      <c r="L69" s="14">
        <f t="shared" si="4"/>
        <v>0</v>
      </c>
      <c r="M69" s="59">
        <f t="shared" si="3"/>
        <v>0</v>
      </c>
      <c r="N69" s="61" t="str">
        <f>IF(Table2683252[[#This Row],[Fault Type]]="PM",IF(L69&lt;=(D69-C69),"Yes","No"),"")</f>
        <v/>
      </c>
      <c r="O69" s="62" t="str">
        <f t="shared" si="5"/>
        <v/>
      </c>
      <c r="P6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69" s="63"/>
    </row>
    <row r="70" spans="1:17" ht="15.5" x14ac:dyDescent="0.35">
      <c r="A70" s="58"/>
      <c r="B70" s="55"/>
      <c r="C70" s="56"/>
      <c r="D70" s="56"/>
      <c r="E70" s="13"/>
      <c r="F70" s="55"/>
      <c r="G70" s="159"/>
      <c r="H70" s="57"/>
      <c r="I70" s="18"/>
      <c r="J70" s="13"/>
      <c r="K70" s="60"/>
      <c r="L70" s="14">
        <f t="shared" si="4"/>
        <v>0</v>
      </c>
      <c r="M70" s="59">
        <f t="shared" si="3"/>
        <v>0</v>
      </c>
      <c r="N70" s="61" t="str">
        <f>IF(Table2683252[[#This Row],[Fault Type]]="PM",IF(L70&lt;=(D70-C70),"Yes","No"),"")</f>
        <v/>
      </c>
      <c r="O70" s="62" t="str">
        <f t="shared" si="5"/>
        <v/>
      </c>
      <c r="P7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0" s="63"/>
    </row>
    <row r="71" spans="1:17" ht="15.5" x14ac:dyDescent="0.35">
      <c r="A71" s="58"/>
      <c r="B71" s="55"/>
      <c r="C71" s="56"/>
      <c r="D71" s="56"/>
      <c r="E71" s="13"/>
      <c r="F71" s="55"/>
      <c r="G71" s="159"/>
      <c r="H71" s="57"/>
      <c r="I71" s="18"/>
      <c r="J71" s="13"/>
      <c r="K71" s="60"/>
      <c r="L71" s="14">
        <f t="shared" si="4"/>
        <v>0</v>
      </c>
      <c r="M71" s="59">
        <f t="shared" si="3"/>
        <v>0</v>
      </c>
      <c r="N71" s="61" t="str">
        <f>IF(Table2683252[[#This Row],[Fault Type]]="PM",IF(L71&lt;=(D71-C71),"Yes","No"),"")</f>
        <v/>
      </c>
      <c r="O71" s="62" t="str">
        <f t="shared" si="5"/>
        <v/>
      </c>
      <c r="P7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61" t="str">
        <f>IF(Table2683252[[#This Row],[Fault Type]]="PM",IF(L72&lt;=(D72-C72),"Yes","No"),"")</f>
        <v/>
      </c>
      <c r="O72" s="62" t="str">
        <f t="shared" si="5"/>
        <v/>
      </c>
      <c r="P72"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61" t="str">
        <f>IF(Table2683252[[#This Row],[Fault Type]]="PM",IF(L73&lt;=(D73-C73),"Yes","No"),"")</f>
        <v/>
      </c>
      <c r="O73" s="62" t="str">
        <f t="shared" si="5"/>
        <v/>
      </c>
      <c r="P73"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61" t="str">
        <f>IF(Table2683252[[#This Row],[Fault Type]]="PM",IF(L74&lt;=(D74-C74),"Yes","No"),"")</f>
        <v/>
      </c>
      <c r="O74" s="62" t="str">
        <f t="shared" si="5"/>
        <v/>
      </c>
      <c r="P74"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IF(Table2683252[[#This Row],[Fault Type]]="PM",IF(L75&lt;=(D75-C75),"Yes","No"),"")</f>
        <v/>
      </c>
      <c r="O75" s="62" t="str">
        <f t="shared" si="5"/>
        <v/>
      </c>
      <c r="P75"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IF(Table2683252[[#This Row],[Fault Type]]="PM",IF(L76&lt;=(D76-C76),"Yes","No"),"")</f>
        <v/>
      </c>
      <c r="O76" s="62" t="str">
        <f t="shared" si="5"/>
        <v/>
      </c>
      <c r="P76"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61" t="str">
        <f>IF(Table2683252[[#This Row],[Fault Type]]="PM",IF(L77&lt;=(D77-C77),"Yes","No"),"")</f>
        <v/>
      </c>
      <c r="O77" s="62" t="str">
        <f t="shared" si="5"/>
        <v/>
      </c>
      <c r="P77"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7" s="63"/>
    </row>
    <row r="78" spans="1:17" ht="15.5" x14ac:dyDescent="0.35">
      <c r="A78" s="58"/>
      <c r="B78" s="55"/>
      <c r="C78" s="56"/>
      <c r="D78" s="56"/>
      <c r="E78" s="13"/>
      <c r="F78" s="55"/>
      <c r="G78" s="159"/>
      <c r="H78" s="57"/>
      <c r="I78" s="18"/>
      <c r="J78" s="13"/>
      <c r="K78" s="60"/>
      <c r="L78" s="14">
        <f t="shared" si="4"/>
        <v>0</v>
      </c>
      <c r="M78" s="59">
        <f t="shared" si="3"/>
        <v>0</v>
      </c>
      <c r="N78" s="61" t="str">
        <f>IF(Table2683252[[#This Row],[Fault Type]]="PM",IF(L78&lt;=(D78-C78),"Yes","No"),"")</f>
        <v/>
      </c>
      <c r="O78" s="62" t="str">
        <f t="shared" si="5"/>
        <v/>
      </c>
      <c r="P78"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8" s="63"/>
    </row>
    <row r="79" spans="1:17" ht="15.5" x14ac:dyDescent="0.35">
      <c r="A79" s="58"/>
      <c r="B79" s="55"/>
      <c r="C79" s="56"/>
      <c r="D79" s="56"/>
      <c r="E79" s="13"/>
      <c r="F79" s="55"/>
      <c r="G79" s="159"/>
      <c r="H79" s="57"/>
      <c r="I79" s="18"/>
      <c r="J79" s="13"/>
      <c r="K79" s="60"/>
      <c r="L79" s="14">
        <f t="shared" si="4"/>
        <v>0</v>
      </c>
      <c r="M79" s="59">
        <f t="shared" si="3"/>
        <v>0</v>
      </c>
      <c r="N79" s="61" t="str">
        <f>IF(Table2683252[[#This Row],[Fault Type]]="PM",IF(L79&lt;=(D79-C79),"Yes","No"),"")</f>
        <v/>
      </c>
      <c r="O79" s="62" t="str">
        <f t="shared" si="5"/>
        <v/>
      </c>
      <c r="P79"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79" s="63"/>
    </row>
    <row r="80" spans="1:17" ht="15.5" x14ac:dyDescent="0.35">
      <c r="A80" s="58"/>
      <c r="B80" s="55"/>
      <c r="C80" s="56"/>
      <c r="D80" s="56"/>
      <c r="E80" s="13"/>
      <c r="F80" s="55"/>
      <c r="G80" s="159"/>
      <c r="H80" s="57"/>
      <c r="I80" s="18"/>
      <c r="J80" s="13"/>
      <c r="K80" s="60"/>
      <c r="L80" s="14">
        <f t="shared" si="4"/>
        <v>0</v>
      </c>
      <c r="M80" s="59">
        <f t="shared" si="3"/>
        <v>0</v>
      </c>
      <c r="N80" s="61" t="str">
        <f>IF(Table2683252[[#This Row],[Fault Type]]="PM",IF(L80&lt;=(D80-C80),"Yes","No"),"")</f>
        <v/>
      </c>
      <c r="O80" s="62" t="str">
        <f t="shared" si="5"/>
        <v/>
      </c>
      <c r="P80"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80" s="63"/>
    </row>
    <row r="81" spans="1:17" ht="15.5" x14ac:dyDescent="0.35">
      <c r="A81" s="58"/>
      <c r="B81" s="55"/>
      <c r="C81" s="56"/>
      <c r="D81" s="56"/>
      <c r="E81" s="13"/>
      <c r="F81" s="55"/>
      <c r="G81" s="159"/>
      <c r="H81" s="57"/>
      <c r="I81" s="18"/>
      <c r="J81" s="13"/>
      <c r="K81" s="60"/>
      <c r="L81" s="14">
        <f t="shared" si="4"/>
        <v>0</v>
      </c>
      <c r="M81" s="59">
        <f t="shared" si="3"/>
        <v>0</v>
      </c>
      <c r="N81" s="61" t="str">
        <f>IF(Table2683252[[#This Row],[Fault Type]]="PM",IF(L81&lt;=(D81-C81),"Yes","No"),"")</f>
        <v/>
      </c>
      <c r="O81" s="62" t="str">
        <f t="shared" si="5"/>
        <v/>
      </c>
      <c r="P81" s="166" t="str">
        <f>IF(AND(Table2683252[[#This Row],[Name of Feeder]]&lt;&gt;"",OR(Table2683252[[#This Row],[Fault Type]]="TL",Table2683252[[#This Row],[Fault Type]]="TS",Table2683252[[#This Row],[Fault Type]]="UF",Table2683252[[#This Row],[Fault Type]]="SE")),(IF(AND(VLOOKUP(Table2683252[[#This Row],[Name of Feeder]],Main!D:E,2,0)="URBAN",ISNUMBER(SEARCH("33KV",Table2683252[[#This Row],[Name of Feeder]]))),IF(AND(Table2683252[[#This Row],[Outage Duration]]&gt;0,Table2683252[[#This Row],[Outage Duration]]&lt;=0.25),"Yes","No"),IF(AND(VLOOKUP(Table2683252[[#This Row],[Name of Feeder]],Main!D:E,2,0)="RURAL",ISNUMBER(SEARCH("33KV",Table2683252[[#This Row],[Name of Feeder]]))),IF(AND(Table2683252[[#This Row],[Outage Duration]]&gt;0,Table2683252[[#This Row],[Outage Duration]]&lt;=0.33),"Yes","No"),IF(AND(VLOOKUP(Table2683252[[#This Row],[Name of Feeder]],Main!D:E,2,0)="RURAL",ISNUMBER(SEARCH("11KV",Table2683252[[#This Row],[Name of Feeder]]))),IF(AND(Table2683252[[#This Row],[Outage Duration]]&gt;0,Table2683252[[#This Row],[Outage Duration]]&lt;=0.17),"Yes","No"),IF(AND(VLOOKUP(Table2683252[[#This Row],[Name of Feeder]],Main!D:E,2,0)="URBAN",ISNUMBER(SEARCH("11KV",Table2683252[[#This Row],[Name of Feeder]]))),IF(AND(Table2683252[[#This Row],[Outage Duration]]&gt;0,Table2683252[[#This Row],[Outage Duration]]&lt;=0.17),"Yes","No"),""))))),"")</f>
        <v/>
      </c>
      <c r="Q81"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200-000000000000}">
          <x14:formula1>
            <xm:f>Main!$F$226:$F$228</xm:f>
          </x14:formula1>
          <xm:sqref>I2:I81</xm:sqref>
        </x14:dataValidation>
        <x14:dataValidation type="list" allowBlank="1" showInputMessage="1" showErrorMessage="1" xr:uid="{00000000-0002-0000-1200-000001000000}">
          <x14:formula1>
            <xm:f>Main!$D$2:$D$196</xm:f>
          </x14:formula1>
          <xm:sqref>A2:A81</xm:sqref>
        </x14:dataValidation>
        <x14:dataValidation type="list" allowBlank="1" showInputMessage="1" showErrorMessage="1" xr:uid="{00000000-0002-0000-1200-000002000000}">
          <x14:formula1>
            <xm:f>Main!F$222:F$225</xm:f>
          </x14:formula1>
          <xm:sqref>G2:G81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1"/>
  <sheetViews>
    <sheetView zoomScale="80" zoomScaleNormal="80" workbookViewId="0">
      <selection activeCell="M3" sqref="M3"/>
    </sheetView>
  </sheetViews>
  <sheetFormatPr defaultRowHeight="14.5" x14ac:dyDescent="0.35"/>
  <cols>
    <col min="1" max="1" width="5.26953125" customWidth="1"/>
    <col min="2" max="2" width="19.54296875" bestFit="1" customWidth="1"/>
    <col min="3" max="3" width="21.54296875" bestFit="1" customWidth="1"/>
    <col min="4" max="5" width="14.1796875" customWidth="1"/>
    <col min="6" max="6" width="16.7265625" style="157" customWidth="1"/>
    <col min="7" max="7" width="11" customWidth="1"/>
    <col min="8" max="8" width="12.54296875" customWidth="1"/>
    <col min="9" max="9" width="12.81640625" customWidth="1"/>
    <col min="10" max="10" width="20.26953125" customWidth="1"/>
    <col min="11" max="12" width="18.81640625" customWidth="1"/>
    <col min="13" max="13" width="8.81640625" customWidth="1"/>
    <col min="14" max="15" width="13" customWidth="1"/>
    <col min="16" max="16" width="13.81640625" customWidth="1"/>
    <col min="17" max="17" width="15.1796875" style="52" customWidth="1"/>
    <col min="18" max="21" width="15.1796875" customWidth="1"/>
    <col min="22" max="22" width="17.1796875" customWidth="1"/>
    <col min="23" max="24" width="15.1796875" customWidth="1"/>
    <col min="25" max="26" width="10.1796875" customWidth="1"/>
    <col min="27" max="27" width="20.7265625" customWidth="1"/>
  </cols>
  <sheetData>
    <row r="1" spans="1:27" s="5" customFormat="1" ht="70" x14ac:dyDescent="0.35">
      <c r="A1" s="6" t="s">
        <v>189</v>
      </c>
      <c r="B1" s="6" t="s">
        <v>0</v>
      </c>
      <c r="C1" s="6" t="s">
        <v>214</v>
      </c>
      <c r="D1" s="6" t="s">
        <v>345</v>
      </c>
      <c r="E1" s="6" t="s">
        <v>365</v>
      </c>
      <c r="F1" s="6" t="s">
        <v>456</v>
      </c>
      <c r="G1" s="6" t="s">
        <v>206</v>
      </c>
      <c r="H1" s="6" t="s">
        <v>205</v>
      </c>
      <c r="I1" s="6" t="s">
        <v>213</v>
      </c>
      <c r="J1" s="6" t="s">
        <v>207</v>
      </c>
      <c r="K1" s="6" t="s">
        <v>203</v>
      </c>
      <c r="L1" s="6" t="s">
        <v>261</v>
      </c>
      <c r="M1" s="6" t="s">
        <v>262</v>
      </c>
      <c r="N1" s="6" t="s">
        <v>263</v>
      </c>
      <c r="O1" s="6" t="s">
        <v>347</v>
      </c>
      <c r="P1" s="6" t="s">
        <v>304</v>
      </c>
      <c r="Q1" s="6" t="s">
        <v>190</v>
      </c>
      <c r="R1" s="6" t="s">
        <v>258</v>
      </c>
      <c r="S1" s="6" t="s">
        <v>322</v>
      </c>
      <c r="T1" s="6" t="s">
        <v>259</v>
      </c>
      <c r="U1" s="6" t="s">
        <v>332</v>
      </c>
      <c r="V1" s="6" t="s">
        <v>328</v>
      </c>
      <c r="W1" s="6" t="s">
        <v>326</v>
      </c>
      <c r="X1" s="6" t="s">
        <v>327</v>
      </c>
      <c r="Y1" s="6" t="s">
        <v>325</v>
      </c>
      <c r="Z1" s="6" t="s">
        <v>324</v>
      </c>
      <c r="AA1" s="21" t="s">
        <v>323</v>
      </c>
    </row>
    <row r="2" spans="1:27" s="5" customFormat="1" x14ac:dyDescent="0.35">
      <c r="A2" s="23">
        <v>1</v>
      </c>
      <c r="B2" s="8" t="s">
        <v>180</v>
      </c>
      <c r="C2" s="26" t="s">
        <v>234</v>
      </c>
      <c r="D2" s="23">
        <f>SUMIF(Main!C:C,'Ranking TSP'!C2,Main!F:F)</f>
        <v>61</v>
      </c>
      <c r="E2" s="23">
        <f>SUMIF(Main!C:C,'Ranking TSP'!C2,Main!V:V)</f>
        <v>58</v>
      </c>
      <c r="F2" s="23">
        <v>8</v>
      </c>
      <c r="G2" s="23">
        <f>SUMIF(Main!C:C,'Ranking TSP'!C2,Main!U:U)</f>
        <v>58</v>
      </c>
      <c r="H2" s="23">
        <f>SUMIF(Main!C:C,'Ranking TSP'!C2,Main!Y:Y)</f>
        <v>3</v>
      </c>
      <c r="I2" s="23">
        <f>SUMIF(Main!C:C,'Ranking TSP'!C2,Main!W:W)</f>
        <v>0</v>
      </c>
      <c r="J2" s="23">
        <f>SUMIF(Main!C:C,'Ranking TSP'!C2,Main!AD:AD)</f>
        <v>0</v>
      </c>
      <c r="K2" s="28" t="e">
        <f>SUMIF(Main!C:C,'Ranking TSP'!C2,Main!R:R)</f>
        <v>#VALUE!</v>
      </c>
      <c r="L2" s="28" t="e">
        <f>SUMIF(Main!C:C,Table1[[#This Row],[TSP]],Main!S:S)</f>
        <v>#VALUE!</v>
      </c>
      <c r="M2" s="29">
        <v>30</v>
      </c>
      <c r="N2" s="29">
        <f>SUMIF(Main!C:C,Table1[[#This Row],[TSP]],Main!AC:AC)</f>
        <v>45</v>
      </c>
      <c r="O2" s="29">
        <f>SUMIF(Main!C:C,Table1[[#This Row],[TSP]],Main!AD:AD)</f>
        <v>0</v>
      </c>
      <c r="P2" s="104">
        <f ca="1">AVERAGEIF(Main!C:C,Table1[[#This Row],[TSP]],Table4[[#All],[Total Interrruption]])</f>
        <v>7.625</v>
      </c>
      <c r="Q2" s="24" t="e">
        <f t="shared" ref="Q2:Q28" si="0">K2/D2</f>
        <v>#VALUE!</v>
      </c>
      <c r="R2" s="37" t="e">
        <f>SUMIF(Main!C:C,Table1[[#This Row],[TSP]],Main!AH:AH)/SUMIF('Supply Hours'!C:C,Table1[[#This Row],[TSP]],'Supply Hours'!I:I)</f>
        <v>#VALUE!</v>
      </c>
      <c r="S2" s="37">
        <f>SUMIFS(Main!AI:AI,Main!C:C,Table1[[#This Row],[TSP]])/SUMIFS('Supply Hours'!J:J,'Supply Hours'!C:C,Table1[[#This Row],[TSP]])</f>
        <v>2.5443550308183398</v>
      </c>
      <c r="T2" s="68" t="e">
        <f>Table1[[#This Row],[Total Hours Available for Service]]/(COUNTIF(Main!C:C,Table1[[#This Row],[TSP]])*Main!Q$199)</f>
        <v>#VALUE!</v>
      </c>
      <c r="U2" s="37">
        <f>IF((SUMIF(Main!C:C,Table1[[#This Row],[TSP]],Main!V:V))&gt;0,SUMIF(Main!C:C,Table1[[#This Row],[TSP]],Main!AC:AC)/(SUMIF(Main!C:C,Table1[[#This Row],[TSP]],Main!V:V)),1)</f>
        <v>0.77586206896551724</v>
      </c>
      <c r="V2" s="69" t="e">
        <f>RANK(Table1[[#This Row],[SAIDI]],R:R,1)</f>
        <v>#VALUE!</v>
      </c>
      <c r="W2" s="67">
        <f>RANK(Table1[[#This Row],[ASIFI]],S:S,1)</f>
        <v>26</v>
      </c>
      <c r="X2" s="67" t="e">
        <f>RANK(Table1[[#This Row],[ASAI]],T:T,0)</f>
        <v>#VALUE!</v>
      </c>
      <c r="Y2" s="74">
        <f>RANK(Table1[[#This Row],[FCI]],U:U,0)</f>
        <v>7</v>
      </c>
      <c r="Z2" s="25" t="e">
        <f>SUM(Table1[[#This Row],[Ranking SAIDI]:[Ranking FCI]])</f>
        <v>#VALUE!</v>
      </c>
      <c r="AA2" s="73" t="e">
        <f>RANK(Table1[[#This Row],[Total Points]],Z:Z,1)</f>
        <v>#VALUE!</v>
      </c>
    </row>
    <row r="3" spans="1:27" s="5" customFormat="1" x14ac:dyDescent="0.35">
      <c r="A3" s="23">
        <v>2</v>
      </c>
      <c r="B3" s="8" t="s">
        <v>448</v>
      </c>
      <c r="C3" s="26" t="s">
        <v>223</v>
      </c>
      <c r="D3" s="23">
        <f>SUMIF(Main!C:C,'Ranking TSP'!C3,Main!F:F)</f>
        <v>11</v>
      </c>
      <c r="E3" s="23">
        <f>SUMIF(Main!C:C,'Ranking TSP'!C3,Main!V:V)</f>
        <v>11</v>
      </c>
      <c r="F3" s="23">
        <v>5</v>
      </c>
      <c r="G3" s="23">
        <f>SUMIF(Main!C:C,'Ranking TSP'!C3,Main!U:U)</f>
        <v>9</v>
      </c>
      <c r="H3" s="23">
        <f>SUMIF(Main!C:C,'Ranking TSP'!C3,Main!Y:Y)</f>
        <v>0</v>
      </c>
      <c r="I3" s="23">
        <f>SUMIF(Main!C:C,'Ranking TSP'!C3,Main!W:W)</f>
        <v>0</v>
      </c>
      <c r="J3" s="23">
        <f>SUMIF(Main!C:C,'Ranking TSP'!C3,Main!AD:AD)</f>
        <v>0</v>
      </c>
      <c r="K3" s="28">
        <f>SUMIF(Main!C:C,'Ranking TSP'!C3,Main!R:R)</f>
        <v>0.85902777774026617</v>
      </c>
      <c r="L3" s="28">
        <f>SUMIF(Main!C:C,Table1[[#This Row],[TSP]],Main!S:S)</f>
        <v>149.14097222225973</v>
      </c>
      <c r="M3" s="29">
        <f t="shared" ref="M3:M29" si="1">M2</f>
        <v>30</v>
      </c>
      <c r="N3" s="29">
        <f>SUMIF(Main!C:C,Table1[[#This Row],[TSP]],Main!AC:AC)</f>
        <v>6</v>
      </c>
      <c r="O3" s="29">
        <f>SUMIF(Main!C:C,Table1[[#This Row],[TSP]],Main!AD:AD)</f>
        <v>0</v>
      </c>
      <c r="P3" s="104">
        <f ca="1">AVERAGEIF(Main!C:C,Table1[[#This Row],[TSP]],Table4[[#All],[Total Interrruption]])</f>
        <v>2.2000000000000002</v>
      </c>
      <c r="Q3" s="24">
        <f t="shared" si="0"/>
        <v>7.8093434340024193E-2</v>
      </c>
      <c r="R3" s="37">
        <f>SUMIF(Main!C:C,Table1[[#This Row],[TSP]],Main!AH:AH)/SUMIF('Supply Hours'!C:C,Table1[[#This Row],[TSP]],'Supply Hours'!I:I)</f>
        <v>1.9212341045221851E-2</v>
      </c>
      <c r="S3" s="37">
        <f>SUMIFS(Main!AI:AI,Main!C:C,Table1[[#This Row],[TSP]])/SUMIFS('Supply Hours'!J:J,'Supply Hours'!C:C,Table1[[#This Row],[TSP]])</f>
        <v>0.25216563109438073</v>
      </c>
      <c r="T3" s="68">
        <f>Table1[[#This Row],[Total Hours Available for Service]]/(COUNTIF(Main!C:C,Table1[[#This Row],[TSP]])*Main!Q$199)</f>
        <v>0.99427314814839818</v>
      </c>
      <c r="U3" s="37">
        <f>IF((SUMIF(Main!C:C,Table1[[#This Row],[TSP]],Main!V:V))&gt;0,SUMIF(Main!C:C,Table1[[#This Row],[TSP]],Main!AC:AC)/(SUMIF(Main!C:C,Table1[[#This Row],[TSP]],Main!V:V)),1)</f>
        <v>0.54545454545454541</v>
      </c>
      <c r="V3" s="69" t="e">
        <f>RANK(Table1[[#This Row],[SAIDI]],R:R,1)</f>
        <v>#VALUE!</v>
      </c>
      <c r="W3" s="67">
        <f>RANK(Table1[[#This Row],[ASIFI]],S:S,1)</f>
        <v>5</v>
      </c>
      <c r="X3" s="67" t="e">
        <f>RANK(Table1[[#This Row],[ASAI]],T:T,0)</f>
        <v>#VALUE!</v>
      </c>
      <c r="Y3" s="74">
        <f>RANK(Table1[[#This Row],[FCI]],U:U,0)</f>
        <v>15</v>
      </c>
      <c r="Z3" s="25" t="e">
        <f>SUM(Table1[[#This Row],[Ranking SAIDI]:[Ranking FCI]])</f>
        <v>#VALUE!</v>
      </c>
      <c r="AA3" s="73" t="e">
        <f>RANK(Table1[[#This Row],[Total Points]],Z:Z,1)</f>
        <v>#VALUE!</v>
      </c>
    </row>
    <row r="4" spans="1:27" s="5" customFormat="1" x14ac:dyDescent="0.35">
      <c r="A4" s="23">
        <v>3</v>
      </c>
      <c r="B4" s="8" t="s">
        <v>448</v>
      </c>
      <c r="C4" s="26" t="s">
        <v>235</v>
      </c>
      <c r="D4" s="23">
        <f>SUMIF(Main!C:C,'Ranking TSP'!C4,Main!F:F)</f>
        <v>31</v>
      </c>
      <c r="E4" s="23">
        <f>SUMIF(Main!C:C,'Ranking TSP'!C4,Main!V:V)</f>
        <v>31</v>
      </c>
      <c r="F4" s="23">
        <v>10</v>
      </c>
      <c r="G4" s="23">
        <f>SUMIF(Main!C:C,'Ranking TSP'!C4,Main!U:U)</f>
        <v>30</v>
      </c>
      <c r="H4" s="23">
        <f>SUMIF(Main!C:C,'Ranking TSP'!C4,Main!Y:Y)</f>
        <v>0</v>
      </c>
      <c r="I4" s="23">
        <f>SUMIF(Main!C:C,'Ranking TSP'!C4,Main!W:W)</f>
        <v>0</v>
      </c>
      <c r="J4" s="23">
        <f>SUMIF(Main!C:C,'Ranking TSP'!C4,Main!AD:AD)</f>
        <v>0</v>
      </c>
      <c r="K4" s="28">
        <f>SUMIF(Main!C:C,'Ranking TSP'!C4,Main!R:R)</f>
        <v>-44836.852777777764</v>
      </c>
      <c r="L4" s="28">
        <f>SUMIF(Main!C:C,Table1[[#This Row],[TSP]],Main!S:S)</f>
        <v>45136.852777777764</v>
      </c>
      <c r="M4" s="29">
        <f t="shared" si="1"/>
        <v>30</v>
      </c>
      <c r="N4" s="29">
        <f>SUMIF(Main!C:C,Table1[[#This Row],[TSP]],Main!AC:AC)</f>
        <v>18</v>
      </c>
      <c r="O4" s="29">
        <f>SUMIF(Main!C:C,Table1[[#This Row],[TSP]],Main!AD:AD)</f>
        <v>0</v>
      </c>
      <c r="P4" s="104">
        <f ca="1">AVERAGEIF(Main!C:C,Table1[[#This Row],[TSP]],Table4[[#All],[Total Interrruption]])</f>
        <v>3.1</v>
      </c>
      <c r="Q4" s="24">
        <f t="shared" si="0"/>
        <v>-1446.3500896057344</v>
      </c>
      <c r="R4" s="37">
        <f>SUMIF(Main!C:C,Table1[[#This Row],[TSP]],Main!AH:AH)/SUMIF('Supply Hours'!C:C,Table1[[#This Row],[TSP]],'Supply Hours'!I:I)</f>
        <v>-10.226801663730431</v>
      </c>
      <c r="S4" s="37">
        <f>SUMIFS(Main!AI:AI,Main!C:C,Table1[[#This Row],[TSP]])/SUMIFS('Supply Hours'!J:J,'Supply Hours'!C:C,Table1[[#This Row],[TSP]])</f>
        <v>0.57146723641617048</v>
      </c>
      <c r="T4" s="68">
        <f>Table1[[#This Row],[Total Hours Available for Service]]/(COUNTIF(Main!C:C,Table1[[#This Row],[TSP]])*Main!Q$199)</f>
        <v>150.45617592592589</v>
      </c>
      <c r="U4" s="37">
        <f>IF((SUMIF(Main!C:C,Table1[[#This Row],[TSP]],Main!V:V))&gt;0,SUMIF(Main!C:C,Table1[[#This Row],[TSP]],Main!AC:AC)/(SUMIF(Main!C:C,Table1[[#This Row],[TSP]],Main!V:V)),1)</f>
        <v>0.58064516129032262</v>
      </c>
      <c r="V4" s="69" t="e">
        <f>RANK(Table1[[#This Row],[SAIDI]],R:R,1)</f>
        <v>#VALUE!</v>
      </c>
      <c r="W4" s="67">
        <f>RANK(Table1[[#This Row],[ASIFI]],S:S,1)</f>
        <v>11</v>
      </c>
      <c r="X4" s="67" t="e">
        <f>RANK(Table1[[#This Row],[ASAI]],T:T,0)</f>
        <v>#VALUE!</v>
      </c>
      <c r="Y4" s="74">
        <f>RANK(Table1[[#This Row],[FCI]],U:U,0)</f>
        <v>14</v>
      </c>
      <c r="Z4" s="25" t="e">
        <f>SUM(Table1[[#This Row],[Ranking SAIDI]:[Ranking FCI]])</f>
        <v>#VALUE!</v>
      </c>
      <c r="AA4" s="73" t="e">
        <f>RANK(Table1[[#This Row],[Total Points]],Z:Z,1)</f>
        <v>#VALUE!</v>
      </c>
    </row>
    <row r="5" spans="1:27" s="5" customFormat="1" x14ac:dyDescent="0.35">
      <c r="A5" s="23">
        <v>4</v>
      </c>
      <c r="B5" s="8" t="s">
        <v>180</v>
      </c>
      <c r="C5" s="26" t="s">
        <v>236</v>
      </c>
      <c r="D5" s="23">
        <f>SUMIF(Main!C:C,'Ranking TSP'!C5,Main!F:F)</f>
        <v>40</v>
      </c>
      <c r="E5" s="23">
        <f>SUMIF(Main!C:C,'Ranking TSP'!C5,Main!V:V)</f>
        <v>36</v>
      </c>
      <c r="F5" s="23">
        <v>5</v>
      </c>
      <c r="G5" s="23">
        <f>SUMIF(Main!C:C,'Ranking TSP'!C5,Main!U:U)</f>
        <v>36</v>
      </c>
      <c r="H5" s="23">
        <f>SUMIF(Main!C:C,'Ranking TSP'!C5,Main!Y:Y)</f>
        <v>4</v>
      </c>
      <c r="I5" s="23">
        <f>SUMIF(Main!C:C,'Ranking TSP'!C5,Main!W:W)</f>
        <v>0</v>
      </c>
      <c r="J5" s="23">
        <f>SUMIF(Main!C:C,'Ranking TSP'!C5,Main!AD:AD)</f>
        <v>2</v>
      </c>
      <c r="K5" s="28">
        <f>SUMIF(Main!C:C,'Ranking TSP'!C5,Main!R:R)</f>
        <v>-44809.40416666666</v>
      </c>
      <c r="L5" s="28">
        <f>SUMIF(Main!C:C,Table1[[#This Row],[TSP]],Main!S:S)</f>
        <v>44959.40416666666</v>
      </c>
      <c r="M5" s="29">
        <f t="shared" si="1"/>
        <v>30</v>
      </c>
      <c r="N5" s="29">
        <f>SUMIF(Main!C:C,Table1[[#This Row],[TSP]],Main!AC:AC)</f>
        <v>28</v>
      </c>
      <c r="O5" s="29">
        <f>SUMIF(Main!C:C,Table1[[#This Row],[TSP]],Main!AD:AD)</f>
        <v>2</v>
      </c>
      <c r="P5" s="104">
        <f ca="1">AVERAGEIF(Main!C:C,Table1[[#This Row],[TSP]],Table4[[#All],[Total Interrruption]])</f>
        <v>8</v>
      </c>
      <c r="Q5" s="24">
        <f t="shared" si="0"/>
        <v>-1120.2351041666666</v>
      </c>
      <c r="R5" s="37">
        <f>SUMIF(Main!C:C,Table1[[#This Row],[TSP]],Main!AH:AH)/SUMIF('Supply Hours'!C:C,Table1[[#This Row],[TSP]],'Supply Hours'!I:I)</f>
        <v>-5.787025602510365</v>
      </c>
      <c r="S5" s="37">
        <f>SUMIFS(Main!AI:AI,Main!C:C,Table1[[#This Row],[TSP]])/SUMIFS('Supply Hours'!J:J,'Supply Hours'!C:C,Table1[[#This Row],[TSP]])</f>
        <v>1.2816552792089322</v>
      </c>
      <c r="T5" s="68">
        <f>Table1[[#This Row],[Total Hours Available for Service]]/(COUNTIF(Main!C:C,Table1[[#This Row],[TSP]])*Main!Q$199)</f>
        <v>299.72936111111107</v>
      </c>
      <c r="U5" s="37">
        <f>IF((SUMIF(Main!C:C,Table1[[#This Row],[TSP]],Main!V:V))&gt;0,SUMIF(Main!C:C,Table1[[#This Row],[TSP]],Main!AC:AC)/(SUMIF(Main!C:C,Table1[[#This Row],[TSP]],Main!V:V)),1)</f>
        <v>0.77777777777777779</v>
      </c>
      <c r="V5" s="69" t="e">
        <f>RANK(Table1[[#This Row],[SAIDI]],R:R,1)</f>
        <v>#VALUE!</v>
      </c>
      <c r="W5" s="67">
        <f>RANK(Table1[[#This Row],[ASIFI]],S:S,1)</f>
        <v>20</v>
      </c>
      <c r="X5" s="67" t="e">
        <f>RANK(Table1[[#This Row],[ASAI]],T:T,0)</f>
        <v>#VALUE!</v>
      </c>
      <c r="Y5" s="74">
        <f>RANK(Table1[[#This Row],[FCI]],U:U,0)</f>
        <v>5</v>
      </c>
      <c r="Z5" s="25" t="e">
        <f>SUM(Table1[[#This Row],[Ranking SAIDI]:[Ranking FCI]])</f>
        <v>#VALUE!</v>
      </c>
      <c r="AA5" s="73" t="e">
        <f>RANK(Table1[[#This Row],[Total Points]],Z:Z,1)</f>
        <v>#VALUE!</v>
      </c>
    </row>
    <row r="6" spans="1:27" s="5" customFormat="1" x14ac:dyDescent="0.35">
      <c r="A6" s="23">
        <v>5</v>
      </c>
      <c r="B6" s="8" t="s">
        <v>448</v>
      </c>
      <c r="C6" s="26" t="s">
        <v>237</v>
      </c>
      <c r="D6" s="23">
        <f>SUMIF(Main!C:C,'Ranking TSP'!C6,Main!F:F)</f>
        <v>49</v>
      </c>
      <c r="E6" s="23">
        <f>SUMIF(Main!C:C,'Ranking TSP'!C6,Main!V:V)</f>
        <v>47</v>
      </c>
      <c r="F6" s="23">
        <v>9</v>
      </c>
      <c r="G6" s="23">
        <f>SUMIF(Main!C:C,'Ranking TSP'!C6,Main!U:U)</f>
        <v>41</v>
      </c>
      <c r="H6" s="23">
        <f>SUMIF(Main!C:C,'Ranking TSP'!C6,Main!Y:Y)</f>
        <v>2</v>
      </c>
      <c r="I6" s="23">
        <f>SUMIF(Main!C:C,'Ranking TSP'!C6,Main!W:W)</f>
        <v>0</v>
      </c>
      <c r="J6" s="23">
        <f>SUMIF(Main!C:C,'Ranking TSP'!C6,Main!AD:AD)</f>
        <v>1</v>
      </c>
      <c r="K6" s="28">
        <f>SUMIF(Main!C:C,'Ranking TSP'!C6,Main!R:R)</f>
        <v>6467560.2513888888</v>
      </c>
      <c r="L6" s="28">
        <f>SUMIF(Main!C:C,Table1[[#This Row],[TSP]],Main!S:S)</f>
        <v>-6467290.2513888888</v>
      </c>
      <c r="M6" s="29">
        <f t="shared" si="1"/>
        <v>30</v>
      </c>
      <c r="N6" s="29">
        <f>SUMIF(Main!C:C,Table1[[#This Row],[TSP]],Main!AC:AC)</f>
        <v>28</v>
      </c>
      <c r="O6" s="29">
        <f>SUMIF(Main!C:C,Table1[[#This Row],[TSP]],Main!AD:AD)</f>
        <v>1</v>
      </c>
      <c r="P6" s="104">
        <f ca="1">AVERAGEIF(Main!C:C,Table1[[#This Row],[TSP]],Table4[[#All],[Total Interrruption]])</f>
        <v>5.4444444444444446</v>
      </c>
      <c r="Q6" s="24">
        <f t="shared" si="0"/>
        <v>131991.02553854874</v>
      </c>
      <c r="R6" s="37">
        <f>SUMIF(Main!C:C,Table1[[#This Row],[TSP]],Main!AH:AH)/SUMIF('Supply Hours'!C:C,Table1[[#This Row],[TSP]],'Supply Hours'!I:I)</f>
        <v>4.0847459346403596E-2</v>
      </c>
      <c r="S6" s="37">
        <f>SUMIFS(Main!AI:AI,Main!C:C,Table1[[#This Row],[TSP]])/SUMIFS('Supply Hours'!J:J,'Supply Hours'!C:C,Table1[[#This Row],[TSP]])</f>
        <v>2.1004757192186285</v>
      </c>
      <c r="T6" s="68">
        <f>Table1[[#This Row],[Total Hours Available for Service]]/(COUNTIF(Main!C:C,Table1[[#This Row],[TSP]])*Main!Q$199)</f>
        <v>-23952.926856995884</v>
      </c>
      <c r="U6" s="37">
        <f>IF((SUMIF(Main!C:C,Table1[[#This Row],[TSP]],Main!V:V))&gt;0,SUMIF(Main!C:C,Table1[[#This Row],[TSP]],Main!AC:AC)/(SUMIF(Main!C:C,Table1[[#This Row],[TSP]],Main!V:V)),1)</f>
        <v>0.5957446808510638</v>
      </c>
      <c r="V6" s="69" t="e">
        <f>RANK(Table1[[#This Row],[SAIDI]],R:R,1)</f>
        <v>#VALUE!</v>
      </c>
      <c r="W6" s="67">
        <f>RANK(Table1[[#This Row],[ASIFI]],S:S,1)</f>
        <v>25</v>
      </c>
      <c r="X6" s="67" t="e">
        <f>RANK(Table1[[#This Row],[ASAI]],T:T,0)</f>
        <v>#VALUE!</v>
      </c>
      <c r="Y6" s="74">
        <f>RANK(Table1[[#This Row],[FCI]],U:U,0)</f>
        <v>13</v>
      </c>
      <c r="Z6" s="25" t="e">
        <f>SUM(Table1[[#This Row],[Ranking SAIDI]:[Ranking FCI]])</f>
        <v>#VALUE!</v>
      </c>
      <c r="AA6" s="73" t="e">
        <f>RANK(Table1[[#This Row],[Total Points]],Z:Z,1)</f>
        <v>#VALUE!</v>
      </c>
    </row>
    <row r="7" spans="1:27" s="5" customFormat="1" x14ac:dyDescent="0.35">
      <c r="A7" s="23">
        <v>6</v>
      </c>
      <c r="B7" s="8" t="s">
        <v>180</v>
      </c>
      <c r="C7" s="26" t="s">
        <v>238</v>
      </c>
      <c r="D7" s="23">
        <f>SUMIF(Main!C:C,'Ranking TSP'!C7,Main!F:F)</f>
        <v>26</v>
      </c>
      <c r="E7" s="23">
        <f>SUMIF(Main!C:C,'Ranking TSP'!C7,Main!V:V)</f>
        <v>25</v>
      </c>
      <c r="F7" s="23">
        <v>10</v>
      </c>
      <c r="G7" s="23">
        <f>SUMIF(Main!C:C,'Ranking TSP'!C7,Main!U:U)</f>
        <v>22</v>
      </c>
      <c r="H7" s="23">
        <f>SUMIF(Main!C:C,'Ranking TSP'!C7,Main!Y:Y)</f>
        <v>1</v>
      </c>
      <c r="I7" s="23">
        <f>SUMIF(Main!C:C,'Ranking TSP'!C7,Main!W:W)</f>
        <v>0</v>
      </c>
      <c r="J7" s="23">
        <f>SUMIF(Main!C:C,'Ranking TSP'!C7,Main!AD:AD)</f>
        <v>1</v>
      </c>
      <c r="K7" s="28">
        <f>SUMIF(Main!C:C,'Ranking TSP'!C7,Main!R:R)</f>
        <v>8.6743055555343744</v>
      </c>
      <c r="L7" s="28">
        <f>SUMIF(Main!C:C,Table1[[#This Row],[TSP]],Main!S:S)</f>
        <v>291.32569444446563</v>
      </c>
      <c r="M7" s="29">
        <f t="shared" si="1"/>
        <v>30</v>
      </c>
      <c r="N7" s="29">
        <f>SUMIF(Main!C:C,Table1[[#This Row],[TSP]],Main!AC:AC)</f>
        <v>13</v>
      </c>
      <c r="O7" s="29">
        <f>SUMIF(Main!C:C,Table1[[#This Row],[TSP]],Main!AD:AD)</f>
        <v>1</v>
      </c>
      <c r="P7" s="104">
        <f ca="1">AVERAGEIF(Main!C:C,Table1[[#This Row],[TSP]],Table4[[#All],[Total Interrruption]])</f>
        <v>2.6</v>
      </c>
      <c r="Q7" s="24">
        <f t="shared" si="0"/>
        <v>0.33362713675132211</v>
      </c>
      <c r="R7" s="37">
        <f>SUMIF(Main!C:C,Table1[[#This Row],[TSP]],Main!AH:AH)/SUMIF('Supply Hours'!C:C,Table1[[#This Row],[TSP]],'Supply Hours'!I:I)</f>
        <v>7.2372225625119246E-2</v>
      </c>
      <c r="S7" s="37">
        <f>SUMIFS(Main!AI:AI,Main!C:C,Table1[[#This Row],[TSP]])/SUMIFS('Supply Hours'!J:J,'Supply Hours'!C:C,Table1[[#This Row],[TSP]])</f>
        <v>1.0499838298178161</v>
      </c>
      <c r="T7" s="68">
        <f>Table1[[#This Row],[Total Hours Available for Service]]/(COUNTIF(Main!C:C,Table1[[#This Row],[TSP]])*Main!Q$199)</f>
        <v>0.97108564814821874</v>
      </c>
      <c r="U7" s="37">
        <f>IF((SUMIF(Main!C:C,Table1[[#This Row],[TSP]],Main!V:V))&gt;0,SUMIF(Main!C:C,Table1[[#This Row],[TSP]],Main!AC:AC)/(SUMIF(Main!C:C,Table1[[#This Row],[TSP]],Main!V:V)),1)</f>
        <v>0.52</v>
      </c>
      <c r="V7" s="69" t="e">
        <f>RANK(Table1[[#This Row],[SAIDI]],R:R,1)</f>
        <v>#VALUE!</v>
      </c>
      <c r="W7" s="67">
        <f>RANK(Table1[[#This Row],[ASIFI]],S:S,1)</f>
        <v>17</v>
      </c>
      <c r="X7" s="67" t="e">
        <f>RANK(Table1[[#This Row],[ASAI]],T:T,0)</f>
        <v>#VALUE!</v>
      </c>
      <c r="Y7" s="74">
        <f>RANK(Table1[[#This Row],[FCI]],U:U,0)</f>
        <v>18</v>
      </c>
      <c r="Z7" s="25" t="e">
        <f>SUM(Table1[[#This Row],[Ranking SAIDI]:[Ranking FCI]])</f>
        <v>#VALUE!</v>
      </c>
      <c r="AA7" s="73" t="e">
        <f>RANK(Table1[[#This Row],[Total Points]],Z:Z,1)</f>
        <v>#VALUE!</v>
      </c>
    </row>
    <row r="8" spans="1:27" x14ac:dyDescent="0.35">
      <c r="A8" s="23">
        <v>7</v>
      </c>
      <c r="B8" s="8" t="s">
        <v>181</v>
      </c>
      <c r="C8" s="26" t="s">
        <v>239</v>
      </c>
      <c r="D8" s="23">
        <f>SUMIF(Main!C:C,'Ranking TSP'!C8,Main!F:F)</f>
        <v>28</v>
      </c>
      <c r="E8" s="23">
        <f>SUMIF(Main!C:C,'Ranking TSP'!C8,Main!V:V)</f>
        <v>26</v>
      </c>
      <c r="F8" s="23">
        <v>6</v>
      </c>
      <c r="G8" s="23">
        <f>SUMIF(Main!C:C,'Ranking TSP'!C8,Main!U:U)</f>
        <v>26</v>
      </c>
      <c r="H8" s="23">
        <f>SUMIF(Main!C:C,'Ranking TSP'!C8,Main!Y:Y)</f>
        <v>2</v>
      </c>
      <c r="I8" s="23">
        <f>SUMIF(Main!C:C,'Ranking TSP'!C8,Main!W:W)</f>
        <v>0</v>
      </c>
      <c r="J8" s="23">
        <f>SUMIF(Main!C:C,'Ranking TSP'!C8,Main!AD:AD)</f>
        <v>1</v>
      </c>
      <c r="K8" s="28" t="e">
        <f>SUMIF(Main!C:C,'Ranking TSP'!C8,Main!R:R)</f>
        <v>#VALUE!</v>
      </c>
      <c r="L8" s="28" t="e">
        <f>SUMIF(Main!C:C,Table1[[#This Row],[TSP]],Main!S:S)</f>
        <v>#VALUE!</v>
      </c>
      <c r="M8" s="29">
        <f t="shared" si="1"/>
        <v>30</v>
      </c>
      <c r="N8" s="29">
        <f>SUMIF(Main!C:C,Table1[[#This Row],[TSP]],Main!AC:AC)</f>
        <v>23</v>
      </c>
      <c r="O8" s="29">
        <f>SUMIF(Main!C:C,Table1[[#This Row],[TSP]],Main!AD:AD)</f>
        <v>1</v>
      </c>
      <c r="P8" s="104">
        <f ca="1">AVERAGEIF(Main!C:C,Table1[[#This Row],[TSP]],Table4[[#All],[Total Interrruption]])</f>
        <v>4.666666666666667</v>
      </c>
      <c r="Q8" s="24" t="e">
        <f t="shared" si="0"/>
        <v>#VALUE!</v>
      </c>
      <c r="R8" s="37" t="e">
        <f>SUMIF(Main!C:C,Table1[[#This Row],[TSP]],Main!AH:AH)/SUMIF('Supply Hours'!C:C,Table1[[#This Row],[TSP]],'Supply Hours'!I:I)</f>
        <v>#VALUE!</v>
      </c>
      <c r="S8" s="37">
        <f>SUMIFS(Main!AI:AI,Main!C:C,Table1[[#This Row],[TSP]])/SUMIFS('Supply Hours'!J:J,'Supply Hours'!C:C,Table1[[#This Row],[TSP]])</f>
        <v>3.7139105430247832</v>
      </c>
      <c r="T8" s="68" t="e">
        <f>Table1[[#This Row],[Total Hours Available for Service]]/(COUNTIF(Main!C:C,Table1[[#This Row],[TSP]])*Main!Q$199)</f>
        <v>#VALUE!</v>
      </c>
      <c r="U8" s="37">
        <f>IF((SUMIF(Main!C:C,Table1[[#This Row],[TSP]],Main!V:V))&gt;0,SUMIF(Main!C:C,Table1[[#This Row],[TSP]],Main!AC:AC)/(SUMIF(Main!C:C,Table1[[#This Row],[TSP]],Main!V:V)),1)</f>
        <v>0.88461538461538458</v>
      </c>
      <c r="V8" s="69" t="e">
        <f>RANK(Table1[[#This Row],[SAIDI]],R:R,1)</f>
        <v>#VALUE!</v>
      </c>
      <c r="W8" s="67">
        <f>RANK(Table1[[#This Row],[ASIFI]],S:S,1)</f>
        <v>28</v>
      </c>
      <c r="X8" s="67" t="e">
        <f>RANK(Table1[[#This Row],[ASAI]],T:T,0)</f>
        <v>#VALUE!</v>
      </c>
      <c r="Y8" s="74">
        <f>RANK(Table1[[#This Row],[FCI]],U:U,0)</f>
        <v>1</v>
      </c>
      <c r="Z8" s="25" t="e">
        <f>SUM(Table1[[#This Row],[Ranking SAIDI]:[Ranking FCI]])</f>
        <v>#VALUE!</v>
      </c>
      <c r="AA8" s="73" t="e">
        <f>RANK(Table1[[#This Row],[Total Points]],Z:Z,1)</f>
        <v>#VALUE!</v>
      </c>
    </row>
    <row r="9" spans="1:27" x14ac:dyDescent="0.35">
      <c r="A9" s="23">
        <v>8</v>
      </c>
      <c r="B9" s="8" t="s">
        <v>181</v>
      </c>
      <c r="C9" s="26" t="s">
        <v>330</v>
      </c>
      <c r="D9" s="23">
        <f>SUMIF(Main!C:C,'Ranking TSP'!C9,Main!F:F)</f>
        <v>21</v>
      </c>
      <c r="E9" s="23">
        <f>SUMIF(Main!C:C,'Ranking TSP'!C9,Main!V:V)</f>
        <v>20</v>
      </c>
      <c r="F9" s="23">
        <v>5</v>
      </c>
      <c r="G9" s="23">
        <f>SUMIF(Main!C:C,'Ranking TSP'!C9,Main!U:U)</f>
        <v>18</v>
      </c>
      <c r="H9" s="23">
        <f>SUMIF(Main!C:C,'Ranking TSP'!C9,Main!Y:Y)</f>
        <v>1</v>
      </c>
      <c r="I9" s="23">
        <f>SUMIF(Main!C:C,'Ranking TSP'!C9,Main!W:W)</f>
        <v>0</v>
      </c>
      <c r="J9" s="23">
        <f>SUMIF(Main!C:C,'Ranking TSP'!C9,Main!AD:AD)</f>
        <v>1</v>
      </c>
      <c r="K9" s="28">
        <f>SUMIF(Main!C:C,'Ranking TSP'!C9,Main!R:R)</f>
        <v>3.1145833333503106</v>
      </c>
      <c r="L9" s="28">
        <f>SUMIF(Main!C:C,Table1[[#This Row],[TSP]],Main!S:S)</f>
        <v>146.88541666664969</v>
      </c>
      <c r="M9" s="29">
        <f t="shared" si="1"/>
        <v>30</v>
      </c>
      <c r="N9" s="29">
        <f>SUMIF(Main!C:C,Table1[[#This Row],[TSP]],Main!AC:AC)</f>
        <v>16</v>
      </c>
      <c r="O9" s="29">
        <f>SUMIF(Main!C:C,Table1[[#This Row],[TSP]],Main!AD:AD)</f>
        <v>1</v>
      </c>
      <c r="P9" s="104">
        <f ca="1">AVERAGEIF(Main!C:C,Table1[[#This Row],[TSP]],Table4[[#All],[Total Interrruption]])</f>
        <v>4.2</v>
      </c>
      <c r="Q9" s="70">
        <f t="shared" si="0"/>
        <v>0.1483134920643005</v>
      </c>
      <c r="R9" s="37">
        <f>SUMIF(Main!C:C,Table1[[#This Row],[TSP]],Main!AH:AH)/SUMIF('Supply Hours'!C:C,Table1[[#This Row],[TSP]],'Supply Hours'!I:I)</f>
        <v>0.17748150249519221</v>
      </c>
      <c r="S9" s="37">
        <f>SUMIFS(Main!AI:AI,Main!C:C,Table1[[#This Row],[TSP]])/SUMIFS('Supply Hours'!J:J,'Supply Hours'!C:C,Table1[[#This Row],[TSP]])</f>
        <v>1.9417475728155345</v>
      </c>
      <c r="T9" s="68">
        <f>Table1[[#This Row],[Total Hours Available for Service]]/(COUNTIF(Main!C:C,Table1[[#This Row],[TSP]])*Main!Q$199)</f>
        <v>0.97923611111099795</v>
      </c>
      <c r="U9" s="37">
        <f>IF((SUMIF(Main!C:C,Table1[[#This Row],[TSP]],Main!V:V))&gt;0,SUMIF(Main!C:C,Table1[[#This Row],[TSP]],Main!AC:AC)/(SUMIF(Main!C:C,Table1[[#This Row],[TSP]],Main!V:V)),1)</f>
        <v>0.8</v>
      </c>
      <c r="V9" s="69" t="e">
        <f>RANK(Table1[[#This Row],[SAIDI]],R:R,1)</f>
        <v>#VALUE!</v>
      </c>
      <c r="W9" s="67">
        <f>RANK(Table1[[#This Row],[ASIFI]],S:S,1)</f>
        <v>23</v>
      </c>
      <c r="X9" s="67" t="e">
        <f>RANK(Table1[[#This Row],[ASAI]],T:T,0)</f>
        <v>#VALUE!</v>
      </c>
      <c r="Y9" s="74">
        <f>RANK(Table1[[#This Row],[FCI]],U:U,0)</f>
        <v>2</v>
      </c>
      <c r="Z9" s="25" t="e">
        <f>SUM(Table1[[#This Row],[Ranking SAIDI]:[Ranking FCI]])</f>
        <v>#VALUE!</v>
      </c>
      <c r="AA9" s="73" t="e">
        <f>RANK(Table1[[#This Row],[Total Points]],Z:Z,1)</f>
        <v>#VALUE!</v>
      </c>
    </row>
    <row r="10" spans="1:27" x14ac:dyDescent="0.35">
      <c r="A10" s="23">
        <v>9</v>
      </c>
      <c r="B10" s="8" t="s">
        <v>181</v>
      </c>
      <c r="C10" s="26" t="s">
        <v>240</v>
      </c>
      <c r="D10" s="23">
        <f>SUMIF(Main!C:C,'Ranking TSP'!C10,Main!F:F)</f>
        <v>22</v>
      </c>
      <c r="E10" s="23">
        <f>SUMIF(Main!C:C,'Ranking TSP'!C10,Main!V:V)</f>
        <v>19</v>
      </c>
      <c r="F10" s="23">
        <v>7</v>
      </c>
      <c r="G10" s="23">
        <f>SUMIF(Main!C:C,'Ranking TSP'!C10,Main!U:U)</f>
        <v>18</v>
      </c>
      <c r="H10" s="23">
        <f>SUMIF(Main!C:C,'Ranking TSP'!C10,Main!Y:Y)</f>
        <v>3</v>
      </c>
      <c r="I10" s="23">
        <f>SUMIF(Main!C:C,'Ranking TSP'!C10,Main!W:W)</f>
        <v>0</v>
      </c>
      <c r="J10" s="23">
        <f>SUMIF(Main!C:C,'Ranking TSP'!C10,Main!AD:AD)</f>
        <v>2</v>
      </c>
      <c r="K10" s="28">
        <f>SUMIF(Main!C:C,'Ranking TSP'!C10,Main!R:R)</f>
        <v>-89565.628472222219</v>
      </c>
      <c r="L10" s="28">
        <f>SUMIF(Main!C:C,Table1[[#This Row],[TSP]],Main!S:S)</f>
        <v>89775.628472222219</v>
      </c>
      <c r="M10" s="29">
        <f t="shared" si="1"/>
        <v>30</v>
      </c>
      <c r="N10" s="29">
        <f>SUMIF(Main!C:C,Table1[[#This Row],[TSP]],Main!AC:AC)</f>
        <v>13</v>
      </c>
      <c r="O10" s="29">
        <f>SUMIF(Main!C:C,Table1[[#This Row],[TSP]],Main!AD:AD)</f>
        <v>2</v>
      </c>
      <c r="P10" s="104">
        <f ca="1">AVERAGEIF(Main!C:C,Table1[[#This Row],[TSP]],Table4[[#All],[Total Interrruption]])</f>
        <v>3.1428571428571428</v>
      </c>
      <c r="Q10" s="70">
        <f t="shared" si="0"/>
        <v>-4071.1649305555552</v>
      </c>
      <c r="R10" s="37">
        <f>SUMIF(Main!C:C,Table1[[#This Row],[TSP]],Main!AH:AH)/SUMIF('Supply Hours'!C:C,Table1[[#This Row],[TSP]],'Supply Hours'!I:I)</f>
        <v>-10.276000813911812</v>
      </c>
      <c r="S10" s="37">
        <f>SUMIFS(Main!AI:AI,Main!C:C,Table1[[#This Row],[TSP]])/SUMIFS('Supply Hours'!J:J,'Supply Hours'!C:C,Table1[[#This Row],[TSP]])</f>
        <v>1.0258442999841448</v>
      </c>
      <c r="T10" s="68">
        <f>Table1[[#This Row],[Total Hours Available for Service]]/(COUNTIF(Main!C:C,Table1[[#This Row],[TSP]])*Main!Q$199)</f>
        <v>427.50299272486768</v>
      </c>
      <c r="U10" s="37">
        <f>IF((SUMIF(Main!C:C,Table1[[#This Row],[TSP]],Main!V:V))&gt;0,SUMIF(Main!C:C,Table1[[#This Row],[TSP]],Main!AC:AC)/(SUMIF(Main!C:C,Table1[[#This Row],[TSP]],Main!V:V)),1)</f>
        <v>0.68421052631578949</v>
      </c>
      <c r="V10" s="69" t="e">
        <f>RANK(Table1[[#This Row],[SAIDI]],R:R,1)</f>
        <v>#VALUE!</v>
      </c>
      <c r="W10" s="67">
        <f>RANK(Table1[[#This Row],[ASIFI]],S:S,1)</f>
        <v>16</v>
      </c>
      <c r="X10" s="67" t="e">
        <f>RANK(Table1[[#This Row],[ASAI]],T:T,0)</f>
        <v>#VALUE!</v>
      </c>
      <c r="Y10" s="74">
        <f>RANK(Table1[[#This Row],[FCI]],U:U,0)</f>
        <v>9</v>
      </c>
      <c r="Z10" s="25" t="e">
        <f>SUM(Table1[[#This Row],[Ranking SAIDI]:[Ranking FCI]])</f>
        <v>#VALUE!</v>
      </c>
      <c r="AA10" s="73" t="e">
        <f>RANK(Table1[[#This Row],[Total Points]],Z:Z,1)</f>
        <v>#VALUE!</v>
      </c>
    </row>
    <row r="11" spans="1:27" s="116" customFormat="1" x14ac:dyDescent="0.35">
      <c r="A11" s="23">
        <v>10</v>
      </c>
      <c r="B11" s="8" t="s">
        <v>181</v>
      </c>
      <c r="C11" s="26" t="s">
        <v>351</v>
      </c>
      <c r="D11" s="23">
        <f>SUMIF(Main!C:C,'Ranking TSP'!C11,Main!F:F)</f>
        <v>10</v>
      </c>
      <c r="E11" s="23">
        <f>SUMIF(Main!C:C,'Ranking TSP'!C11,Main!V:V)</f>
        <v>10</v>
      </c>
      <c r="F11" s="23">
        <v>5</v>
      </c>
      <c r="G11" s="23">
        <f>SUMIF(Main!C:C,'Ranking TSP'!C11,Main!U:U)</f>
        <v>9</v>
      </c>
      <c r="H11" s="23">
        <f>SUMIF(Main!C:C,'Ranking TSP'!C11,Main!Y:Y)</f>
        <v>0</v>
      </c>
      <c r="I11" s="23">
        <f>SUMIF(Main!C:C,'Ranking TSP'!C11,Main!W:W)</f>
        <v>0</v>
      </c>
      <c r="J11" s="23">
        <f>SUMIF(Main!C:C,'Ranking TSP'!C11,Main!AD:AD)</f>
        <v>0</v>
      </c>
      <c r="K11" s="28">
        <f>SUMIF(Main!C:C,'Ranking TSP'!C11,Main!R:R)</f>
        <v>-44779.777777777796</v>
      </c>
      <c r="L11" s="28">
        <f>SUMIF(Main!C:C,Table1[[#This Row],[TSP]],Main!S:S)</f>
        <v>44929.777777777796</v>
      </c>
      <c r="M11" s="29">
        <f t="shared" si="1"/>
        <v>30</v>
      </c>
      <c r="N11" s="29">
        <f>SUMIF(Main!C:C,Table1[[#This Row],[TSP]],Main!AC:AC)</f>
        <v>6</v>
      </c>
      <c r="O11" s="29">
        <f>SUMIF(Main!C:C,Table1[[#This Row],[TSP]],Main!AD:AD)</f>
        <v>0</v>
      </c>
      <c r="P11" s="104">
        <f ca="1">AVERAGEIF(Main!C:C,Table1[[#This Row],[TSP]],Table4[[#All],[Total Interrruption]])</f>
        <v>2</v>
      </c>
      <c r="Q11" s="70">
        <f t="shared" si="0"/>
        <v>-4477.9777777777799</v>
      </c>
      <c r="R11" s="37">
        <f>SUMIF(Main!C:C,Table1[[#This Row],[TSP]],Main!AH:AH)/SUMIF('Supply Hours'!C:C,Table1[[#This Row],[TSP]],'Supply Hours'!I:I)</f>
        <v>-2.9899945238619279</v>
      </c>
      <c r="S11" s="37">
        <f>SUMIFS(Main!AI:AI,Main!C:C,Table1[[#This Row],[TSP]])/SUMIFS('Supply Hours'!J:J,'Supply Hours'!C:C,Table1[[#This Row],[TSP]])</f>
        <v>0.59184931652458606</v>
      </c>
      <c r="T11" s="68">
        <f>Table1[[#This Row],[Total Hours Available for Service]]/(COUNTIF(Main!C:C,Table1[[#This Row],[TSP]])*Main!Q$199)</f>
        <v>299.53185185185197</v>
      </c>
      <c r="U11" s="37">
        <f>IF((SUMIF(Main!C:C,Table1[[#This Row],[TSP]],Main!V:V))&gt;0,SUMIF(Main!C:C,Table1[[#This Row],[TSP]],Main!AC:AC)/(SUMIF(Main!C:C,Table1[[#This Row],[TSP]],Main!V:V)),1)</f>
        <v>0.6</v>
      </c>
      <c r="V11" s="69" t="e">
        <f>RANK(Table1[[#This Row],[SAIDI]],R:R,1)</f>
        <v>#VALUE!</v>
      </c>
      <c r="W11" s="67">
        <f>RANK(Table1[[#This Row],[ASIFI]],S:S,1)</f>
        <v>12</v>
      </c>
      <c r="X11" s="67" t="e">
        <f>RANK(Table1[[#This Row],[ASAI]],T:T,0)</f>
        <v>#VALUE!</v>
      </c>
      <c r="Y11" s="74">
        <f>RANK(Table1[[#This Row],[FCI]],U:U,0)</f>
        <v>12</v>
      </c>
      <c r="Z11" s="25" t="e">
        <f>SUM(Table1[[#This Row],[Ranking SAIDI]:[Ranking FCI]])</f>
        <v>#VALUE!</v>
      </c>
      <c r="AA11" s="73" t="e">
        <f>RANK(Table1[[#This Row],[Total Points]],Z:Z,1)</f>
        <v>#VALUE!</v>
      </c>
    </row>
    <row r="12" spans="1:27" x14ac:dyDescent="0.35">
      <c r="A12" s="23">
        <v>11</v>
      </c>
      <c r="B12" s="8" t="s">
        <v>182</v>
      </c>
      <c r="C12" s="26" t="s">
        <v>241</v>
      </c>
      <c r="D12" s="23">
        <f>SUMIF(Main!C:C,'Ranking TSP'!C12,Main!F:F)</f>
        <v>42</v>
      </c>
      <c r="E12" s="23">
        <f>SUMIF(Main!C:C,'Ranking TSP'!C12,Main!V:V)</f>
        <v>39</v>
      </c>
      <c r="F12" s="23">
        <v>9</v>
      </c>
      <c r="G12" s="23">
        <f>SUMIF(Main!C:C,'Ranking TSP'!C12,Main!U:U)</f>
        <v>31</v>
      </c>
      <c r="H12" s="23">
        <f>SUMIF(Main!C:C,'Ranking TSP'!C12,Main!Y:Y)</f>
        <v>3</v>
      </c>
      <c r="I12" s="23">
        <f>SUMIF(Main!C:C,'Ranking TSP'!C12,Main!W:W)</f>
        <v>0</v>
      </c>
      <c r="J12" s="23">
        <f>SUMIF(Main!C:C,'Ranking TSP'!C12,Main!AD:AD)</f>
        <v>3</v>
      </c>
      <c r="K12" s="28">
        <f>SUMIF(Main!C:C,'Ranking TSP'!C12,Main!R:R)</f>
        <v>-89502.059722222242</v>
      </c>
      <c r="L12" s="28">
        <f>SUMIF(Main!C:C,Table1[[#This Row],[TSP]],Main!S:S)</f>
        <v>89772.059722222242</v>
      </c>
      <c r="M12" s="29">
        <f t="shared" si="1"/>
        <v>30</v>
      </c>
      <c r="N12" s="29">
        <f>SUMIF(Main!C:C,Table1[[#This Row],[TSP]],Main!AC:AC)</f>
        <v>24</v>
      </c>
      <c r="O12" s="29">
        <f>SUMIF(Main!C:C,Table1[[#This Row],[TSP]],Main!AD:AD)</f>
        <v>3</v>
      </c>
      <c r="P12" s="104">
        <f ca="1">AVERAGEIF(Main!C:C,Table1[[#This Row],[TSP]],Table4[[#All],[Total Interrruption]])</f>
        <v>4.666666666666667</v>
      </c>
      <c r="Q12" s="70">
        <f t="shared" si="0"/>
        <v>-2131.0014219576724</v>
      </c>
      <c r="R12" s="37">
        <f>SUMIF(Main!C:C,Table1[[#This Row],[TSP]],Main!AH:AH)/SUMIF('Supply Hours'!C:C,Table1[[#This Row],[TSP]],'Supply Hours'!I:I)</f>
        <v>-2.6438308570798053</v>
      </c>
      <c r="S12" s="37">
        <f>SUMIFS(Main!AI:AI,Main!C:C,Table1[[#This Row],[TSP]])/SUMIFS('Supply Hours'!J:J,'Supply Hours'!C:C,Table1[[#This Row],[TSP]])</f>
        <v>2.0262855684573182</v>
      </c>
      <c r="T12" s="68">
        <f>Table1[[#This Row],[Total Hours Available for Service]]/(COUNTIF(Main!C:C,Table1[[#This Row],[TSP]])*Main!Q$199)</f>
        <v>332.48911008230459</v>
      </c>
      <c r="U12" s="37">
        <f>IF((SUMIF(Main!C:C,Table1[[#This Row],[TSP]],Main!V:V))&gt;0,SUMIF(Main!C:C,Table1[[#This Row],[TSP]],Main!AC:AC)/(SUMIF(Main!C:C,Table1[[#This Row],[TSP]],Main!V:V)),1)</f>
        <v>0.61538461538461542</v>
      </c>
      <c r="V12" s="69" t="e">
        <f>RANK(Table1[[#This Row],[SAIDI]],R:R,1)</f>
        <v>#VALUE!</v>
      </c>
      <c r="W12" s="67">
        <f>RANK(Table1[[#This Row],[ASIFI]],S:S,1)</f>
        <v>24</v>
      </c>
      <c r="X12" s="67" t="e">
        <f>RANK(Table1[[#This Row],[ASAI]],T:T,0)</f>
        <v>#VALUE!</v>
      </c>
      <c r="Y12" s="74">
        <f>RANK(Table1[[#This Row],[FCI]],U:U,0)</f>
        <v>11</v>
      </c>
      <c r="Z12" s="25" t="e">
        <f>SUM(Table1[[#This Row],[Ranking SAIDI]:[Ranking FCI]])</f>
        <v>#VALUE!</v>
      </c>
      <c r="AA12" s="73" t="e">
        <f>RANK(Table1[[#This Row],[Total Points]],Z:Z,1)</f>
        <v>#VALUE!</v>
      </c>
    </row>
    <row r="13" spans="1:27" x14ac:dyDescent="0.35">
      <c r="A13" s="23">
        <v>12</v>
      </c>
      <c r="B13" s="8" t="s">
        <v>182</v>
      </c>
      <c r="C13" s="26" t="s">
        <v>242</v>
      </c>
      <c r="D13" s="23">
        <f>SUMIF(Main!C:C,'Ranking TSP'!C13,Main!F:F)</f>
        <v>51</v>
      </c>
      <c r="E13" s="23">
        <f>SUMIF(Main!C:C,'Ranking TSP'!C13,Main!V:V)</f>
        <v>48</v>
      </c>
      <c r="F13" s="23">
        <v>7</v>
      </c>
      <c r="G13" s="23">
        <f>SUMIF(Main!C:C,'Ranking TSP'!C13,Main!U:U)</f>
        <v>48</v>
      </c>
      <c r="H13" s="23">
        <f>SUMIF(Main!C:C,'Ranking TSP'!C13,Main!Y:Y)</f>
        <v>3</v>
      </c>
      <c r="I13" s="23">
        <f>SUMIF(Main!C:C,'Ranking TSP'!C13,Main!W:W)</f>
        <v>0</v>
      </c>
      <c r="J13" s="23">
        <f>SUMIF(Main!C:C,'Ranking TSP'!C13,Main!AD:AD)</f>
        <v>1</v>
      </c>
      <c r="K13" s="28">
        <f>SUMIF(Main!C:C,'Ranking TSP'!C13,Main!R:R)</f>
        <v>-223906.06875000001</v>
      </c>
      <c r="L13" s="28">
        <f>SUMIF(Main!C:C,Table1[[#This Row],[TSP]],Main!S:S)</f>
        <v>224146.06875000001</v>
      </c>
      <c r="M13" s="29">
        <f t="shared" si="1"/>
        <v>30</v>
      </c>
      <c r="N13" s="29">
        <f>SUMIF(Main!C:C,Table1[[#This Row],[TSP]],Main!AC:AC)</f>
        <v>30</v>
      </c>
      <c r="O13" s="29">
        <f>SUMIF(Main!C:C,Table1[[#This Row],[TSP]],Main!AD:AD)</f>
        <v>1</v>
      </c>
      <c r="P13" s="104">
        <f ca="1">AVERAGEIF(Main!C:C,Table1[[#This Row],[TSP]],Table4[[#All],[Total Interrruption]])</f>
        <v>6.375</v>
      </c>
      <c r="Q13" s="70">
        <f t="shared" si="0"/>
        <v>-4390.3150735294121</v>
      </c>
      <c r="R13" s="37">
        <f>SUMIF(Main!C:C,Table1[[#This Row],[TSP]],Main!AH:AH)/SUMIF('Supply Hours'!C:C,Table1[[#This Row],[TSP]],'Supply Hours'!I:I)</f>
        <v>-8.0915890890147733</v>
      </c>
      <c r="S13" s="37">
        <f>SUMIFS(Main!AI:AI,Main!C:C,Table1[[#This Row],[TSP]])/SUMIFS('Supply Hours'!J:J,'Supply Hours'!C:C,Table1[[#This Row],[TSP]])</f>
        <v>1.6316000803051596</v>
      </c>
      <c r="T13" s="68">
        <f>Table1[[#This Row],[Total Hours Available for Service]]/(COUNTIF(Main!C:C,Table1[[#This Row],[TSP]])*Main!Q$199)</f>
        <v>933.94195312500005</v>
      </c>
      <c r="U13" s="37">
        <f>IF((SUMIF(Main!C:C,Table1[[#This Row],[TSP]],Main!V:V))&gt;0,SUMIF(Main!C:C,Table1[[#This Row],[TSP]],Main!AC:AC)/(SUMIF(Main!C:C,Table1[[#This Row],[TSP]],Main!V:V)),1)</f>
        <v>0.625</v>
      </c>
      <c r="V13" s="69" t="e">
        <f>RANK(Table1[[#This Row],[SAIDI]],R:R,1)</f>
        <v>#VALUE!</v>
      </c>
      <c r="W13" s="67">
        <f>RANK(Table1[[#This Row],[ASIFI]],S:S,1)</f>
        <v>22</v>
      </c>
      <c r="X13" s="67" t="e">
        <f>RANK(Table1[[#This Row],[ASAI]],T:T,0)</f>
        <v>#VALUE!</v>
      </c>
      <c r="Y13" s="74">
        <f>RANK(Table1[[#This Row],[FCI]],U:U,0)</f>
        <v>10</v>
      </c>
      <c r="Z13" s="25" t="e">
        <f>SUM(Table1[[#This Row],[Ranking SAIDI]:[Ranking FCI]])</f>
        <v>#VALUE!</v>
      </c>
      <c r="AA13" s="73" t="e">
        <f>RANK(Table1[[#This Row],[Total Points]],Z:Z,1)</f>
        <v>#VALUE!</v>
      </c>
    </row>
    <row r="14" spans="1:27" s="157" customFormat="1" x14ac:dyDescent="0.35">
      <c r="A14" s="23">
        <v>13</v>
      </c>
      <c r="B14" s="8" t="s">
        <v>182</v>
      </c>
      <c r="C14" s="26" t="s">
        <v>352</v>
      </c>
      <c r="D14" s="23">
        <f>SUMIF(Main!C:C,'Ranking TSP'!C14,Main!F:F)</f>
        <v>47</v>
      </c>
      <c r="E14" s="23">
        <f>SUMIF(Main!C:C,'Ranking TSP'!C14,Main!V:V)</f>
        <v>47</v>
      </c>
      <c r="F14" s="23">
        <v>5</v>
      </c>
      <c r="G14" s="23">
        <f>SUMIF(Main!C:C,'Ranking TSP'!C14,Main!U:U)</f>
        <v>44</v>
      </c>
      <c r="H14" s="23">
        <f>SUMIF(Main!C:C,'Ranking TSP'!C14,Main!Y:Y)</f>
        <v>0</v>
      </c>
      <c r="I14" s="23">
        <f>SUMIF(Main!C:C,'Ranking TSP'!C14,Main!W:W)</f>
        <v>0</v>
      </c>
      <c r="J14" s="23">
        <f>SUMIF(Main!C:C,'Ranking TSP'!C14,Main!AD:AD)</f>
        <v>0</v>
      </c>
      <c r="K14" s="28">
        <f>SUMIF(Main!C:C,'Ranking TSP'!C14,Main!R:R)</f>
        <v>-134338.14027777783</v>
      </c>
      <c r="L14" s="28">
        <f>SUMIF(Main!C:C,Table1[[#This Row],[TSP]],Main!S:S)</f>
        <v>134518.14027777783</v>
      </c>
      <c r="M14" s="29">
        <f t="shared" si="1"/>
        <v>30</v>
      </c>
      <c r="N14" s="29">
        <f>SUMIF(Main!C:C,Table1[[#This Row],[TSP]],Main!AC:AC)</f>
        <v>22</v>
      </c>
      <c r="O14" s="29">
        <f>SUMIF(Main!C:C,Table1[[#This Row],[TSP]],Main!AD:AD)</f>
        <v>0</v>
      </c>
      <c r="P14" s="104">
        <f ca="1">AVERAGEIF(Main!C:C,Table1[[#This Row],[TSP]],Table4[[#All],[Total Interrruption]])</f>
        <v>7.833333333333333</v>
      </c>
      <c r="Q14" s="70">
        <f>K14/D14</f>
        <v>-2858.258303782507</v>
      </c>
      <c r="R14" s="37">
        <f>SUMIF(Main!C:C,Table1[[#This Row],[TSP]],Main!AH:AH)/SUMIF('Supply Hours'!C:C,Table1[[#This Row],[TSP]],'Supply Hours'!I:I)</f>
        <v>-1.7301721946732289</v>
      </c>
      <c r="S14" s="37">
        <f>SUMIFS(Main!AI:AI,Main!C:C,Table1[[#This Row],[TSP]])/SUMIFS('Supply Hours'!J:J,'Supply Hours'!C:C,Table1[[#This Row],[TSP]])</f>
        <v>2.7026173047553845</v>
      </c>
      <c r="T14" s="68">
        <f>Table1[[#This Row],[Total Hours Available for Service]]/(COUNTIF(Main!C:C,Table1[[#This Row],[TSP]])*Main!Q$199)</f>
        <v>747.32300154321013</v>
      </c>
      <c r="U14" s="37">
        <f>IF((SUMIF(Main!C:C,Table1[[#This Row],[TSP]],Main!V:V))&gt;0,SUMIF(Main!C:C,Table1[[#This Row],[TSP]],Main!AC:AC)/(SUMIF(Main!C:C,Table1[[#This Row],[TSP]],Main!V:V)),1)</f>
        <v>0.46808510638297873</v>
      </c>
      <c r="V14" s="69" t="e">
        <f>RANK(Table1[[#This Row],[SAIDI]],R:R,1)</f>
        <v>#VALUE!</v>
      </c>
      <c r="W14" s="67">
        <f>RANK(Table1[[#This Row],[ASIFI]],S:S,1)</f>
        <v>27</v>
      </c>
      <c r="X14" s="67" t="e">
        <f>RANK(Table1[[#This Row],[ASAI]],T:T,0)</f>
        <v>#VALUE!</v>
      </c>
      <c r="Y14" s="74">
        <f>RANK(Table1[[#This Row],[FCI]],U:U,0)</f>
        <v>19</v>
      </c>
      <c r="Z14" s="25" t="e">
        <f>SUM(Table1[[#This Row],[Ranking SAIDI]:[Ranking FCI]])</f>
        <v>#VALUE!</v>
      </c>
      <c r="AA14" s="73" t="e">
        <f>RANK(Table1[[#This Row],[Total Points]],Z:Z,1)</f>
        <v>#VALUE!</v>
      </c>
    </row>
    <row r="15" spans="1:27" x14ac:dyDescent="0.35">
      <c r="A15" s="23">
        <v>14</v>
      </c>
      <c r="B15" s="8" t="s">
        <v>183</v>
      </c>
      <c r="C15" s="26" t="s">
        <v>256</v>
      </c>
      <c r="D15" s="23">
        <f>SUMIF(Main!C:C,'Ranking TSP'!C15,Main!F:F)</f>
        <v>33</v>
      </c>
      <c r="E15" s="23">
        <f>SUMIF(Main!C:C,'Ranking TSP'!C15,Main!V:V)</f>
        <v>33</v>
      </c>
      <c r="F15" s="23">
        <v>5</v>
      </c>
      <c r="G15" s="23">
        <f>SUMIF(Main!C:C,'Ranking TSP'!C15,Main!U:U)</f>
        <v>33</v>
      </c>
      <c r="H15" s="23">
        <f>SUMIF(Main!C:C,'Ranking TSP'!C15,Main!Y:Y)</f>
        <v>0</v>
      </c>
      <c r="I15" s="23">
        <f>SUMIF(Main!C:C,'Ranking TSP'!C15,Main!W:W)</f>
        <v>0</v>
      </c>
      <c r="J15" s="23">
        <f>SUMIF(Main!C:C,'Ranking TSP'!C15,Main!AD:AD)</f>
        <v>0</v>
      </c>
      <c r="K15" s="28">
        <f>SUMIF(Main!C:C,'Ranking TSP'!C15,Main!R:R)</f>
        <v>5.334027777738811</v>
      </c>
      <c r="L15" s="28">
        <f>SUMIF(Main!C:C,Table1[[#This Row],[TSP]],Main!S:S)</f>
        <v>144.66597222226119</v>
      </c>
      <c r="M15" s="29">
        <f t="shared" si="1"/>
        <v>30</v>
      </c>
      <c r="N15" s="29">
        <f>SUMIF(Main!C:C,Table1[[#This Row],[TSP]],Main!AC:AC)</f>
        <v>26</v>
      </c>
      <c r="O15" s="29">
        <f>SUMIF(Main!C:C,Table1[[#This Row],[TSP]],Main!AD:AD)</f>
        <v>0</v>
      </c>
      <c r="P15" s="104">
        <f ca="1">AVERAGEIF(Main!C:C,Table1[[#This Row],[TSP]],Table4[[#All],[Total Interrruption]])</f>
        <v>6.6</v>
      </c>
      <c r="Q15" s="70">
        <f t="shared" si="0"/>
        <v>0.16163720538602458</v>
      </c>
      <c r="R15" s="37">
        <f>SUMIF(Main!C:C,Table1[[#This Row],[TSP]],Main!AH:AH)/SUMIF('Supply Hours'!C:C,Table1[[#This Row],[TSP]],'Supply Hours'!I:I)</f>
        <v>9.823677202253131E-2</v>
      </c>
      <c r="S15" s="37">
        <f>SUMIFS(Main!AI:AI,Main!C:C,Table1[[#This Row],[TSP]])/SUMIFS('Supply Hours'!J:J,'Supply Hours'!C:C,Table1[[#This Row],[TSP]])</f>
        <v>1.270020064763494</v>
      </c>
      <c r="T15" s="68">
        <f>Table1[[#This Row],[Total Hours Available for Service]]/(COUNTIF(Main!C:C,Table1[[#This Row],[TSP]])*Main!Q$199)</f>
        <v>0.96443981481507457</v>
      </c>
      <c r="U15" s="37">
        <f>IF((SUMIF(Main!C:C,Table1[[#This Row],[TSP]],Main!V:V))&gt;0,SUMIF(Main!C:C,Table1[[#This Row],[TSP]],Main!AC:AC)/(SUMIF(Main!C:C,Table1[[#This Row],[TSP]],Main!V:V)),1)</f>
        <v>0.78787878787878785</v>
      </c>
      <c r="V15" s="69" t="e">
        <f>RANK(Table1[[#This Row],[SAIDI]],R:R,1)</f>
        <v>#VALUE!</v>
      </c>
      <c r="W15" s="67">
        <f>RANK(Table1[[#This Row],[ASIFI]],S:S,1)</f>
        <v>19</v>
      </c>
      <c r="X15" s="67" t="e">
        <f>RANK(Table1[[#This Row],[ASAI]],T:T,0)</f>
        <v>#VALUE!</v>
      </c>
      <c r="Y15" s="74">
        <f>RANK(Table1[[#This Row],[FCI]],U:U,0)</f>
        <v>3</v>
      </c>
      <c r="Z15" s="25" t="e">
        <f>SUM(Table1[[#This Row],[Ranking SAIDI]:[Ranking FCI]])</f>
        <v>#VALUE!</v>
      </c>
      <c r="AA15" s="73" t="e">
        <f>RANK(Table1[[#This Row],[Total Points]],Z:Z,1)</f>
        <v>#VALUE!</v>
      </c>
    </row>
    <row r="16" spans="1:27" x14ac:dyDescent="0.35">
      <c r="A16" s="23">
        <v>15</v>
      </c>
      <c r="B16" s="8" t="s">
        <v>183</v>
      </c>
      <c r="C16" s="26" t="s">
        <v>243</v>
      </c>
      <c r="D16" s="23">
        <f>SUMIF(Main!C:C,'Ranking TSP'!C16,Main!F:F)</f>
        <v>26</v>
      </c>
      <c r="E16" s="23">
        <f>SUMIF(Main!C:C,'Ranking TSP'!C16,Main!V:V)</f>
        <v>23</v>
      </c>
      <c r="F16" s="23">
        <v>7</v>
      </c>
      <c r="G16" s="23">
        <f>SUMIF(Main!C:C,'Ranking TSP'!C16,Main!U:U)</f>
        <v>21</v>
      </c>
      <c r="H16" s="23">
        <f>SUMIF(Main!C:C,'Ranking TSP'!C16,Main!Y:Y)</f>
        <v>3</v>
      </c>
      <c r="I16" s="23">
        <f>SUMIF(Main!C:C,'Ranking TSP'!C16,Main!W:W)</f>
        <v>0</v>
      </c>
      <c r="J16" s="23">
        <f>SUMIF(Main!C:C,'Ranking TSP'!C16,Main!AD:AD)</f>
        <v>0</v>
      </c>
      <c r="K16" s="28">
        <f>SUMIF(Main!C:C,'Ranking TSP'!C16,Main!R:R)</f>
        <v>7.000694444453984</v>
      </c>
      <c r="L16" s="28">
        <f>SUMIF(Main!C:C,Table1[[#This Row],[TSP]],Main!S:S)</f>
        <v>202.99930555554602</v>
      </c>
      <c r="M16" s="29">
        <f t="shared" si="1"/>
        <v>30</v>
      </c>
      <c r="N16" s="29">
        <f>SUMIF(Main!C:C,Table1[[#This Row],[TSP]],Main!AC:AC)</f>
        <v>12</v>
      </c>
      <c r="O16" s="29">
        <f>SUMIF(Main!C:C,Table1[[#This Row],[TSP]],Main!AD:AD)</f>
        <v>0</v>
      </c>
      <c r="P16" s="104">
        <f ca="1">AVERAGEIF(Main!C:C,Table1[[#This Row],[TSP]],Table4[[#All],[Total Interrruption]])</f>
        <v>3.7142857142857144</v>
      </c>
      <c r="Q16" s="70">
        <f t="shared" si="0"/>
        <v>0.26925747863284555</v>
      </c>
      <c r="R16" s="37">
        <f>SUMIF(Main!C:C,Table1[[#This Row],[TSP]],Main!AH:AH)/SUMIF('Supply Hours'!C:C,Table1[[#This Row],[TSP]],'Supply Hours'!I:I)</f>
        <v>0.10345889251150957</v>
      </c>
      <c r="S16" s="37">
        <f>SUMIFS(Main!AI:AI,Main!C:C,Table1[[#This Row],[TSP]])/SUMIFS('Supply Hours'!J:J,'Supply Hours'!C:C,Table1[[#This Row],[TSP]])</f>
        <v>0.82262790173540667</v>
      </c>
      <c r="T16" s="68">
        <f>Table1[[#This Row],[Total Hours Available for Service]]/(COUNTIF(Main!C:C,Table1[[#This Row],[TSP]])*Main!Q$199)</f>
        <v>0.96666335978831441</v>
      </c>
      <c r="U16" s="37">
        <f>IF((SUMIF(Main!C:C,Table1[[#This Row],[TSP]],Main!V:V))&gt;0,SUMIF(Main!C:C,Table1[[#This Row],[TSP]],Main!AC:AC)/(SUMIF(Main!C:C,Table1[[#This Row],[TSP]],Main!V:V)),1)</f>
        <v>0.52173913043478259</v>
      </c>
      <c r="V16" s="69" t="e">
        <f>RANK(Table1[[#This Row],[SAIDI]],R:R,1)</f>
        <v>#VALUE!</v>
      </c>
      <c r="W16" s="67">
        <f>RANK(Table1[[#This Row],[ASIFI]],S:S,1)</f>
        <v>15</v>
      </c>
      <c r="X16" s="67" t="e">
        <f>RANK(Table1[[#This Row],[ASAI]],T:T,0)</f>
        <v>#VALUE!</v>
      </c>
      <c r="Y16" s="74">
        <f>RANK(Table1[[#This Row],[FCI]],U:U,0)</f>
        <v>17</v>
      </c>
      <c r="Z16" s="25" t="e">
        <f>SUM(Table1[[#This Row],[Ranking SAIDI]:[Ranking FCI]])</f>
        <v>#VALUE!</v>
      </c>
      <c r="AA16" s="73" t="e">
        <f>RANK(Table1[[#This Row],[Total Points]],Z:Z,1)</f>
        <v>#VALUE!</v>
      </c>
    </row>
    <row r="17" spans="1:27" x14ac:dyDescent="0.35">
      <c r="A17" s="23">
        <v>16</v>
      </c>
      <c r="B17" s="8" t="s">
        <v>183</v>
      </c>
      <c r="C17" s="26" t="s">
        <v>244</v>
      </c>
      <c r="D17" s="23">
        <f>SUMIF(Main!C:C,'Ranking TSP'!C17,Main!F:F)</f>
        <v>18</v>
      </c>
      <c r="E17" s="23">
        <f>SUMIF(Main!C:C,'Ranking TSP'!C17,Main!V:V)</f>
        <v>18</v>
      </c>
      <c r="F17" s="23">
        <v>5</v>
      </c>
      <c r="G17" s="23">
        <f>SUMIF(Main!C:C,'Ranking TSP'!C17,Main!U:U)</f>
        <v>17</v>
      </c>
      <c r="H17" s="23">
        <f>SUMIF(Main!C:C,'Ranking TSP'!C17,Main!Y:Y)</f>
        <v>0</v>
      </c>
      <c r="I17" s="23">
        <f>SUMIF(Main!C:C,'Ranking TSP'!C17,Main!W:W)</f>
        <v>0</v>
      </c>
      <c r="J17" s="23">
        <f>SUMIF(Main!C:C,'Ranking TSP'!C17,Main!AD:AD)</f>
        <v>0</v>
      </c>
      <c r="K17" s="28">
        <f>SUMIF(Main!C:C,'Ranking TSP'!C17,Main!R:R)</f>
        <v>4.3527777777781012</v>
      </c>
      <c r="L17" s="28">
        <f>SUMIF(Main!C:C,Table1[[#This Row],[TSP]],Main!S:S)</f>
        <v>145.6472222222219</v>
      </c>
      <c r="M17" s="29">
        <f t="shared" si="1"/>
        <v>30</v>
      </c>
      <c r="N17" s="29">
        <f>SUMIF(Main!C:C,Table1[[#This Row],[TSP]],Main!AC:AC)</f>
        <v>14</v>
      </c>
      <c r="O17" s="29">
        <f>SUMIF(Main!C:C,Table1[[#This Row],[TSP]],Main!AD:AD)</f>
        <v>0</v>
      </c>
      <c r="P17" s="104">
        <f ca="1">AVERAGEIF(Main!C:C,Table1[[#This Row],[TSP]],Table4[[#All],[Total Interrruption]])</f>
        <v>3.6</v>
      </c>
      <c r="Q17" s="70">
        <f t="shared" si="0"/>
        <v>0.24182098765433896</v>
      </c>
      <c r="R17" s="37">
        <f>SUMIF(Main!C:C,Table1[[#This Row],[TSP]],Main!AH:AH)/SUMIF('Supply Hours'!C:C,Table1[[#This Row],[TSP]],'Supply Hours'!I:I)</f>
        <v>7.1951824232763348E-2</v>
      </c>
      <c r="S17" s="37">
        <f>SUMIFS(Main!AI:AI,Main!C:C,Table1[[#This Row],[TSP]])/SUMIFS('Supply Hours'!J:J,'Supply Hours'!C:C,Table1[[#This Row],[TSP]])</f>
        <v>1.0942906574394464</v>
      </c>
      <c r="T17" s="68">
        <f>Table1[[#This Row],[Total Hours Available for Service]]/(COUNTIF(Main!C:C,Table1[[#This Row],[TSP]])*Main!Q$199)</f>
        <v>0.97098148148147934</v>
      </c>
      <c r="U17" s="37">
        <f>IF((SUMIF(Main!C:C,Table1[[#This Row],[TSP]],Main!V:V))&gt;0,SUMIF(Main!C:C,Table1[[#This Row],[TSP]],Main!AC:AC)/(SUMIF(Main!C:C,Table1[[#This Row],[TSP]],Main!V:V)),1)</f>
        <v>0.77777777777777779</v>
      </c>
      <c r="V17" s="69" t="e">
        <f>RANK(Table1[[#This Row],[SAIDI]],R:R,1)</f>
        <v>#VALUE!</v>
      </c>
      <c r="W17" s="67">
        <f>RANK(Table1[[#This Row],[ASIFI]],S:S,1)</f>
        <v>18</v>
      </c>
      <c r="X17" s="67" t="e">
        <f>RANK(Table1[[#This Row],[ASAI]],T:T,0)</f>
        <v>#VALUE!</v>
      </c>
      <c r="Y17" s="74">
        <f>RANK(Table1[[#This Row],[FCI]],U:U,0)</f>
        <v>5</v>
      </c>
      <c r="Z17" s="25" t="e">
        <f>SUM(Table1[[#This Row],[Ranking SAIDI]:[Ranking FCI]])</f>
        <v>#VALUE!</v>
      </c>
      <c r="AA17" s="73" t="e">
        <f>RANK(Table1[[#This Row],[Total Points]],Z:Z,1)</f>
        <v>#VALUE!</v>
      </c>
    </row>
    <row r="18" spans="1:27" x14ac:dyDescent="0.35">
      <c r="A18" s="23">
        <v>17</v>
      </c>
      <c r="B18" s="8" t="s">
        <v>184</v>
      </c>
      <c r="C18" s="26" t="s">
        <v>245</v>
      </c>
      <c r="D18" s="23">
        <f>SUMIF(Main!C:C,'Ranking TSP'!C18,Main!F:F)</f>
        <v>17</v>
      </c>
      <c r="E18" s="23">
        <f>SUMIF(Main!C:C,'Ranking TSP'!C18,Main!V:V)</f>
        <v>17</v>
      </c>
      <c r="F18" s="23">
        <v>5</v>
      </c>
      <c r="G18" s="23">
        <f>SUMIF(Main!C:C,'Ranking TSP'!C18,Main!U:U)</f>
        <v>17</v>
      </c>
      <c r="H18" s="23">
        <f>SUMIF(Main!C:C,'Ranking TSP'!C18,Main!Y:Y)</f>
        <v>0</v>
      </c>
      <c r="I18" s="23">
        <f>SUMIF(Main!C:C,'Ranking TSP'!C18,Main!W:W)</f>
        <v>0</v>
      </c>
      <c r="J18" s="23">
        <f>SUMIF(Main!C:C,'Ranking TSP'!C18,Main!AD:AD)</f>
        <v>0</v>
      </c>
      <c r="K18" s="28">
        <f>SUMIF(Main!C:C,'Ranking TSP'!C18,Main!R:R)</f>
        <v>-44776.239583333328</v>
      </c>
      <c r="L18" s="28">
        <f>SUMIF(Main!C:C,Table1[[#This Row],[TSP]],Main!S:S)</f>
        <v>44926.239583333328</v>
      </c>
      <c r="M18" s="29">
        <f t="shared" si="1"/>
        <v>30</v>
      </c>
      <c r="N18" s="29">
        <f>SUMIF(Main!C:C,Table1[[#This Row],[TSP]],Main!AC:AC)</f>
        <v>7</v>
      </c>
      <c r="O18" s="29">
        <f>SUMIF(Main!C:C,Table1[[#This Row],[TSP]],Main!AD:AD)</f>
        <v>0</v>
      </c>
      <c r="P18" s="104">
        <f ca="1">AVERAGEIF(Main!C:C,Table1[[#This Row],[TSP]],Table4[[#All],[Total Interrruption]])</f>
        <v>3.4</v>
      </c>
      <c r="Q18" s="70">
        <f t="shared" si="0"/>
        <v>-2633.8964460784309</v>
      </c>
      <c r="R18" s="37">
        <f>SUMIF(Main!C:C,Table1[[#This Row],[TSP]],Main!AH:AH)/SUMIF('Supply Hours'!C:C,Table1[[#This Row],[TSP]],'Supply Hours'!I:I)</f>
        <v>-2.3920416466589485</v>
      </c>
      <c r="S18" s="37">
        <f>SUMIFS(Main!AI:AI,Main!C:C,Table1[[#This Row],[TSP]])/SUMIFS('Supply Hours'!J:J,'Supply Hours'!C:C,Table1[[#This Row],[TSP]])</f>
        <v>0.45498049031878079</v>
      </c>
      <c r="T18" s="68">
        <f>Table1[[#This Row],[Total Hours Available for Service]]/(COUNTIF(Main!C:C,Table1[[#This Row],[TSP]])*Main!Q$199)</f>
        <v>299.50826388888885</v>
      </c>
      <c r="U18" s="37">
        <f>IF((SUMIF(Main!C:C,Table1[[#This Row],[TSP]],Main!V:V))&gt;0,SUMIF(Main!C:C,Table1[[#This Row],[TSP]],Main!AC:AC)/(SUMIF(Main!C:C,Table1[[#This Row],[TSP]],Main!V:V)),1)</f>
        <v>0.41176470588235292</v>
      </c>
      <c r="V18" s="69" t="e">
        <f>RANK(Table1[[#This Row],[SAIDI]],R:R,1)</f>
        <v>#VALUE!</v>
      </c>
      <c r="W18" s="67">
        <f>RANK(Table1[[#This Row],[ASIFI]],S:S,1)</f>
        <v>9</v>
      </c>
      <c r="X18" s="67" t="e">
        <f>RANK(Table1[[#This Row],[ASAI]],T:T,0)</f>
        <v>#VALUE!</v>
      </c>
      <c r="Y18" s="74">
        <f>RANK(Table1[[#This Row],[FCI]],U:U,0)</f>
        <v>21</v>
      </c>
      <c r="Z18" s="25" t="e">
        <f>SUM(Table1[[#This Row],[Ranking SAIDI]:[Ranking FCI]])</f>
        <v>#VALUE!</v>
      </c>
      <c r="AA18" s="73" t="e">
        <f>RANK(Table1[[#This Row],[Total Points]],Z:Z,1)</f>
        <v>#VALUE!</v>
      </c>
    </row>
    <row r="19" spans="1:27" x14ac:dyDescent="0.35">
      <c r="A19" s="23">
        <v>18</v>
      </c>
      <c r="B19" s="8" t="s">
        <v>184</v>
      </c>
      <c r="C19" s="26" t="s">
        <v>246</v>
      </c>
      <c r="D19" s="23">
        <f>SUMIF(Main!C:C,'Ranking TSP'!C19,Main!F:F)</f>
        <v>12</v>
      </c>
      <c r="E19" s="23">
        <f>SUMIF(Main!C:C,'Ranking TSP'!C19,Main!V:V)</f>
        <v>12</v>
      </c>
      <c r="F19" s="23">
        <v>9</v>
      </c>
      <c r="G19" s="23">
        <f>SUMIF(Main!C:C,'Ranking TSP'!C19,Main!U:U)</f>
        <v>12</v>
      </c>
      <c r="H19" s="23">
        <f>SUMIF(Main!C:C,'Ranking TSP'!C19,Main!Y:Y)</f>
        <v>0</v>
      </c>
      <c r="I19" s="23">
        <f>SUMIF(Main!C:C,'Ranking TSP'!C19,Main!W:W)</f>
        <v>0</v>
      </c>
      <c r="J19" s="23">
        <f>SUMIF(Main!C:C,'Ranking TSP'!C19,Main!AD:AD)</f>
        <v>0</v>
      </c>
      <c r="K19" s="28">
        <f>SUMIF(Main!C:C,'Ranking TSP'!C19,Main!R:R)</f>
        <v>1.4673611110993079</v>
      </c>
      <c r="L19" s="28">
        <f>SUMIF(Main!C:C,Table1[[#This Row],[TSP]],Main!S:S)</f>
        <v>298.53263888890069</v>
      </c>
      <c r="M19" s="29">
        <f t="shared" si="1"/>
        <v>30</v>
      </c>
      <c r="N19" s="29">
        <f>SUMIF(Main!C:C,Table1[[#This Row],[TSP]],Main!AC:AC)</f>
        <v>9</v>
      </c>
      <c r="O19" s="29">
        <f>SUMIF(Main!C:C,Table1[[#This Row],[TSP]],Main!AD:AD)</f>
        <v>0</v>
      </c>
      <c r="P19" s="104">
        <f ca="1">AVERAGEIF(Main!C:C,Table1[[#This Row],[TSP]],Table4[[#All],[Total Interrruption]])</f>
        <v>1.2</v>
      </c>
      <c r="Q19" s="70">
        <f t="shared" si="0"/>
        <v>0.12228009259160899</v>
      </c>
      <c r="R19" s="37">
        <f>SUMIF(Main!C:C,Table1[[#This Row],[TSP]],Main!AH:AH)/SUMIF('Supply Hours'!C:C,Table1[[#This Row],[TSP]],'Supply Hours'!I:I)</f>
        <v>1.725523218877861E-2</v>
      </c>
      <c r="S19" s="37">
        <f>SUMIFS(Main!AI:AI,Main!C:C,Table1[[#This Row],[TSP]])/SUMIFS('Supply Hours'!J:J,'Supply Hours'!C:C,Table1[[#This Row],[TSP]])</f>
        <v>0.38643790849673199</v>
      </c>
      <c r="T19" s="68">
        <f>Table1[[#This Row],[Total Hours Available for Service]]/(COUNTIF(Main!C:C,Table1[[#This Row],[TSP]])*Main!Q$199)</f>
        <v>0.99510879629633564</v>
      </c>
      <c r="U19" s="37">
        <f>IF((SUMIF(Main!C:C,Table1[[#This Row],[TSP]],Main!V:V))&gt;0,SUMIF(Main!C:C,Table1[[#This Row],[TSP]],Main!AC:AC)/(SUMIF(Main!C:C,Table1[[#This Row],[TSP]],Main!V:V)),1)</f>
        <v>0.75</v>
      </c>
      <c r="V19" s="69" t="e">
        <f>RANK(Table1[[#This Row],[SAIDI]],R:R,1)</f>
        <v>#VALUE!</v>
      </c>
      <c r="W19" s="67">
        <f>RANK(Table1[[#This Row],[ASIFI]],S:S,1)</f>
        <v>8</v>
      </c>
      <c r="X19" s="67" t="e">
        <f>RANK(Table1[[#This Row],[ASAI]],T:T,0)</f>
        <v>#VALUE!</v>
      </c>
      <c r="Y19" s="74">
        <f>RANK(Table1[[#This Row],[FCI]],U:U,0)</f>
        <v>8</v>
      </c>
      <c r="Z19" s="25" t="e">
        <f>SUM(Table1[[#This Row],[Ranking SAIDI]:[Ranking FCI]])</f>
        <v>#VALUE!</v>
      </c>
      <c r="AA19" s="73" t="e">
        <f>RANK(Table1[[#This Row],[Total Points]],Z:Z,1)</f>
        <v>#VALUE!</v>
      </c>
    </row>
    <row r="20" spans="1:27" x14ac:dyDescent="0.35">
      <c r="A20" s="23">
        <v>19</v>
      </c>
      <c r="B20" s="8" t="s">
        <v>184</v>
      </c>
      <c r="C20" s="26" t="s">
        <v>247</v>
      </c>
      <c r="D20" s="23">
        <f>SUMIF(Main!C:C,'Ranking TSP'!C20,Main!F:F)</f>
        <v>17</v>
      </c>
      <c r="E20" s="23">
        <f>SUMIF(Main!C:C,'Ranking TSP'!C20,Main!V:V)</f>
        <v>17</v>
      </c>
      <c r="F20" s="23">
        <v>9</v>
      </c>
      <c r="G20" s="23">
        <f>SUMIF(Main!C:C,'Ranking TSP'!C20,Main!U:U)</f>
        <v>16</v>
      </c>
      <c r="H20" s="23">
        <f>SUMIF(Main!C:C,'Ranking TSP'!C20,Main!Y:Y)</f>
        <v>0</v>
      </c>
      <c r="I20" s="23">
        <f>SUMIF(Main!C:C,'Ranking TSP'!C20,Main!W:W)</f>
        <v>0</v>
      </c>
      <c r="J20" s="23">
        <f>SUMIF(Main!C:C,'Ranking TSP'!C20,Main!AD:AD)</f>
        <v>0</v>
      </c>
      <c r="K20" s="28">
        <f>SUMIF(Main!C:C,'Ranking TSP'!C20,Main!R:R)</f>
        <v>-42582.622916666667</v>
      </c>
      <c r="L20" s="28">
        <f>SUMIF(Main!C:C,Table1[[#This Row],[TSP]],Main!S:S)</f>
        <v>42912.622916666667</v>
      </c>
      <c r="M20" s="29">
        <f t="shared" si="1"/>
        <v>30</v>
      </c>
      <c r="N20" s="29">
        <f>SUMIF(Main!C:C,Table1[[#This Row],[TSP]],Main!AC:AC)</f>
        <v>9</v>
      </c>
      <c r="O20" s="29">
        <f>SUMIF(Main!C:C,Table1[[#This Row],[TSP]],Main!AD:AD)</f>
        <v>0</v>
      </c>
      <c r="P20" s="104">
        <f ca="1">AVERAGEIF(Main!C:C,Table1[[#This Row],[TSP]],Table4[[#All],[Total Interrruption]])</f>
        <v>1.5454545454545454</v>
      </c>
      <c r="Q20" s="70">
        <f t="shared" si="0"/>
        <v>-2504.8601715686273</v>
      </c>
      <c r="R20" s="37">
        <f>SUMIF(Main!C:C,Table1[[#This Row],[TSP]],Main!AH:AH)/SUMIF('Supply Hours'!C:C,Table1[[#This Row],[TSP]],'Supply Hours'!I:I)</f>
        <v>-0.50109734773229531</v>
      </c>
      <c r="S20" s="37">
        <f>SUMIFS(Main!AI:AI,Main!C:C,Table1[[#This Row],[TSP]])/SUMIFS('Supply Hours'!J:J,'Supply Hours'!C:C,Table1[[#This Row],[TSP]])</f>
        <v>0.19911659538666482</v>
      </c>
      <c r="T20" s="68">
        <f>Table1[[#This Row],[Total Hours Available for Service]]/(COUNTIF(Main!C:C,Table1[[#This Row],[TSP]])*Main!Q$199)</f>
        <v>130.03825126262626</v>
      </c>
      <c r="U20" s="37">
        <f>IF((SUMIF(Main!C:C,Table1[[#This Row],[TSP]],Main!V:V))&gt;0,SUMIF(Main!C:C,Table1[[#This Row],[TSP]],Main!AC:AC)/(SUMIF(Main!C:C,Table1[[#This Row],[TSP]],Main!V:V)),1)</f>
        <v>0.52941176470588236</v>
      </c>
      <c r="V20" s="69" t="e">
        <f>RANK(Table1[[#This Row],[SAIDI]],R:R,1)</f>
        <v>#VALUE!</v>
      </c>
      <c r="W20" s="67">
        <f>RANK(Table1[[#This Row],[ASIFI]],S:S,1)</f>
        <v>2</v>
      </c>
      <c r="X20" s="67" t="e">
        <f>RANK(Table1[[#This Row],[ASAI]],T:T,0)</f>
        <v>#VALUE!</v>
      </c>
      <c r="Y20" s="74">
        <f>RANK(Table1[[#This Row],[FCI]],U:U,0)</f>
        <v>16</v>
      </c>
      <c r="Z20" s="25" t="e">
        <f>SUM(Table1[[#This Row],[Ranking SAIDI]:[Ranking FCI]])</f>
        <v>#VALUE!</v>
      </c>
      <c r="AA20" s="73" t="e">
        <f>RANK(Table1[[#This Row],[Total Points]],Z:Z,1)</f>
        <v>#VALUE!</v>
      </c>
    </row>
    <row r="21" spans="1:27" x14ac:dyDescent="0.35">
      <c r="A21" s="23">
        <v>20</v>
      </c>
      <c r="B21" s="8" t="s">
        <v>185</v>
      </c>
      <c r="C21" s="26" t="s">
        <v>248</v>
      </c>
      <c r="D21" s="23">
        <f>SUMIF(Main!C:C,'Ranking TSP'!C21,Main!F:F)</f>
        <v>3</v>
      </c>
      <c r="E21" s="23">
        <f>SUMIF(Main!C:C,'Ranking TSP'!C21,Main!V:V)</f>
        <v>3</v>
      </c>
      <c r="F21" s="23">
        <v>1</v>
      </c>
      <c r="G21" s="23">
        <f>SUMIF(Main!C:C,'Ranking TSP'!C21,Main!U:U)</f>
        <v>3</v>
      </c>
      <c r="H21" s="23">
        <f>SUMIF(Main!C:C,'Ranking TSP'!C21,Main!Y:Y)</f>
        <v>0</v>
      </c>
      <c r="I21" s="23">
        <f>SUMIF(Main!C:C,'Ranking TSP'!C21,Main!W:W)</f>
        <v>0</v>
      </c>
      <c r="J21" s="23">
        <f>SUMIF(Main!C:C,'Ranking TSP'!C21,Main!AD:AD)</f>
        <v>0</v>
      </c>
      <c r="K21" s="28">
        <f>SUMIF(Main!C:C,'Ranking TSP'!C21,Main!R:R)</f>
        <v>-89555.684027777781</v>
      </c>
      <c r="L21" s="28">
        <f>SUMIF(Main!C:C,Table1[[#This Row],[TSP]],Main!S:S)</f>
        <v>89615.684027777781</v>
      </c>
      <c r="M21" s="29">
        <f t="shared" si="1"/>
        <v>30</v>
      </c>
      <c r="N21" s="29">
        <f>SUMIF(Main!C:C,Table1[[#This Row],[TSP]],Main!AC:AC)</f>
        <v>0</v>
      </c>
      <c r="O21" s="29">
        <f>SUMIF(Main!C:C,Table1[[#This Row],[TSP]],Main!AD:AD)</f>
        <v>0</v>
      </c>
      <c r="P21" s="104">
        <f ca="1">AVERAGEIF(Main!C:C,Table1[[#This Row],[TSP]],Table4[[#All],[Total Interrruption]])</f>
        <v>1.5</v>
      </c>
      <c r="Q21" s="70">
        <f t="shared" si="0"/>
        <v>-29851.894675925927</v>
      </c>
      <c r="R21" s="37">
        <f>SUMIF(Main!C:C,Table1[[#This Row],[TSP]],Main!AH:AH)/SUMIF('Supply Hours'!C:C,Table1[[#This Row],[TSP]],'Supply Hours'!I:I)</f>
        <v>-1.1991494381660699</v>
      </c>
      <c r="S21" s="37">
        <f>SUMIFS(Main!AI:AI,Main!C:C,Table1[[#This Row],[TSP]])/SUMIFS('Supply Hours'!J:J,'Supply Hours'!C:C,Table1[[#This Row],[TSP]])</f>
        <v>8.2662927153295443E-2</v>
      </c>
      <c r="T21" s="68">
        <f>Table1[[#This Row],[Total Hours Available for Service]]/(COUNTIF(Main!C:C,Table1[[#This Row],[TSP]])*Main!Q$199)</f>
        <v>1493.5947337962964</v>
      </c>
      <c r="U21" s="37">
        <f>IF((SUMIF(Main!C:C,Table1[[#This Row],[TSP]],Main!V:V))&gt;0,SUMIF(Main!C:C,Table1[[#This Row],[TSP]],Main!AC:AC)/(SUMIF(Main!C:C,Table1[[#This Row],[TSP]],Main!V:V)),1)</f>
        <v>0</v>
      </c>
      <c r="V21" s="69" t="e">
        <f>RANK(Table1[[#This Row],[SAIDI]],R:R,1)</f>
        <v>#VALUE!</v>
      </c>
      <c r="W21" s="67">
        <f>RANK(Table1[[#This Row],[ASIFI]],S:S,1)</f>
        <v>1</v>
      </c>
      <c r="X21" s="67" t="e">
        <f>RANK(Table1[[#This Row],[ASAI]],T:T,0)</f>
        <v>#VALUE!</v>
      </c>
      <c r="Y21" s="74">
        <f>RANK(Table1[[#This Row],[FCI]],U:U,0)</f>
        <v>28</v>
      </c>
      <c r="Z21" s="25" t="e">
        <f>SUM(Table1[[#This Row],[Ranking SAIDI]:[Ranking FCI]])</f>
        <v>#VALUE!</v>
      </c>
      <c r="AA21" s="73" t="e">
        <f>RANK(Table1[[#This Row],[Total Points]],Z:Z,1)</f>
        <v>#VALUE!</v>
      </c>
    </row>
    <row r="22" spans="1:27" x14ac:dyDescent="0.35">
      <c r="A22" s="23">
        <v>21</v>
      </c>
      <c r="B22" s="8" t="s">
        <v>185</v>
      </c>
      <c r="C22" s="26" t="s">
        <v>249</v>
      </c>
      <c r="D22" s="23">
        <f>SUMIF(Main!C:C,'Ranking TSP'!C22,Main!F:F)</f>
        <v>15</v>
      </c>
      <c r="E22" s="23">
        <f>SUMIF(Main!C:C,'Ranking TSP'!C22,Main!V:V)</f>
        <v>15</v>
      </c>
      <c r="F22" s="23">
        <v>9</v>
      </c>
      <c r="G22" s="23">
        <f>SUMIF(Main!C:C,'Ranking TSP'!C22,Main!U:U)</f>
        <v>15</v>
      </c>
      <c r="H22" s="23">
        <f>SUMIF(Main!C:C,'Ranking TSP'!C22,Main!Y:Y)</f>
        <v>0</v>
      </c>
      <c r="I22" s="23">
        <f>SUMIF(Main!C:C,'Ranking TSP'!C22,Main!W:W)</f>
        <v>0</v>
      </c>
      <c r="J22" s="23">
        <f>SUMIF(Main!C:C,'Ranking TSP'!C22,Main!AD:AD)</f>
        <v>0</v>
      </c>
      <c r="K22" s="28">
        <f>SUMIF(Main!C:C,'Ranking TSP'!C22,Main!R:R)</f>
        <v>-268664.35347222222</v>
      </c>
      <c r="L22" s="28">
        <f>SUMIF(Main!C:C,Table1[[#This Row],[TSP]],Main!S:S)</f>
        <v>268934.35347222222</v>
      </c>
      <c r="M22" s="29">
        <f t="shared" si="1"/>
        <v>30</v>
      </c>
      <c r="N22" s="29">
        <f>SUMIF(Main!C:C,Table1[[#This Row],[TSP]],Main!AC:AC)</f>
        <v>6</v>
      </c>
      <c r="O22" s="29">
        <f>SUMIF(Main!C:C,Table1[[#This Row],[TSP]],Main!AD:AD)</f>
        <v>0</v>
      </c>
      <c r="P22" s="104">
        <f ca="1">AVERAGEIF(Main!C:C,Table1[[#This Row],[TSP]],Table4[[#All],[Total Interrruption]])</f>
        <v>1.6666666666666667</v>
      </c>
      <c r="Q22" s="70">
        <f t="shared" si="0"/>
        <v>-17910.95689814815</v>
      </c>
      <c r="R22" s="37">
        <f>SUMIF(Main!C:C,Table1[[#This Row],[TSP]],Main!AH:AH)/SUMIF('Supply Hours'!C:C,Table1[[#This Row],[TSP]],'Supply Hours'!I:I)</f>
        <v>-2.9803095294819584</v>
      </c>
      <c r="S22" s="37">
        <f>SUMIFS(Main!AI:AI,Main!C:C,Table1[[#This Row],[TSP]])/SUMIFS('Supply Hours'!J:J,'Supply Hours'!C:C,Table1[[#This Row],[TSP]])</f>
        <v>0.52900109280488905</v>
      </c>
      <c r="T22" s="68">
        <f>Table1[[#This Row],[Total Hours Available for Service]]/(COUNTIF(Main!C:C,Table1[[#This Row],[TSP]])*Main!Q$199)</f>
        <v>996.05316100823052</v>
      </c>
      <c r="U22" s="37">
        <f>IF((SUMIF(Main!C:C,Table1[[#This Row],[TSP]],Main!V:V))&gt;0,SUMIF(Main!C:C,Table1[[#This Row],[TSP]],Main!AC:AC)/(SUMIF(Main!C:C,Table1[[#This Row],[TSP]],Main!V:V)),1)</f>
        <v>0.4</v>
      </c>
      <c r="V22" s="69" t="e">
        <f>RANK(Table1[[#This Row],[SAIDI]],R:R,1)</f>
        <v>#VALUE!</v>
      </c>
      <c r="W22" s="67">
        <f>RANK(Table1[[#This Row],[ASIFI]],S:S,1)</f>
        <v>10</v>
      </c>
      <c r="X22" s="67" t="e">
        <f>RANK(Table1[[#This Row],[ASAI]],T:T,0)</f>
        <v>#VALUE!</v>
      </c>
      <c r="Y22" s="74">
        <f>RANK(Table1[[#This Row],[FCI]],U:U,0)</f>
        <v>22</v>
      </c>
      <c r="Z22" s="25" t="e">
        <f>SUM(Table1[[#This Row],[Ranking SAIDI]:[Ranking FCI]])</f>
        <v>#VALUE!</v>
      </c>
      <c r="AA22" s="73" t="e">
        <f>RANK(Table1[[#This Row],[Total Points]],Z:Z,1)</f>
        <v>#VALUE!</v>
      </c>
    </row>
    <row r="23" spans="1:27" x14ac:dyDescent="0.35">
      <c r="A23" s="23">
        <v>22</v>
      </c>
      <c r="B23" s="8" t="s">
        <v>186</v>
      </c>
      <c r="C23" s="26" t="s">
        <v>250</v>
      </c>
      <c r="D23" s="23">
        <f>SUMIF(Main!C:C,'Ranking TSP'!C23,Main!F:F)</f>
        <v>14</v>
      </c>
      <c r="E23" s="23">
        <f>SUMIF(Main!C:C,'Ranking TSP'!C23,Main!V:V)</f>
        <v>14</v>
      </c>
      <c r="F23" s="23">
        <v>11</v>
      </c>
      <c r="G23" s="23">
        <f>SUMIF(Main!C:C,'Ranking TSP'!C23,Main!U:U)</f>
        <v>14</v>
      </c>
      <c r="H23" s="23">
        <f>SUMIF(Main!C:C,'Ranking TSP'!C23,Main!Y:Y)</f>
        <v>0</v>
      </c>
      <c r="I23" s="23">
        <f>SUMIF(Main!C:C,'Ranking TSP'!C23,Main!W:W)</f>
        <v>0</v>
      </c>
      <c r="J23" s="23">
        <f>SUMIF(Main!C:C,'Ranking TSP'!C23,Main!AD:AD)</f>
        <v>0</v>
      </c>
      <c r="K23" s="28">
        <f>SUMIF(Main!C:C,'Ranking TSP'!C23,Main!R:R)</f>
        <v>-223872.62083333332</v>
      </c>
      <c r="L23" s="28">
        <f>SUMIF(Main!C:C,Table1[[#This Row],[TSP]],Main!S:S)</f>
        <v>224202.62083333332</v>
      </c>
      <c r="M23" s="29">
        <f t="shared" si="1"/>
        <v>30</v>
      </c>
      <c r="N23" s="29">
        <f>SUMIF(Main!C:C,Table1[[#This Row],[TSP]],Main!AC:AC)</f>
        <v>5</v>
      </c>
      <c r="O23" s="29">
        <f>SUMIF(Main!C:C,Table1[[#This Row],[TSP]],Main!AD:AD)</f>
        <v>0</v>
      </c>
      <c r="P23" s="104">
        <f ca="1">AVERAGEIF(Main!C:C,Table1[[#This Row],[TSP]],Table4[[#All],[Total Interrruption]])</f>
        <v>1.2727272727272727</v>
      </c>
      <c r="Q23" s="70">
        <f t="shared" si="0"/>
        <v>-15990.901488095236</v>
      </c>
      <c r="R23" s="37">
        <f>SUMIF(Main!C:C,Table1[[#This Row],[TSP]],Main!AH:AH)/SUMIF('Supply Hours'!C:C,Table1[[#This Row],[TSP]],'Supply Hours'!I:I)</f>
        <v>-3.0559413500388581</v>
      </c>
      <c r="S23" s="37">
        <f>SUMIFS(Main!AI:AI,Main!C:C,Table1[[#This Row],[TSP]])/SUMIFS('Supply Hours'!J:J,'Supply Hours'!C:C,Table1[[#This Row],[TSP]])</f>
        <v>0.26627935124667146</v>
      </c>
      <c r="T23" s="68">
        <f>Table1[[#This Row],[Total Hours Available for Service]]/(COUNTIF(Main!C:C,Table1[[#This Row],[TSP]])*Main!Q$199)</f>
        <v>679.4018813131313</v>
      </c>
      <c r="U23" s="37">
        <f>IF((SUMIF(Main!C:C,Table1[[#This Row],[TSP]],Main!V:V))&gt;0,SUMIF(Main!C:C,Table1[[#This Row],[TSP]],Main!AC:AC)/(SUMIF(Main!C:C,Table1[[#This Row],[TSP]],Main!V:V)),1)</f>
        <v>0.35714285714285715</v>
      </c>
      <c r="V23" s="69" t="e">
        <f>RANK(Table1[[#This Row],[SAIDI]],R:R,1)</f>
        <v>#VALUE!</v>
      </c>
      <c r="W23" s="67">
        <f>RANK(Table1[[#This Row],[ASIFI]],S:S,1)</f>
        <v>6</v>
      </c>
      <c r="X23" s="67" t="e">
        <f>RANK(Table1[[#This Row],[ASAI]],T:T,0)</f>
        <v>#VALUE!</v>
      </c>
      <c r="Y23" s="74">
        <f>RANK(Table1[[#This Row],[FCI]],U:U,0)</f>
        <v>24</v>
      </c>
      <c r="Z23" s="25" t="e">
        <f>SUM(Table1[[#This Row],[Ranking SAIDI]:[Ranking FCI]])</f>
        <v>#VALUE!</v>
      </c>
      <c r="AA23" s="73" t="e">
        <f>RANK(Table1[[#This Row],[Total Points]],Z:Z,1)</f>
        <v>#VALUE!</v>
      </c>
    </row>
    <row r="24" spans="1:27" x14ac:dyDescent="0.35">
      <c r="A24" s="23">
        <v>23</v>
      </c>
      <c r="B24" s="8" t="s">
        <v>186</v>
      </c>
      <c r="C24" s="26" t="s">
        <v>251</v>
      </c>
      <c r="D24" s="23">
        <f>SUMIF(Main!C:C,'Ranking TSP'!C24,Main!F:F)</f>
        <v>13</v>
      </c>
      <c r="E24" s="23">
        <f>SUMIF(Main!C:C,'Ranking TSP'!C24,Main!V:V)</f>
        <v>13</v>
      </c>
      <c r="F24" s="23">
        <v>4</v>
      </c>
      <c r="G24" s="23">
        <f>SUMIF(Main!C:C,'Ranking TSP'!C24,Main!U:U)</f>
        <v>13</v>
      </c>
      <c r="H24" s="23">
        <f>SUMIF(Main!C:C,'Ranking TSP'!C24,Main!Y:Y)</f>
        <v>0</v>
      </c>
      <c r="I24" s="23">
        <f>SUMIF(Main!C:C,'Ranking TSP'!C24,Main!W:W)</f>
        <v>0</v>
      </c>
      <c r="J24" s="23">
        <f>SUMIF(Main!C:C,'Ranking TSP'!C24,Main!AD:AD)</f>
        <v>0</v>
      </c>
      <c r="K24" s="28">
        <f>SUMIF(Main!C:C,'Ranking TSP'!C24,Main!R:R)</f>
        <v>-179173.77986111108</v>
      </c>
      <c r="L24" s="28">
        <f>SUMIF(Main!C:C,Table1[[#This Row],[TSP]],Main!S:S)</f>
        <v>179293.77986111108</v>
      </c>
      <c r="M24" s="29">
        <f t="shared" si="1"/>
        <v>30</v>
      </c>
      <c r="N24" s="29">
        <f>SUMIF(Main!C:C,Table1[[#This Row],[TSP]],Main!AC:AC)</f>
        <v>2</v>
      </c>
      <c r="O24" s="29">
        <f>SUMIF(Main!C:C,Table1[[#This Row],[TSP]],Main!AD:AD)</f>
        <v>0</v>
      </c>
      <c r="P24" s="104">
        <f ca="1">AVERAGEIF(Main!C:C,Table1[[#This Row],[TSP]],Table4[[#All],[Total Interrruption]])</f>
        <v>3.25</v>
      </c>
      <c r="Q24" s="70">
        <f t="shared" si="0"/>
        <v>-13782.598450854699</v>
      </c>
      <c r="R24" s="37">
        <f>SUMIF(Main!C:C,Table1[[#This Row],[TSP]],Main!AH:AH)/SUMIF('Supply Hours'!C:C,Table1[[#This Row],[TSP]],'Supply Hours'!I:I)</f>
        <v>-1.8235671263447173</v>
      </c>
      <c r="S24" s="37">
        <f>SUMIFS(Main!AI:AI,Main!C:C,Table1[[#This Row],[TSP]])/SUMIFS('Supply Hours'!J:J,'Supply Hours'!C:C,Table1[[#This Row],[TSP]])</f>
        <v>0.23004576859429182</v>
      </c>
      <c r="T24" s="68">
        <f>Table1[[#This Row],[Total Hours Available for Service]]/(COUNTIF(Main!C:C,Table1[[#This Row],[TSP]])*Main!Q$199)</f>
        <v>1494.1148321759256</v>
      </c>
      <c r="U24" s="37">
        <f>IF((SUMIF(Main!C:C,Table1[[#This Row],[TSP]],Main!V:V))&gt;0,SUMIF(Main!C:C,Table1[[#This Row],[TSP]],Main!AC:AC)/(SUMIF(Main!C:C,Table1[[#This Row],[TSP]],Main!V:V)),1)</f>
        <v>0.15384615384615385</v>
      </c>
      <c r="V24" s="69" t="e">
        <f>RANK(Table1[[#This Row],[SAIDI]],R:R,1)</f>
        <v>#VALUE!</v>
      </c>
      <c r="W24" s="67">
        <f>RANK(Table1[[#This Row],[ASIFI]],S:S,1)</f>
        <v>3</v>
      </c>
      <c r="X24" s="67" t="e">
        <f>RANK(Table1[[#This Row],[ASAI]],T:T,0)</f>
        <v>#VALUE!</v>
      </c>
      <c r="Y24" s="74">
        <f>RANK(Table1[[#This Row],[FCI]],U:U,0)</f>
        <v>27</v>
      </c>
      <c r="Z24" s="25" t="e">
        <f>SUM(Table1[[#This Row],[Ranking SAIDI]:[Ranking FCI]])</f>
        <v>#VALUE!</v>
      </c>
      <c r="AA24" s="73" t="e">
        <f>RANK(Table1[[#This Row],[Total Points]],Z:Z,1)</f>
        <v>#VALUE!</v>
      </c>
    </row>
    <row r="25" spans="1:27" x14ac:dyDescent="0.35">
      <c r="A25" s="23">
        <v>24</v>
      </c>
      <c r="B25" s="8" t="s">
        <v>187</v>
      </c>
      <c r="C25" s="26" t="s">
        <v>252</v>
      </c>
      <c r="D25" s="23">
        <f>SUMIF(Main!C:C,'Ranking TSP'!C25,Main!F:F)</f>
        <v>23</v>
      </c>
      <c r="E25" s="23">
        <f>SUMIF(Main!C:C,'Ranking TSP'!C25,Main!V:V)</f>
        <v>23</v>
      </c>
      <c r="F25" s="23">
        <v>9</v>
      </c>
      <c r="G25" s="23">
        <f>SUMIF(Main!C:C,'Ranking TSP'!C25,Main!U:U)</f>
        <v>22</v>
      </c>
      <c r="H25" s="23">
        <f>SUMIF(Main!C:C,'Ranking TSP'!C25,Main!Y:Y)</f>
        <v>0</v>
      </c>
      <c r="I25" s="23">
        <f>SUMIF(Main!C:C,'Ranking TSP'!C25,Main!W:W)</f>
        <v>0</v>
      </c>
      <c r="J25" s="23">
        <f>SUMIF(Main!C:C,'Ranking TSP'!C25,Main!AD:AD)</f>
        <v>0</v>
      </c>
      <c r="K25" s="28">
        <f>SUMIF(Main!C:C,'Ranking TSP'!C25,Main!R:R)</f>
        <v>-52.23333333334449</v>
      </c>
      <c r="L25" s="28">
        <f>SUMIF(Main!C:C,Table1[[#This Row],[TSP]],Main!S:S)</f>
        <v>322.23333333334449</v>
      </c>
      <c r="M25" s="29">
        <f t="shared" si="1"/>
        <v>30</v>
      </c>
      <c r="N25" s="29">
        <f>SUMIF(Main!C:C,Table1[[#This Row],[TSP]],Main!AC:AC)</f>
        <v>4</v>
      </c>
      <c r="O25" s="29">
        <f>SUMIF(Main!C:C,Table1[[#This Row],[TSP]],Main!AD:AD)</f>
        <v>0</v>
      </c>
      <c r="P25" s="104">
        <f ca="1">AVERAGEIF(Main!C:C,Table1[[#This Row],[TSP]],Table4[[#All],[Total Interrruption]])</f>
        <v>2.5555555555555554</v>
      </c>
      <c r="Q25" s="70">
        <f t="shared" si="0"/>
        <v>-2.2710144927541083</v>
      </c>
      <c r="R25" s="37">
        <f>SUMIF(Main!C:C,Table1[[#This Row],[TSP]],Main!AH:AH)/SUMIF('Supply Hours'!C:C,Table1[[#This Row],[TSP]],'Supply Hours'!I:I)</f>
        <v>-8.5634978104297696E-2</v>
      </c>
      <c r="S25" s="37">
        <f>SUMIFS(Main!AI:AI,Main!C:C,Table1[[#This Row],[TSP]])/SUMIFS('Supply Hours'!J:J,'Supply Hours'!C:C,Table1[[#This Row],[TSP]])</f>
        <v>0.65402826792459523</v>
      </c>
      <c r="T25" s="68">
        <f>Table1[[#This Row],[Total Hours Available for Service]]/(COUNTIF(Main!C:C,Table1[[#This Row],[TSP]])*Main!Q$199)</f>
        <v>1.193456790123498</v>
      </c>
      <c r="U25" s="37">
        <f>IF((SUMIF(Main!C:C,Table1[[#This Row],[TSP]],Main!V:V))&gt;0,SUMIF(Main!C:C,Table1[[#This Row],[TSP]],Main!AC:AC)/(SUMIF(Main!C:C,Table1[[#This Row],[TSP]],Main!V:V)),1)</f>
        <v>0.17391304347826086</v>
      </c>
      <c r="V25" s="69" t="e">
        <f>RANK(Table1[[#This Row],[SAIDI]],R:R,1)</f>
        <v>#VALUE!</v>
      </c>
      <c r="W25" s="67">
        <f>RANK(Table1[[#This Row],[ASIFI]],S:S,1)</f>
        <v>13</v>
      </c>
      <c r="X25" s="67" t="e">
        <f>RANK(Table1[[#This Row],[ASAI]],T:T,0)</f>
        <v>#VALUE!</v>
      </c>
      <c r="Y25" s="74">
        <f>RANK(Table1[[#This Row],[FCI]],U:U,0)</f>
        <v>26</v>
      </c>
      <c r="Z25" s="25" t="e">
        <f>SUM(Table1[[#This Row],[Ranking SAIDI]:[Ranking FCI]])</f>
        <v>#VALUE!</v>
      </c>
      <c r="AA25" s="73" t="e">
        <f>RANK(Table1[[#This Row],[Total Points]],Z:Z,1)</f>
        <v>#VALUE!</v>
      </c>
    </row>
    <row r="26" spans="1:27" x14ac:dyDescent="0.35">
      <c r="A26" s="23">
        <v>25</v>
      </c>
      <c r="B26" s="8" t="s">
        <v>187</v>
      </c>
      <c r="C26" s="26" t="s">
        <v>253</v>
      </c>
      <c r="D26" s="23">
        <f>SUMIF(Main!C:C,'Ranking TSP'!C26,Main!F:F)</f>
        <v>9</v>
      </c>
      <c r="E26" s="23">
        <f>SUMIF(Main!C:C,'Ranking TSP'!C26,Main!V:V)</f>
        <v>9</v>
      </c>
      <c r="F26" s="23">
        <v>4</v>
      </c>
      <c r="G26" s="23">
        <f>SUMIF(Main!C:C,'Ranking TSP'!C26,Main!U:U)</f>
        <v>7</v>
      </c>
      <c r="H26" s="23">
        <f>SUMIF(Main!C:C,'Ranking TSP'!C26,Main!Y:Y)</f>
        <v>0</v>
      </c>
      <c r="I26" s="23">
        <f>SUMIF(Main!C:C,'Ranking TSP'!C26,Main!W:W)</f>
        <v>0</v>
      </c>
      <c r="J26" s="23">
        <f>SUMIF(Main!C:C,'Ranking TSP'!C26,Main!AD:AD)</f>
        <v>0</v>
      </c>
      <c r="K26" s="28">
        <f>SUMIF(Main!C:C,'Ranking TSP'!C26,Main!R:R)</f>
        <v>-56.238194444449618</v>
      </c>
      <c r="L26" s="28">
        <f>SUMIF(Main!C:C,Table1[[#This Row],[TSP]],Main!S:S)</f>
        <v>236.23819444444962</v>
      </c>
      <c r="M26" s="29">
        <f t="shared" si="1"/>
        <v>30</v>
      </c>
      <c r="N26" s="29">
        <f>SUMIF(Main!C:C,Table1[[#This Row],[TSP]],Main!AC:AC)</f>
        <v>2</v>
      </c>
      <c r="O26" s="29">
        <f>SUMIF(Main!C:C,Table1[[#This Row],[TSP]],Main!AD:AD)</f>
        <v>0</v>
      </c>
      <c r="P26" s="104">
        <f ca="1">AVERAGEIF(Main!C:C,Table1[[#This Row],[TSP]],Table4[[#All],[Total Interrruption]])</f>
        <v>1.5</v>
      </c>
      <c r="Q26" s="70">
        <f t="shared" si="0"/>
        <v>-6.2486882716055128</v>
      </c>
      <c r="R26" s="37">
        <f>SUMIF(Main!C:C,Table1[[#This Row],[TSP]],Main!AH:AH)/SUMIF('Supply Hours'!C:C,Table1[[#This Row],[TSP]],'Supply Hours'!I:I)</f>
        <v>-0.21476264246009349</v>
      </c>
      <c r="S26" s="37">
        <f>SUMIFS(Main!AI:AI,Main!C:C,Table1[[#This Row],[TSP]])/SUMIFS('Supply Hours'!J:J,'Supply Hours'!C:C,Table1[[#This Row],[TSP]])</f>
        <v>0.23209283713485396</v>
      </c>
      <c r="T26" s="68">
        <f>Table1[[#This Row],[Total Hours Available for Service]]/(COUNTIF(Main!C:C,Table1[[#This Row],[TSP]])*Main!Q$199)</f>
        <v>1.3124344135802757</v>
      </c>
      <c r="U26" s="37">
        <f>IF((SUMIF(Main!C:C,Table1[[#This Row],[TSP]],Main!V:V))&gt;0,SUMIF(Main!C:C,Table1[[#This Row],[TSP]],Main!AC:AC)/(SUMIF(Main!C:C,Table1[[#This Row],[TSP]],Main!V:V)),1)</f>
        <v>0.22222222222222221</v>
      </c>
      <c r="V26" s="69" t="e">
        <f>RANK(Table1[[#This Row],[SAIDI]],R:R,1)</f>
        <v>#VALUE!</v>
      </c>
      <c r="W26" s="67">
        <f>RANK(Table1[[#This Row],[ASIFI]],S:S,1)</f>
        <v>4</v>
      </c>
      <c r="X26" s="67" t="e">
        <f>RANK(Table1[[#This Row],[ASAI]],T:T,0)</f>
        <v>#VALUE!</v>
      </c>
      <c r="Y26" s="74">
        <f>RANK(Table1[[#This Row],[FCI]],U:U,0)</f>
        <v>25</v>
      </c>
      <c r="Z26" s="25" t="e">
        <f>SUM(Table1[[#This Row],[Ranking SAIDI]:[Ranking FCI]])</f>
        <v>#VALUE!</v>
      </c>
      <c r="AA26" s="73" t="e">
        <f>RANK(Table1[[#This Row],[Total Points]],Z:Z,1)</f>
        <v>#VALUE!</v>
      </c>
    </row>
    <row r="27" spans="1:27" x14ac:dyDescent="0.35">
      <c r="A27" s="23">
        <v>26</v>
      </c>
      <c r="B27" s="8" t="s">
        <v>188</v>
      </c>
      <c r="C27" s="26" t="s">
        <v>254</v>
      </c>
      <c r="D27" s="23">
        <f>SUMIF(Main!C:C,'Ranking TSP'!C27,Main!F:F)</f>
        <v>14</v>
      </c>
      <c r="E27" s="23">
        <f>SUMIF(Main!C:C,'Ranking TSP'!C27,Main!V:V)</f>
        <v>14</v>
      </c>
      <c r="F27" s="23">
        <v>3</v>
      </c>
      <c r="G27" s="23">
        <f>SUMIF(Main!C:C,'Ranking TSP'!C27,Main!U:U)</f>
        <v>14</v>
      </c>
      <c r="H27" s="23">
        <f>SUMIF(Main!C:C,'Ranking TSP'!C27,Main!Y:Y)</f>
        <v>0</v>
      </c>
      <c r="I27" s="23">
        <f>SUMIF(Main!C:C,'Ranking TSP'!C27,Main!W:W)</f>
        <v>0</v>
      </c>
      <c r="J27" s="23">
        <f>SUMIF(Main!C:C,'Ranking TSP'!C27,Main!AD:AD)</f>
        <v>0</v>
      </c>
      <c r="K27" s="28">
        <f>SUMIF(Main!C:C,'Ranking TSP'!C27,Main!R:R)</f>
        <v>2.3868055555576575</v>
      </c>
      <c r="L27" s="28">
        <f>SUMIF(Main!C:C,Table1[[#This Row],[TSP]],Main!S:S)</f>
        <v>87.613194444442343</v>
      </c>
      <c r="M27" s="29">
        <f>M26</f>
        <v>30</v>
      </c>
      <c r="N27" s="29">
        <f>SUMIF(Main!C:C,Table1[[#This Row],[TSP]],Main!AC:AC)</f>
        <v>11</v>
      </c>
      <c r="O27" s="29">
        <f>SUMIF(Main!C:C,Table1[[#This Row],[TSP]],Main!AD:AD)</f>
        <v>0</v>
      </c>
      <c r="P27" s="104">
        <f ca="1">AVERAGEIF(Main!C:C,Table1[[#This Row],[TSP]],Table4[[#All],[Total Interrruption]])</f>
        <v>4.666666666666667</v>
      </c>
      <c r="Q27" s="70">
        <f t="shared" si="0"/>
        <v>0.17048611111126125</v>
      </c>
      <c r="R27" s="37">
        <f>SUMIF(Main!C:C,Table1[[#This Row],[TSP]],Main!AH:AH)/SUMIF('Supply Hours'!C:C,Table1[[#This Row],[TSP]],'Supply Hours'!I:I)</f>
        <v>7.6582674794046984E-2</v>
      </c>
      <c r="S27" s="37">
        <f>SUMIFS(Main!AI:AI,Main!C:C,Table1[[#This Row],[TSP]])/SUMIFS('Supply Hours'!J:J,'Supply Hours'!C:C,Table1[[#This Row],[TSP]])</f>
        <v>1.3315904139433552</v>
      </c>
      <c r="T27" s="68">
        <f>Table1[[#This Row],[Total Hours Available for Service]]/(COUNTIF(Main!C:C,Table1[[#This Row],[TSP]])*Main!Q$199)</f>
        <v>0.97347993827158164</v>
      </c>
      <c r="U27" s="37">
        <f>IF((SUMIF(Main!C:C,Table1[[#This Row],[TSP]],Main!V:V))&gt;0,SUMIF(Main!C:C,Table1[[#This Row],[TSP]],Main!AC:AC)/(SUMIF(Main!C:C,Table1[[#This Row],[TSP]],Main!V:V)),1)</f>
        <v>0.7857142857142857</v>
      </c>
      <c r="V27" s="69" t="e">
        <f>RANK(Table1[[#This Row],[SAIDI]],R:R,1)</f>
        <v>#VALUE!</v>
      </c>
      <c r="W27" s="67">
        <f>RANK(Table1[[#This Row],[ASIFI]],S:S,1)</f>
        <v>21</v>
      </c>
      <c r="X27" s="67" t="e">
        <f>RANK(Table1[[#This Row],[ASAI]],T:T,0)</f>
        <v>#VALUE!</v>
      </c>
      <c r="Y27" s="74">
        <f>RANK(Table1[[#This Row],[FCI]],U:U,0)</f>
        <v>4</v>
      </c>
      <c r="Z27" s="25" t="e">
        <f>SUM(Table1[[#This Row],[Ranking SAIDI]:[Ranking FCI]])</f>
        <v>#VALUE!</v>
      </c>
      <c r="AA27" s="73" t="e">
        <f>RANK(Table1[[#This Row],[Total Points]],Z:Z,1)</f>
        <v>#VALUE!</v>
      </c>
    </row>
    <row r="28" spans="1:27" x14ac:dyDescent="0.35">
      <c r="A28" s="23">
        <v>27</v>
      </c>
      <c r="B28" s="8" t="s">
        <v>188</v>
      </c>
      <c r="C28" s="26" t="s">
        <v>255</v>
      </c>
      <c r="D28" s="23">
        <f>SUMIF(Main!C:C,'Ranking TSP'!C28,Main!F:F)</f>
        <v>36</v>
      </c>
      <c r="E28" s="23">
        <f>SUMIF(Main!C:C,'Ranking TSP'!C28,Main!V:V)</f>
        <v>36</v>
      </c>
      <c r="F28" s="23">
        <v>7</v>
      </c>
      <c r="G28" s="23">
        <f>SUMIF(Main!C:C,'Ranking TSP'!C28,Main!U:U)</f>
        <v>35</v>
      </c>
      <c r="H28" s="23">
        <f>SUMIF(Main!C:C,'Ranking TSP'!C28,Main!Y:Y)</f>
        <v>0</v>
      </c>
      <c r="I28" s="23">
        <f>SUMIF(Main!C:C,'Ranking TSP'!C28,Main!W:W)</f>
        <v>0</v>
      </c>
      <c r="J28" s="23">
        <f>SUMIF(Main!C:C,'Ranking TSP'!C28,Main!AD:AD)</f>
        <v>0</v>
      </c>
      <c r="K28" s="28">
        <f>SUMIF(Main!C:C,'Ranking TSP'!C28,Main!R:R)</f>
        <v>-223775.87083333335</v>
      </c>
      <c r="L28" s="28">
        <f>SUMIF(Main!C:C,Table1[[#This Row],[TSP]],Main!S:S)</f>
        <v>224015.87083333335</v>
      </c>
      <c r="M28" s="29">
        <f t="shared" si="1"/>
        <v>30</v>
      </c>
      <c r="N28" s="29">
        <f>SUMIF(Main!C:C,Table1[[#This Row],[TSP]],Main!AC:AC)</f>
        <v>15</v>
      </c>
      <c r="O28" s="29">
        <f>SUMIF(Main!C:C,Table1[[#This Row],[TSP]],Main!AD:AD)</f>
        <v>0</v>
      </c>
      <c r="P28" s="104">
        <f ca="1">AVERAGEIF(Main!C:C,Table1[[#This Row],[TSP]],Table4[[#All],[Total Interrruption]])</f>
        <v>4.5</v>
      </c>
      <c r="Q28" s="70">
        <f t="shared" si="0"/>
        <v>-6215.9964120370378</v>
      </c>
      <c r="R28" s="37">
        <f>SUMIF(Main!C:C,Table1[[#This Row],[TSP]],Main!AH:AH)/SUMIF('Supply Hours'!C:C,Table1[[#This Row],[TSP]],'Supply Hours'!I:I)</f>
        <v>-2.1372553579676619</v>
      </c>
      <c r="S28" s="37">
        <f>SUMIFS(Main!AI:AI,Main!C:C,Table1[[#This Row],[TSP]])/SUMIFS('Supply Hours'!J:J,'Supply Hours'!C:C,Table1[[#This Row],[TSP]])</f>
        <v>0.71764203331909437</v>
      </c>
      <c r="T28" s="68">
        <f>Table1[[#This Row],[Total Hours Available for Service]]/(COUNTIF(Main!C:C,Table1[[#This Row],[TSP]])*Main!Q$199)</f>
        <v>933.39946180555557</v>
      </c>
      <c r="U28" s="37">
        <f>IF((SUMIF(Main!C:C,Table1[[#This Row],[TSP]],Main!V:V))&gt;0,SUMIF(Main!C:C,Table1[[#This Row],[TSP]],Main!AC:AC)/(SUMIF(Main!C:C,Table1[[#This Row],[TSP]],Main!V:V)),1)</f>
        <v>0.41666666666666669</v>
      </c>
      <c r="V28" s="69" t="e">
        <f>RANK(Table1[[#This Row],[SAIDI]],R:R,1)</f>
        <v>#VALUE!</v>
      </c>
      <c r="W28" s="67">
        <f>RANK(Table1[[#This Row],[ASIFI]],S:S,1)</f>
        <v>14</v>
      </c>
      <c r="X28" s="67" t="e">
        <f>RANK(Table1[[#This Row],[ASAI]],T:T,0)</f>
        <v>#VALUE!</v>
      </c>
      <c r="Y28" s="74">
        <f>RANK(Table1[[#This Row],[FCI]],U:U,0)</f>
        <v>20</v>
      </c>
      <c r="Z28" s="25" t="e">
        <f>SUM(Table1[[#This Row],[Ranking SAIDI]:[Ranking FCI]])</f>
        <v>#VALUE!</v>
      </c>
      <c r="AA28" s="73" t="e">
        <f>RANK(Table1[[#This Row],[Total Points]],Z:Z,1)</f>
        <v>#VALUE!</v>
      </c>
    </row>
    <row r="29" spans="1:27" x14ac:dyDescent="0.35">
      <c r="A29" s="184">
        <v>28</v>
      </c>
      <c r="B29" s="185" t="s">
        <v>180</v>
      </c>
      <c r="C29" s="186" t="s">
        <v>446</v>
      </c>
      <c r="D29" s="184">
        <f>SUMIF(Main!C:C,'Ranking TSP'!C29,Main!F:F)</f>
        <v>14</v>
      </c>
      <c r="E29" s="187">
        <f>SUMIF(Main!C:C,'Ranking TSP'!C29,Main!V:V)</f>
        <v>13</v>
      </c>
      <c r="F29" s="187">
        <v>5</v>
      </c>
      <c r="G29" s="184">
        <f>SUMIF(Main!C:C,'Ranking TSP'!C29,Main!U:U)</f>
        <v>11</v>
      </c>
      <c r="H29" s="184">
        <f>SUMIF(Main!C:C,'Ranking TSP'!C29,Main!Y:Y)</f>
        <v>1</v>
      </c>
      <c r="I29" s="184">
        <f>SUMIF(Main!C:C,'Ranking TSP'!C29,Main!W:W)</f>
        <v>0</v>
      </c>
      <c r="J29" s="184">
        <f>SUMIF(Main!C:C,'Ranking TSP'!C29,Main!AD:AD)</f>
        <v>1</v>
      </c>
      <c r="K29" s="188">
        <f>SUMIF(Main!C:C,'Ranking TSP'!C29,Main!R:R)</f>
        <v>-44780.475694444431</v>
      </c>
      <c r="L29" s="188">
        <f>SUMIF(Main!C:C,Table1[[#This Row],[TSP]],Main!S:S)</f>
        <v>44930.475694444431</v>
      </c>
      <c r="M29" s="29">
        <f t="shared" si="1"/>
        <v>30</v>
      </c>
      <c r="N29" s="29">
        <f>SUMIF(Main!C:C,Table1[[#This Row],[TSP]],Main!AC:AC)</f>
        <v>5</v>
      </c>
      <c r="O29" s="189">
        <f>SUMIF(Main!C:C,Table1[[#This Row],[TSP]],Main!AD:AD)</f>
        <v>1</v>
      </c>
      <c r="P29" s="190">
        <f ca="1">AVERAGEIF(Main!C:C,Table1[[#This Row],[TSP]],Table4[[#All],[Total Interrruption]])</f>
        <v>2.8</v>
      </c>
      <c r="Q29" s="191">
        <f>K29/D29</f>
        <v>-3198.6054067460309</v>
      </c>
      <c r="R29" s="37">
        <f>SUMIF(Main!C:C,Table1[[#This Row],[TSP]],Main!AH:AH)/SUMIF('Supply Hours'!C:C,Table1[[#This Row],[TSP]],'Supply Hours'!I:I)</f>
        <v>-1.3952932775691949</v>
      </c>
      <c r="S29" s="37">
        <f>SUMIFS(Main!AI:AI,Main!C:C,Table1[[#This Row],[TSP]])/SUMIFS('Supply Hours'!J:J,'Supply Hours'!C:C,Table1[[#This Row],[TSP]])</f>
        <v>0.30591875340044183</v>
      </c>
      <c r="T29" s="68">
        <f>Table1[[#This Row],[Total Hours Available for Service]]/(COUNTIF(Main!C:C,Table1[[#This Row],[TSP]])*Main!Q$199)</f>
        <v>299.53650462962952</v>
      </c>
      <c r="U29" s="37">
        <f>IF((SUMIF(Main!C:C,Table1[[#This Row],[TSP]],Main!V:V))&gt;0,SUMIF(Main!C:C,Table1[[#This Row],[TSP]],Main!AC:AC)/(SUMIF(Main!C:C,Table1[[#This Row],[TSP]],Main!V:V)),1)</f>
        <v>0.38461538461538464</v>
      </c>
      <c r="V29" s="69" t="e">
        <f>RANK(Table1[[#This Row],[SAIDI]],R:R,1)</f>
        <v>#VALUE!</v>
      </c>
      <c r="W29" s="67">
        <f>RANK(Table1[[#This Row],[ASIFI]],S:S,1)</f>
        <v>7</v>
      </c>
      <c r="X29" s="67" t="e">
        <f>RANK(Table1[[#This Row],[ASAI]],T:T,0)</f>
        <v>#VALUE!</v>
      </c>
      <c r="Y29" s="74">
        <f>RANK(Table1[[#This Row],[FCI]],U:U,0)</f>
        <v>23</v>
      </c>
      <c r="Z29" s="25" t="e">
        <f>SUM(Table1[[#This Row],[Ranking SAIDI]:[Ranking FCI]])</f>
        <v>#VALUE!</v>
      </c>
      <c r="AA29" s="73" t="e">
        <f>RANK(Table1[[#This Row],[Total Points]],Z:Z,1)</f>
        <v>#VALUE!</v>
      </c>
    </row>
    <row r="31" spans="1:27" x14ac:dyDescent="0.35">
      <c r="K31" s="2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80"/>
  <sheetViews>
    <sheetView topLeftCell="D1" zoomScale="70" zoomScaleNormal="70" workbookViewId="0">
      <selection activeCell="A2" sqref="A2:J23"/>
    </sheetView>
  </sheetViews>
  <sheetFormatPr defaultRowHeight="14.5" x14ac:dyDescent="0.35"/>
  <cols>
    <col min="1" max="1" width="27.26953125" customWidth="1"/>
    <col min="2" max="2" width="8.26953125" customWidth="1"/>
    <col min="3" max="3" width="17.26953125" customWidth="1"/>
    <col min="4" max="4" width="17.1796875" customWidth="1"/>
    <col min="5" max="5" width="17.542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6" si="0">J2-E2</f>
        <v>0</v>
      </c>
      <c r="M2" s="31">
        <f t="shared" ref="M2:M40" si="1">L2*F2</f>
        <v>0</v>
      </c>
      <c r="N2" s="15" t="str">
        <f>IF(Table2683251[[#This Row],[Fault Type]]="PM",IF(L2&lt;=(D2-C2),"Yes","No"),"")</f>
        <v/>
      </c>
      <c r="O2" s="16" t="str">
        <f t="shared" ref="O2:O66" si="2">IF(N2="No",(L2-(D2-C2)),"")</f>
        <v/>
      </c>
      <c r="P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IF(Table2683251[[#This Row],[Fault Type]]="PM",IF(L3&lt;=(D3-C3),"Yes","No"),"")</f>
        <v/>
      </c>
      <c r="O3" s="16" t="str">
        <f t="shared" si="2"/>
        <v/>
      </c>
      <c r="P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IF(Table2683251[[#This Row],[Fault Type]]="PM",IF(L4&lt;=(D4-C4),"Yes","No"),"")</f>
        <v/>
      </c>
      <c r="O4" s="16" t="str">
        <f t="shared" si="2"/>
        <v/>
      </c>
      <c r="P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IF(Table2683251[[#This Row],[Fault Type]]="PM",IF(L5&lt;=(D5-C5),"Yes","No"),"")</f>
        <v/>
      </c>
      <c r="O5" s="16" t="str">
        <f t="shared" si="2"/>
        <v/>
      </c>
      <c r="P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IF(Table2683251[[#This Row],[Fault Type]]="PM",IF(L6&lt;=(D6-C6),"Yes","No"),"")</f>
        <v/>
      </c>
      <c r="O6" s="16" t="str">
        <f t="shared" si="2"/>
        <v/>
      </c>
      <c r="P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IF(Table2683251[[#This Row],[Fault Type]]="PM",IF(L7&lt;=(D7-C7),"Yes","No"),"")</f>
        <v/>
      </c>
      <c r="O7" s="16" t="str">
        <f t="shared" si="2"/>
        <v/>
      </c>
      <c r="P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IF(Table2683251[[#This Row],[Fault Type]]="PM",IF(L8&lt;=(D8-C8),"Yes","No"),"")</f>
        <v/>
      </c>
      <c r="O8" s="16" t="str">
        <f t="shared" si="2"/>
        <v/>
      </c>
      <c r="P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IF(Table2683251[[#This Row],[Fault Type]]="PM",IF(L9&lt;=(D9-C9),"Yes","No"),"")</f>
        <v/>
      </c>
      <c r="O9" s="16" t="str">
        <f t="shared" si="2"/>
        <v/>
      </c>
      <c r="P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IF(Table2683251[[#This Row],[Fault Type]]="PM",IF(L10&lt;=(D10-C10),"Yes","No"),"")</f>
        <v/>
      </c>
      <c r="O10" s="16" t="str">
        <f t="shared" si="2"/>
        <v/>
      </c>
      <c r="P1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0" s="119"/>
    </row>
    <row r="11" spans="1:17" ht="15.5" x14ac:dyDescent="0.35">
      <c r="A11" s="4"/>
      <c r="B11" s="12"/>
      <c r="C11" s="13"/>
      <c r="D11" s="13"/>
      <c r="E11" s="13"/>
      <c r="F11" s="12"/>
      <c r="G11" s="12"/>
      <c r="H11" s="12"/>
      <c r="I11" s="12"/>
      <c r="J11" s="13"/>
      <c r="K11" s="32"/>
      <c r="L11" s="14">
        <f t="shared" si="0"/>
        <v>0</v>
      </c>
      <c r="M11" s="31">
        <f t="shared" si="1"/>
        <v>0</v>
      </c>
      <c r="N11" s="15" t="str">
        <f>IF(Table2683251[[#This Row],[Fault Type]]="PM",IF(L11&lt;=(D11-C11),"Yes","No"),"")</f>
        <v/>
      </c>
      <c r="O11" s="16" t="str">
        <f t="shared" si="2"/>
        <v/>
      </c>
      <c r="P1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1" s="119"/>
    </row>
    <row r="12" spans="1:17" ht="15.5" x14ac:dyDescent="0.35">
      <c r="A12" s="4"/>
      <c r="B12" s="12"/>
      <c r="C12" s="13"/>
      <c r="D12" s="13"/>
      <c r="E12" s="13"/>
      <c r="F12" s="12"/>
      <c r="G12" s="12"/>
      <c r="H12" s="12"/>
      <c r="I12" s="12"/>
      <c r="J12" s="13"/>
      <c r="K12" s="32"/>
      <c r="L12" s="14">
        <f t="shared" si="0"/>
        <v>0</v>
      </c>
      <c r="M12" s="31">
        <f t="shared" si="1"/>
        <v>0</v>
      </c>
      <c r="N12" s="15" t="str">
        <f>IF(Table2683251[[#This Row],[Fault Type]]="PM",IF(L12&lt;=(D12-C12),"Yes","No"),"")</f>
        <v/>
      </c>
      <c r="O12" s="16" t="str">
        <f t="shared" si="2"/>
        <v/>
      </c>
      <c r="P1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2" s="119"/>
    </row>
    <row r="13" spans="1:17" ht="15.5" x14ac:dyDescent="0.35">
      <c r="A13" s="4"/>
      <c r="B13" s="12"/>
      <c r="C13" s="13"/>
      <c r="D13" s="13"/>
      <c r="E13" s="13"/>
      <c r="F13" s="12"/>
      <c r="G13" s="12"/>
      <c r="H13" s="12"/>
      <c r="I13" s="12"/>
      <c r="J13" s="13"/>
      <c r="K13" s="32"/>
      <c r="L13" s="14">
        <f t="shared" si="0"/>
        <v>0</v>
      </c>
      <c r="M13" s="31">
        <f t="shared" si="1"/>
        <v>0</v>
      </c>
      <c r="N13" s="15" t="str">
        <f>IF(Table2683251[[#This Row],[Fault Type]]="PM",IF(L13&lt;=(D13-C13),"Yes","No"),"")</f>
        <v/>
      </c>
      <c r="O13" s="16" t="str">
        <f t="shared" si="2"/>
        <v/>
      </c>
      <c r="P1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3" s="119"/>
    </row>
    <row r="14" spans="1:17" ht="15.5" x14ac:dyDescent="0.35">
      <c r="A14" s="4"/>
      <c r="B14" s="12"/>
      <c r="C14" s="13"/>
      <c r="D14" s="13"/>
      <c r="E14" s="13"/>
      <c r="F14" s="12"/>
      <c r="G14" s="12"/>
      <c r="H14" s="12"/>
      <c r="I14" s="12"/>
      <c r="J14" s="13"/>
      <c r="K14" s="32"/>
      <c r="L14" s="14">
        <f t="shared" si="0"/>
        <v>0</v>
      </c>
      <c r="M14" s="31">
        <f t="shared" si="1"/>
        <v>0</v>
      </c>
      <c r="N14" s="15" t="str">
        <f>IF(Table2683251[[#This Row],[Fault Type]]="PM",IF(L14&lt;=(D14-C14),"Yes","No"),"")</f>
        <v/>
      </c>
      <c r="O14" s="16" t="str">
        <f t="shared" si="2"/>
        <v/>
      </c>
      <c r="P1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4" s="119"/>
    </row>
    <row r="15" spans="1:17" ht="15.5" x14ac:dyDescent="0.35">
      <c r="A15" s="4"/>
      <c r="B15" s="12"/>
      <c r="C15" s="13"/>
      <c r="D15" s="13"/>
      <c r="E15" s="13"/>
      <c r="F15" s="12"/>
      <c r="G15" s="12"/>
      <c r="H15" s="12"/>
      <c r="I15" s="12"/>
      <c r="J15" s="13"/>
      <c r="K15" s="32"/>
      <c r="L15" s="14">
        <f t="shared" si="0"/>
        <v>0</v>
      </c>
      <c r="M15" s="31">
        <f t="shared" si="1"/>
        <v>0</v>
      </c>
      <c r="N15" s="15" t="str">
        <f>IF(Table2683251[[#This Row],[Fault Type]]="PM",IF(L15&lt;=(D15-C15),"Yes","No"),"")</f>
        <v/>
      </c>
      <c r="O15" s="16" t="str">
        <f t="shared" si="2"/>
        <v/>
      </c>
      <c r="P1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5" s="119"/>
    </row>
    <row r="16" spans="1:17" ht="15.5" x14ac:dyDescent="0.35">
      <c r="A16" s="4"/>
      <c r="B16" s="12"/>
      <c r="C16" s="13"/>
      <c r="D16" s="13"/>
      <c r="E16" s="13"/>
      <c r="F16" s="18"/>
      <c r="G16" s="12"/>
      <c r="H16" s="18"/>
      <c r="I16" s="18"/>
      <c r="J16" s="13"/>
      <c r="K16" s="32"/>
      <c r="L16" s="14">
        <f t="shared" si="0"/>
        <v>0</v>
      </c>
      <c r="M16" s="31">
        <f t="shared" si="1"/>
        <v>0</v>
      </c>
      <c r="N16" s="15" t="str">
        <f>IF(Table2683251[[#This Row],[Fault Type]]="PM",IF(L16&lt;=(D16-C16),"Yes","No"),"")</f>
        <v/>
      </c>
      <c r="O16" s="16" t="str">
        <f t="shared" si="2"/>
        <v/>
      </c>
      <c r="P1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6" s="119"/>
    </row>
    <row r="17" spans="1:17" ht="15.5" x14ac:dyDescent="0.35">
      <c r="A17" s="4"/>
      <c r="B17" s="12"/>
      <c r="C17" s="13"/>
      <c r="D17" s="13"/>
      <c r="E17" s="13"/>
      <c r="F17" s="12"/>
      <c r="G17" s="12"/>
      <c r="H17" s="12"/>
      <c r="I17" s="12"/>
      <c r="J17" s="13"/>
      <c r="K17" s="32"/>
      <c r="L17" s="14">
        <f t="shared" si="0"/>
        <v>0</v>
      </c>
      <c r="M17" s="31">
        <f t="shared" si="1"/>
        <v>0</v>
      </c>
      <c r="N17" s="15" t="str">
        <f>IF(Table2683251[[#This Row],[Fault Type]]="PM",IF(L17&lt;=(D17-C17),"Yes","No"),"")</f>
        <v/>
      </c>
      <c r="O17" s="16" t="str">
        <f t="shared" si="2"/>
        <v/>
      </c>
      <c r="P1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7" s="119"/>
    </row>
    <row r="18" spans="1:17" ht="15.5" x14ac:dyDescent="0.35">
      <c r="A18" s="4"/>
      <c r="B18" s="12"/>
      <c r="C18" s="13"/>
      <c r="D18" s="13"/>
      <c r="E18" s="13"/>
      <c r="F18" s="18"/>
      <c r="G18" s="12"/>
      <c r="H18" s="18"/>
      <c r="I18" s="18"/>
      <c r="J18" s="13"/>
      <c r="K18" s="32"/>
      <c r="L18" s="14">
        <f t="shared" si="0"/>
        <v>0</v>
      </c>
      <c r="M18" s="31">
        <f t="shared" si="1"/>
        <v>0</v>
      </c>
      <c r="N18" s="15" t="str">
        <f>IF(Table2683251[[#This Row],[Fault Type]]="PM",IF(L18&lt;=(D18-C18),"Yes","No"),"")</f>
        <v/>
      </c>
      <c r="O18" s="16" t="str">
        <f t="shared" si="2"/>
        <v/>
      </c>
      <c r="P1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8" s="119"/>
    </row>
    <row r="19" spans="1:17" ht="15.5" x14ac:dyDescent="0.35">
      <c r="A19" s="4"/>
      <c r="B19" s="12"/>
      <c r="C19" s="13"/>
      <c r="D19" s="13"/>
      <c r="E19" s="13"/>
      <c r="F19" s="18"/>
      <c r="G19" s="12"/>
      <c r="H19" s="18"/>
      <c r="I19" s="18"/>
      <c r="J19" s="13"/>
      <c r="K19" s="32"/>
      <c r="L19" s="14">
        <f t="shared" si="0"/>
        <v>0</v>
      </c>
      <c r="M19" s="31">
        <f t="shared" si="1"/>
        <v>0</v>
      </c>
      <c r="N19" s="15" t="str">
        <f>IF(Table2683251[[#This Row],[Fault Type]]="PM",IF(L19&lt;=(D19-C19),"Yes","No"),"")</f>
        <v/>
      </c>
      <c r="O19" s="16" t="str">
        <f t="shared" si="2"/>
        <v/>
      </c>
      <c r="P1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19" s="119"/>
    </row>
    <row r="20" spans="1:17" ht="15.5" x14ac:dyDescent="0.35">
      <c r="A20" s="4"/>
      <c r="B20" s="12"/>
      <c r="C20" s="13"/>
      <c r="D20" s="13"/>
      <c r="E20" s="13"/>
      <c r="F20" s="165"/>
      <c r="G20" s="159"/>
      <c r="H20" s="54"/>
      <c r="I20" s="54"/>
      <c r="J20" s="13"/>
      <c r="K20" s="32"/>
      <c r="L20" s="14">
        <f t="shared" si="0"/>
        <v>0</v>
      </c>
      <c r="M20" s="31">
        <f t="shared" si="1"/>
        <v>0</v>
      </c>
      <c r="N20" s="15" t="str">
        <f>IF(Table2683251[[#This Row],[Fault Type]]="PM",IF(L20&lt;=(D20-C20),"Yes","No"),"")</f>
        <v/>
      </c>
      <c r="O20" s="16" t="str">
        <f t="shared" si="2"/>
        <v/>
      </c>
      <c r="P2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0" s="119"/>
    </row>
    <row r="21" spans="1:17" s="116" customFormat="1" ht="15.5" x14ac:dyDescent="0.35">
      <c r="A21" s="131"/>
      <c r="B21" s="132"/>
      <c r="C21" s="133"/>
      <c r="D21" s="133"/>
      <c r="E21" s="133"/>
      <c r="G21" s="159"/>
      <c r="H21" s="138"/>
      <c r="I21" s="138"/>
      <c r="J21" s="133"/>
      <c r="K21" s="136"/>
      <c r="L21" s="14">
        <f>J21-E21</f>
        <v>0</v>
      </c>
      <c r="M21" s="31">
        <f>L21*F21</f>
        <v>0</v>
      </c>
      <c r="N21" s="15" t="str">
        <f>IF(Table2683251[[#This Row],[Fault Type]]="PM",IF(L21&lt;=(D21-C21),"Yes","No"),"")</f>
        <v/>
      </c>
      <c r="O21" s="16" t="str">
        <f>IF(N21="No",(L21-(D21-C21)),"")</f>
        <v/>
      </c>
      <c r="P2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IF(Table2683251[[#This Row],[Fault Type]]="PM",IF(L22&lt;=(D22-C22),"Yes","No"),"")</f>
        <v/>
      </c>
      <c r="O22" s="16" t="str">
        <f t="shared" si="2"/>
        <v/>
      </c>
      <c r="P2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2" s="119"/>
    </row>
    <row r="23" spans="1:17" ht="15.5" x14ac:dyDescent="0.35">
      <c r="A23" s="4"/>
      <c r="B23" s="12"/>
      <c r="C23" s="13"/>
      <c r="D23" s="13"/>
      <c r="E23" s="13"/>
      <c r="F23" s="18"/>
      <c r="G23" s="12"/>
      <c r="H23" s="18"/>
      <c r="I23" s="18"/>
      <c r="J23" s="13"/>
      <c r="K23" s="32"/>
      <c r="L23" s="14">
        <f t="shared" si="0"/>
        <v>0</v>
      </c>
      <c r="M23" s="31">
        <f t="shared" si="1"/>
        <v>0</v>
      </c>
      <c r="N23" s="15" t="str">
        <f>IF(Table2683251[[#This Row],[Fault Type]]="PM",IF(L23&lt;=(D23-C23),"Yes","No"),"")</f>
        <v/>
      </c>
      <c r="O23" s="16" t="str">
        <f t="shared" si="2"/>
        <v/>
      </c>
      <c r="P2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3" s="119"/>
    </row>
    <row r="24" spans="1:17" ht="15.5" x14ac:dyDescent="0.35">
      <c r="A24" s="4"/>
      <c r="B24" s="12"/>
      <c r="C24" s="13"/>
      <c r="D24" s="13"/>
      <c r="E24" s="13"/>
      <c r="F24" s="18"/>
      <c r="G24" s="12"/>
      <c r="H24" s="18"/>
      <c r="I24" s="18"/>
      <c r="J24" s="13"/>
      <c r="K24" s="32"/>
      <c r="L24" s="14">
        <f t="shared" si="0"/>
        <v>0</v>
      </c>
      <c r="M24" s="31">
        <f t="shared" si="1"/>
        <v>0</v>
      </c>
      <c r="N24" s="15" t="str">
        <f>IF(Table2683251[[#This Row],[Fault Type]]="PM",IF(L24&lt;=(D24-C24),"Yes","No"),"")</f>
        <v/>
      </c>
      <c r="O24" s="16" t="str">
        <f t="shared" si="2"/>
        <v/>
      </c>
      <c r="P2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4" s="119"/>
    </row>
    <row r="25" spans="1:17" ht="15.5" x14ac:dyDescent="0.35">
      <c r="A25" s="4"/>
      <c r="B25" s="12"/>
      <c r="C25" s="13"/>
      <c r="D25" s="13"/>
      <c r="E25" s="13"/>
      <c r="F25" s="18"/>
      <c r="G25" s="12"/>
      <c r="H25" s="18"/>
      <c r="I25" s="18"/>
      <c r="J25" s="13"/>
      <c r="K25" s="32"/>
      <c r="L25" s="14">
        <f t="shared" si="0"/>
        <v>0</v>
      </c>
      <c r="M25" s="31">
        <f t="shared" si="1"/>
        <v>0</v>
      </c>
      <c r="N25" s="15" t="str">
        <f>IF(Table2683251[[#This Row],[Fault Type]]="PM",IF(L25&lt;=(D25-C25),"Yes","No"),"")</f>
        <v/>
      </c>
      <c r="O25" s="16" t="str">
        <f t="shared" si="2"/>
        <v/>
      </c>
      <c r="P2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5" s="119"/>
    </row>
    <row r="26" spans="1:17" ht="15.5" x14ac:dyDescent="0.35">
      <c r="A26" s="4"/>
      <c r="B26" s="12"/>
      <c r="C26" s="13"/>
      <c r="D26" s="13"/>
      <c r="E26" s="13"/>
      <c r="F26" s="18"/>
      <c r="G26" s="12"/>
      <c r="H26" s="18"/>
      <c r="I26" s="18"/>
      <c r="J26" s="13"/>
      <c r="K26" s="32"/>
      <c r="L26" s="14">
        <f t="shared" si="0"/>
        <v>0</v>
      </c>
      <c r="M26" s="31">
        <f t="shared" si="1"/>
        <v>0</v>
      </c>
      <c r="N26" s="15" t="str">
        <f>IF(Table2683251[[#This Row],[Fault Type]]="PM",IF(L26&lt;=(D26-C26),"Yes","No"),"")</f>
        <v/>
      </c>
      <c r="O26" s="16" t="str">
        <f t="shared" si="2"/>
        <v/>
      </c>
      <c r="P2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6" s="119"/>
    </row>
    <row r="27" spans="1:17" ht="15.5" x14ac:dyDescent="0.35">
      <c r="A27" s="4"/>
      <c r="B27" s="12"/>
      <c r="C27" s="13"/>
      <c r="D27" s="13"/>
      <c r="E27" s="13"/>
      <c r="F27" s="12"/>
      <c r="G27" s="12"/>
      <c r="H27" s="12"/>
      <c r="I27" s="12"/>
      <c r="J27" s="13"/>
      <c r="K27" s="32"/>
      <c r="L27" s="14">
        <f t="shared" si="0"/>
        <v>0</v>
      </c>
      <c r="M27" s="31">
        <f t="shared" si="1"/>
        <v>0</v>
      </c>
      <c r="N27" s="15" t="str">
        <f>IF(Table2683251[[#This Row],[Fault Type]]="PM",IF(L27&lt;=(D27-C27),"Yes","No"),"")</f>
        <v/>
      </c>
      <c r="O27" s="16" t="str">
        <f t="shared" si="2"/>
        <v/>
      </c>
      <c r="P2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7" s="119"/>
    </row>
    <row r="28" spans="1:17" ht="15.5" x14ac:dyDescent="0.35">
      <c r="A28" s="4"/>
      <c r="B28" s="12"/>
      <c r="C28" s="13"/>
      <c r="D28" s="13"/>
      <c r="E28" s="13"/>
      <c r="F28" s="18"/>
      <c r="G28" s="12"/>
      <c r="H28" s="18"/>
      <c r="I28" s="18"/>
      <c r="J28" s="13"/>
      <c r="K28" s="32"/>
      <c r="L28" s="14">
        <f t="shared" si="0"/>
        <v>0</v>
      </c>
      <c r="M28" s="31">
        <f t="shared" si="1"/>
        <v>0</v>
      </c>
      <c r="N28" s="15" t="str">
        <f>IF(Table2683251[[#This Row],[Fault Type]]="PM",IF(L28&lt;=(D28-C28),"Yes","No"),"")</f>
        <v/>
      </c>
      <c r="O28" s="16" t="str">
        <f t="shared" si="2"/>
        <v/>
      </c>
      <c r="P2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8" s="119"/>
    </row>
    <row r="29" spans="1:17" ht="15.5" x14ac:dyDescent="0.35">
      <c r="A29" s="4"/>
      <c r="B29" s="12"/>
      <c r="C29" s="13"/>
      <c r="D29" s="13"/>
      <c r="E29" s="13"/>
      <c r="F29" s="18"/>
      <c r="G29" s="12"/>
      <c r="H29" s="18"/>
      <c r="I29" s="18"/>
      <c r="J29" s="13"/>
      <c r="K29" s="32"/>
      <c r="L29" s="14">
        <f t="shared" si="0"/>
        <v>0</v>
      </c>
      <c r="M29" s="31">
        <f t="shared" si="1"/>
        <v>0</v>
      </c>
      <c r="N29" s="15" t="str">
        <f>IF(Table2683251[[#This Row],[Fault Type]]="PM",IF(L29&lt;=(D29-C29),"Yes","No"),"")</f>
        <v/>
      </c>
      <c r="O29" s="16" t="str">
        <f t="shared" si="2"/>
        <v/>
      </c>
      <c r="P2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29" s="119"/>
    </row>
    <row r="30" spans="1:17" ht="15.5" x14ac:dyDescent="0.35">
      <c r="A30" s="4"/>
      <c r="B30" s="12"/>
      <c r="C30" s="13"/>
      <c r="D30" s="13"/>
      <c r="E30" s="13"/>
      <c r="F30" s="12"/>
      <c r="G30" s="12"/>
      <c r="H30" s="12"/>
      <c r="I30" s="12"/>
      <c r="J30" s="13"/>
      <c r="K30" s="32"/>
      <c r="L30" s="14">
        <f t="shared" si="0"/>
        <v>0</v>
      </c>
      <c r="M30" s="31">
        <f t="shared" si="1"/>
        <v>0</v>
      </c>
      <c r="N30" s="15" t="str">
        <f>IF(Table2683251[[#This Row],[Fault Type]]="PM",IF(L30&lt;=(D30-C30),"Yes","No"),"")</f>
        <v/>
      </c>
      <c r="O30" s="16" t="str">
        <f t="shared" si="2"/>
        <v/>
      </c>
      <c r="P3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0" s="119"/>
    </row>
    <row r="31" spans="1:17" ht="15.5" x14ac:dyDescent="0.35">
      <c r="A31" s="4"/>
      <c r="B31" s="12"/>
      <c r="C31" s="13"/>
      <c r="D31" s="13"/>
      <c r="E31" s="13"/>
      <c r="F31" s="18"/>
      <c r="G31" s="12"/>
      <c r="H31" s="18"/>
      <c r="I31" s="18"/>
      <c r="J31" s="13"/>
      <c r="K31" s="32"/>
      <c r="L31" s="14">
        <f t="shared" si="0"/>
        <v>0</v>
      </c>
      <c r="M31" s="31">
        <f t="shared" si="1"/>
        <v>0</v>
      </c>
      <c r="N31" s="15" t="str">
        <f>IF(Table2683251[[#This Row],[Fault Type]]="PM",IF(L31&lt;=(D31-C31),"Yes","No"),"")</f>
        <v/>
      </c>
      <c r="O31" s="16" t="str">
        <f t="shared" si="2"/>
        <v/>
      </c>
      <c r="P3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1" s="119"/>
    </row>
    <row r="32" spans="1:17" ht="15.5" x14ac:dyDescent="0.35">
      <c r="A32" s="4"/>
      <c r="B32" s="12"/>
      <c r="C32" s="13"/>
      <c r="D32" s="13"/>
      <c r="E32" s="13"/>
      <c r="F32" s="18"/>
      <c r="G32" s="12"/>
      <c r="H32" s="18"/>
      <c r="I32" s="18"/>
      <c r="J32" s="13"/>
      <c r="K32" s="32"/>
      <c r="L32" s="14">
        <f t="shared" si="0"/>
        <v>0</v>
      </c>
      <c r="M32" s="31">
        <f t="shared" si="1"/>
        <v>0</v>
      </c>
      <c r="N32" s="15" t="str">
        <f>IF(Table2683251[[#This Row],[Fault Type]]="PM",IF(L32&lt;=(D32-C32),"Yes","No"),"")</f>
        <v/>
      </c>
      <c r="O32" s="16" t="str">
        <f t="shared" si="2"/>
        <v/>
      </c>
      <c r="P3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2" s="119"/>
    </row>
    <row r="33" spans="1:17" ht="15.5" x14ac:dyDescent="0.35">
      <c r="A33" s="4"/>
      <c r="B33" s="12"/>
      <c r="C33" s="13"/>
      <c r="D33" s="13"/>
      <c r="E33" s="13"/>
      <c r="F33" s="18"/>
      <c r="G33" s="12"/>
      <c r="H33" s="18"/>
      <c r="I33" s="18"/>
      <c r="J33" s="13"/>
      <c r="K33" s="32"/>
      <c r="L33" s="14">
        <f t="shared" si="0"/>
        <v>0</v>
      </c>
      <c r="M33" s="31">
        <f t="shared" si="1"/>
        <v>0</v>
      </c>
      <c r="N33" s="15" t="str">
        <f>IF(Table2683251[[#This Row],[Fault Type]]="PM",IF(L33&lt;=(D33-C33),"Yes","No"),"")</f>
        <v/>
      </c>
      <c r="O33" s="16" t="str">
        <f t="shared" si="2"/>
        <v/>
      </c>
      <c r="P3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3" s="119"/>
    </row>
    <row r="34" spans="1:17" ht="15.5" x14ac:dyDescent="0.35">
      <c r="A34" s="4"/>
      <c r="B34" s="12"/>
      <c r="C34" s="13"/>
      <c r="D34" s="13"/>
      <c r="E34" s="13"/>
      <c r="F34" s="18"/>
      <c r="G34" s="12"/>
      <c r="H34" s="18"/>
      <c r="I34" s="18"/>
      <c r="J34" s="13"/>
      <c r="K34" s="32"/>
      <c r="L34" s="14">
        <f t="shared" si="0"/>
        <v>0</v>
      </c>
      <c r="M34" s="31">
        <f t="shared" si="1"/>
        <v>0</v>
      </c>
      <c r="N34" s="15" t="str">
        <f>IF(Table2683251[[#This Row],[Fault Type]]="PM",IF(L34&lt;=(D34-C34),"Yes","No"),"")</f>
        <v/>
      </c>
      <c r="O34" s="16" t="str">
        <f t="shared" si="2"/>
        <v/>
      </c>
      <c r="P3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4" s="119"/>
    </row>
    <row r="35" spans="1:17" ht="15.5" x14ac:dyDescent="0.35">
      <c r="A35" s="4"/>
      <c r="B35" s="12"/>
      <c r="C35" s="13"/>
      <c r="D35" s="13"/>
      <c r="E35" s="13"/>
      <c r="F35" s="18"/>
      <c r="G35" s="12"/>
      <c r="H35" s="18"/>
      <c r="I35" s="18"/>
      <c r="J35" s="13"/>
      <c r="K35" s="32"/>
      <c r="L35" s="14">
        <f t="shared" si="0"/>
        <v>0</v>
      </c>
      <c r="M35" s="31">
        <f t="shared" si="1"/>
        <v>0</v>
      </c>
      <c r="N35" s="15" t="str">
        <f>IF(Table2683251[[#This Row],[Fault Type]]="PM",IF(L35&lt;=(D35-C35),"Yes","No"),"")</f>
        <v/>
      </c>
      <c r="O35" s="16" t="str">
        <f t="shared" si="2"/>
        <v/>
      </c>
      <c r="P3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5" s="119"/>
    </row>
    <row r="36" spans="1:17" ht="15.5" x14ac:dyDescent="0.35">
      <c r="A36" s="4"/>
      <c r="B36" s="12"/>
      <c r="C36" s="13"/>
      <c r="D36" s="13"/>
      <c r="E36" s="13"/>
      <c r="F36" s="18"/>
      <c r="G36" s="12"/>
      <c r="H36" s="18"/>
      <c r="I36" s="18"/>
      <c r="J36" s="13"/>
      <c r="K36" s="32"/>
      <c r="L36" s="14">
        <f t="shared" si="0"/>
        <v>0</v>
      </c>
      <c r="M36" s="31">
        <f t="shared" si="1"/>
        <v>0</v>
      </c>
      <c r="N36" s="15" t="str">
        <f>IF(Table2683251[[#This Row],[Fault Type]]="PM",IF(L36&lt;=(D36-C36),"Yes","No"),"")</f>
        <v/>
      </c>
      <c r="O36" s="16" t="str">
        <f t="shared" si="2"/>
        <v/>
      </c>
      <c r="P3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6" s="119"/>
    </row>
    <row r="37" spans="1:17" ht="15.5" x14ac:dyDescent="0.35">
      <c r="A37" s="4"/>
      <c r="B37" s="12"/>
      <c r="C37" s="13"/>
      <c r="D37" s="13"/>
      <c r="E37" s="13"/>
      <c r="F37" s="18"/>
      <c r="G37" s="12"/>
      <c r="H37" s="18"/>
      <c r="I37" s="18"/>
      <c r="J37" s="13"/>
      <c r="K37" s="32"/>
      <c r="L37" s="14">
        <f t="shared" si="0"/>
        <v>0</v>
      </c>
      <c r="M37" s="31">
        <f t="shared" si="1"/>
        <v>0</v>
      </c>
      <c r="N37" s="15" t="str">
        <f>IF(Table2683251[[#This Row],[Fault Type]]="PM",IF(L37&lt;=(D37-C37),"Yes","No"),"")</f>
        <v/>
      </c>
      <c r="O37" s="16" t="str">
        <f t="shared" si="2"/>
        <v/>
      </c>
      <c r="P3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7" s="119"/>
    </row>
    <row r="38" spans="1:17" ht="15.5" x14ac:dyDescent="0.35">
      <c r="A38" s="4"/>
      <c r="B38" s="12"/>
      <c r="C38" s="13"/>
      <c r="D38" s="13"/>
      <c r="E38" s="13"/>
      <c r="F38" s="18"/>
      <c r="G38" s="12"/>
      <c r="H38" s="18"/>
      <c r="I38" s="18"/>
      <c r="J38" s="13"/>
      <c r="K38" s="32"/>
      <c r="L38" s="14">
        <f t="shared" si="0"/>
        <v>0</v>
      </c>
      <c r="M38" s="31">
        <f t="shared" si="1"/>
        <v>0</v>
      </c>
      <c r="N38" s="15" t="str">
        <f>IF(Table2683251[[#This Row],[Fault Type]]="PM",IF(L38&lt;=(D38-C38),"Yes","No"),"")</f>
        <v/>
      </c>
      <c r="O38" s="16" t="str">
        <f t="shared" si="2"/>
        <v/>
      </c>
      <c r="P3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8" s="17"/>
    </row>
    <row r="39" spans="1:17" ht="15.5" x14ac:dyDescent="0.35">
      <c r="A39" s="4"/>
      <c r="B39" s="12"/>
      <c r="C39" s="13"/>
      <c r="D39" s="13"/>
      <c r="E39" s="13"/>
      <c r="F39" s="18"/>
      <c r="G39" s="12"/>
      <c r="H39" s="18"/>
      <c r="I39" s="18"/>
      <c r="J39" s="13"/>
      <c r="K39" s="32"/>
      <c r="L39" s="14">
        <f t="shared" si="0"/>
        <v>0</v>
      </c>
      <c r="M39" s="31">
        <f t="shared" si="1"/>
        <v>0</v>
      </c>
      <c r="N39" s="15" t="str">
        <f>IF(Table2683251[[#This Row],[Fault Type]]="PM",IF(L39&lt;=(D39-C39),"Yes","No"),"")</f>
        <v/>
      </c>
      <c r="O39" s="16" t="str">
        <f t="shared" si="2"/>
        <v/>
      </c>
      <c r="P3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39" s="17"/>
    </row>
    <row r="40" spans="1:17" ht="15.5" x14ac:dyDescent="0.35">
      <c r="A40" s="4"/>
      <c r="B40" s="12"/>
      <c r="C40" s="13"/>
      <c r="D40" s="13"/>
      <c r="E40" s="13"/>
      <c r="F40" s="18"/>
      <c r="G40" s="12"/>
      <c r="H40" s="18"/>
      <c r="I40" s="18"/>
      <c r="J40" s="13"/>
      <c r="K40" s="32"/>
      <c r="L40" s="14">
        <f t="shared" si="0"/>
        <v>0</v>
      </c>
      <c r="M40" s="31">
        <f t="shared" si="1"/>
        <v>0</v>
      </c>
      <c r="N40" s="15" t="str">
        <f>IF(Table2683251[[#This Row],[Fault Type]]="PM",IF(L40&lt;=(D40-C40),"Yes","No"),"")</f>
        <v/>
      </c>
      <c r="O40" s="16" t="str">
        <f t="shared" si="2"/>
        <v/>
      </c>
      <c r="P4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0" s="17"/>
    </row>
    <row r="41" spans="1:17" ht="15.5" x14ac:dyDescent="0.35">
      <c r="A41" s="4"/>
      <c r="B41" s="12"/>
      <c r="C41" s="13"/>
      <c r="D41" s="13"/>
      <c r="E41" s="13"/>
      <c r="F41" s="18"/>
      <c r="G41" s="12"/>
      <c r="H41" s="18"/>
      <c r="I41" s="18"/>
      <c r="J41" s="13"/>
      <c r="K41" s="32"/>
      <c r="L41" s="14">
        <f t="shared" si="0"/>
        <v>0</v>
      </c>
      <c r="M41" s="31">
        <f t="shared" ref="M41:M80" si="3">L41*F41</f>
        <v>0</v>
      </c>
      <c r="N41" s="15" t="str">
        <f>IF(Table2683251[[#This Row],[Fault Type]]="PM",IF(L41&lt;=(D41-C41),"Yes","No"),"")</f>
        <v/>
      </c>
      <c r="O41" s="16" t="str">
        <f t="shared" si="2"/>
        <v/>
      </c>
      <c r="P4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IF(Table2683251[[#This Row],[Fault Type]]="PM",IF(L42&lt;=(D42-C42),"Yes","No"),"")</f>
        <v/>
      </c>
      <c r="O42" s="16" t="str">
        <f t="shared" si="2"/>
        <v/>
      </c>
      <c r="P4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IF(Table2683251[[#This Row],[Fault Type]]="PM",IF(L43&lt;=(D43-C43),"Yes","No"),"")</f>
        <v/>
      </c>
      <c r="O43" s="16" t="str">
        <f t="shared" si="2"/>
        <v/>
      </c>
      <c r="P4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IF(Table2683251[[#This Row],[Fault Type]]="PM",IF(L44&lt;=(D44-C44),"Yes","No"),"")</f>
        <v/>
      </c>
      <c r="O44" s="16" t="str">
        <f t="shared" si="2"/>
        <v/>
      </c>
      <c r="P4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IF(Table2683251[[#This Row],[Fault Type]]="PM",IF(L45&lt;=(D45-C45),"Yes","No"),"")</f>
        <v/>
      </c>
      <c r="O45" s="16" t="str">
        <f t="shared" si="2"/>
        <v/>
      </c>
      <c r="P4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5" s="17"/>
    </row>
    <row r="46" spans="1:17" ht="15.75" customHeight="1" x14ac:dyDescent="0.35">
      <c r="A46" s="4"/>
      <c r="B46" s="12"/>
      <c r="C46" s="13"/>
      <c r="D46" s="13"/>
      <c r="E46" s="13"/>
      <c r="F46" s="12"/>
      <c r="G46" s="12"/>
      <c r="H46" s="12"/>
      <c r="I46" s="12"/>
      <c r="J46" s="13"/>
      <c r="K46" s="32"/>
      <c r="L46" s="14">
        <f t="shared" si="0"/>
        <v>0</v>
      </c>
      <c r="M46" s="31">
        <f t="shared" si="3"/>
        <v>0</v>
      </c>
      <c r="N46" s="15" t="str">
        <f>IF(Table2683251[[#This Row],[Fault Type]]="PM",IF(L46&lt;=(D46-C46),"Yes","No"),"")</f>
        <v/>
      </c>
      <c r="O46" s="16" t="str">
        <f t="shared" si="2"/>
        <v/>
      </c>
      <c r="P4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6" s="17"/>
    </row>
    <row r="47" spans="1:17" ht="15.5" x14ac:dyDescent="0.35">
      <c r="A47" s="4"/>
      <c r="B47" s="12"/>
      <c r="C47" s="13"/>
      <c r="D47" s="13"/>
      <c r="E47" s="13"/>
      <c r="F47" s="18"/>
      <c r="G47" s="12"/>
      <c r="H47" s="18"/>
      <c r="I47" s="18"/>
      <c r="J47" s="13"/>
      <c r="K47" s="32"/>
      <c r="L47" s="14">
        <f t="shared" si="0"/>
        <v>0</v>
      </c>
      <c r="M47" s="31">
        <f t="shared" si="3"/>
        <v>0</v>
      </c>
      <c r="N47" s="15" t="str">
        <f>IF(Table2683251[[#This Row],[Fault Type]]="PM",IF(L47&lt;=(D47-C47),"Yes","No"),"")</f>
        <v/>
      </c>
      <c r="O47" s="16" t="str">
        <f t="shared" si="2"/>
        <v/>
      </c>
      <c r="P4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7" s="17"/>
    </row>
    <row r="48" spans="1:17" ht="15.5" x14ac:dyDescent="0.35">
      <c r="A48" s="4"/>
      <c r="B48" s="49"/>
      <c r="C48" s="49"/>
      <c r="D48" s="49"/>
      <c r="E48" s="13"/>
      <c r="F48" s="64"/>
      <c r="G48" s="49"/>
      <c r="H48" s="54"/>
      <c r="I48" s="54"/>
      <c r="J48" s="13"/>
      <c r="K48" s="32"/>
      <c r="L48" s="14">
        <f t="shared" si="0"/>
        <v>0</v>
      </c>
      <c r="M48" s="53">
        <f t="shared" si="3"/>
        <v>0</v>
      </c>
      <c r="N48" s="50" t="str">
        <f>IF(Table2683251[[#This Row],[Fault Type]]="PM",IF(L48&lt;=(D48-C48),"Yes","No"),"")</f>
        <v/>
      </c>
      <c r="O48" s="51" t="str">
        <f t="shared" si="2"/>
        <v/>
      </c>
      <c r="P4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row>
    <row r="49" spans="1:17" ht="15.5" x14ac:dyDescent="0.35">
      <c r="A49" s="58"/>
      <c r="B49" s="55"/>
      <c r="C49" s="56"/>
      <c r="D49" s="56"/>
      <c r="E49" s="13"/>
      <c r="F49" s="55"/>
      <c r="G49" s="55"/>
      <c r="H49" s="57"/>
      <c r="I49" s="18"/>
      <c r="J49" s="13"/>
      <c r="K49" s="32"/>
      <c r="L49" s="14">
        <f t="shared" si="0"/>
        <v>0</v>
      </c>
      <c r="M49" s="59">
        <f t="shared" si="3"/>
        <v>0</v>
      </c>
      <c r="N49" s="61" t="str">
        <f>IF(Table2683251[[#This Row],[Fault Type]]="PM",IF(L49&lt;=(D49-C49),"Yes","No"),"")</f>
        <v/>
      </c>
      <c r="O49" s="62" t="str">
        <f t="shared" si="2"/>
        <v/>
      </c>
      <c r="P4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IF(Table2683251[[#This Row],[Fault Type]]="PM",IF(L50&lt;=(D50-C50),"Yes","No"),"")</f>
        <v/>
      </c>
      <c r="O50" s="62" t="str">
        <f t="shared" si="2"/>
        <v/>
      </c>
      <c r="P5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0" s="63"/>
    </row>
    <row r="51" spans="1:17" ht="15.5" x14ac:dyDescent="0.35">
      <c r="A51" s="58"/>
      <c r="B51" s="55"/>
      <c r="C51" s="56"/>
      <c r="D51" s="56"/>
      <c r="E51" s="13"/>
      <c r="F51" s="55"/>
      <c r="G51" s="55"/>
      <c r="H51" s="57"/>
      <c r="I51" s="18"/>
      <c r="J51" s="13"/>
      <c r="K51" s="32"/>
      <c r="L51" s="14">
        <f t="shared" si="0"/>
        <v>0</v>
      </c>
      <c r="M51" s="59">
        <f t="shared" si="3"/>
        <v>0</v>
      </c>
      <c r="N51" s="61" t="str">
        <f>IF(Table2683251[[#This Row],[Fault Type]]="PM",IF(L51&lt;=(D51-C51),"Yes","No"),"")</f>
        <v/>
      </c>
      <c r="O51" s="62" t="str">
        <f t="shared" si="2"/>
        <v/>
      </c>
      <c r="P5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IF(Table2683251[[#This Row],[Fault Type]]="PM",IF(L52&lt;=(D52-C52),"Yes","No"),"")</f>
        <v/>
      </c>
      <c r="O52" s="62" t="str">
        <f t="shared" si="2"/>
        <v/>
      </c>
      <c r="P5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IF(Table2683251[[#This Row],[Fault Type]]="PM",IF(L53&lt;=(D53-C53),"Yes","No"),"")</f>
        <v/>
      </c>
      <c r="O53" s="62" t="str">
        <f t="shared" si="2"/>
        <v/>
      </c>
      <c r="P5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IF(Table2683251[[#This Row],[Fault Type]]="PM",IF(L54&lt;=(D54-C54),"Yes","No"),"")</f>
        <v/>
      </c>
      <c r="O54" s="62" t="str">
        <f t="shared" si="2"/>
        <v/>
      </c>
      <c r="P5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IF(Table2683251[[#This Row],[Fault Type]]="PM",IF(L55&lt;=(D55-C55),"Yes","No"),"")</f>
        <v/>
      </c>
      <c r="O55" s="62" t="str">
        <f t="shared" si="2"/>
        <v/>
      </c>
      <c r="P5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IF(Table2683251[[#This Row],[Fault Type]]="PM",IF(L56&lt;=(D56-C56),"Yes","No"),"")</f>
        <v/>
      </c>
      <c r="O56" s="62" t="str">
        <f t="shared" si="2"/>
        <v/>
      </c>
      <c r="P5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6" s="63"/>
    </row>
    <row r="57" spans="1:17" ht="15.5" x14ac:dyDescent="0.35">
      <c r="A57" s="58"/>
      <c r="B57" s="55"/>
      <c r="C57" s="56"/>
      <c r="D57" s="56"/>
      <c r="E57" s="13"/>
      <c r="F57" s="55"/>
      <c r="G57" s="55"/>
      <c r="H57" s="57"/>
      <c r="I57" s="18"/>
      <c r="J57" s="13"/>
      <c r="K57" s="83"/>
      <c r="L57" s="14">
        <f t="shared" si="0"/>
        <v>0</v>
      </c>
      <c r="M57" s="59">
        <f t="shared" si="3"/>
        <v>0</v>
      </c>
      <c r="N57" s="61" t="str">
        <f>IF(Table2683251[[#This Row],[Fault Type]]="PM",IF(L57&lt;=(D57-C57),"Yes","No"),"")</f>
        <v/>
      </c>
      <c r="O57" s="62" t="str">
        <f t="shared" si="2"/>
        <v/>
      </c>
      <c r="P5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7" s="63"/>
    </row>
    <row r="58" spans="1:17" ht="15.5" x14ac:dyDescent="0.35">
      <c r="A58" s="58"/>
      <c r="B58" s="55"/>
      <c r="C58" s="56"/>
      <c r="D58" s="56"/>
      <c r="E58" s="13"/>
      <c r="F58" s="55"/>
      <c r="G58" s="55"/>
      <c r="H58" s="57"/>
      <c r="I58" s="18"/>
      <c r="J58" s="13"/>
      <c r="K58" s="83"/>
      <c r="L58" s="14">
        <f t="shared" si="0"/>
        <v>0</v>
      </c>
      <c r="M58" s="59">
        <f t="shared" si="3"/>
        <v>0</v>
      </c>
      <c r="N58" s="61" t="str">
        <f>IF(Table2683251[[#This Row],[Fault Type]]="PM",IF(L58&lt;=(D58-C58),"Yes","No"),"")</f>
        <v/>
      </c>
      <c r="O58" s="62" t="str">
        <f t="shared" si="2"/>
        <v/>
      </c>
      <c r="P5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8" s="63"/>
    </row>
    <row r="59" spans="1:17" ht="15.5" x14ac:dyDescent="0.35">
      <c r="A59" s="58"/>
      <c r="B59" s="55"/>
      <c r="C59" s="56"/>
      <c r="D59" s="56"/>
      <c r="E59" s="13"/>
      <c r="F59" s="55"/>
      <c r="G59" s="55"/>
      <c r="H59" s="57"/>
      <c r="I59" s="18"/>
      <c r="J59" s="13"/>
      <c r="K59" s="83"/>
      <c r="L59" s="14">
        <f t="shared" si="0"/>
        <v>0</v>
      </c>
      <c r="M59" s="59">
        <f t="shared" si="3"/>
        <v>0</v>
      </c>
      <c r="N59" s="61" t="str">
        <f>IF(Table2683251[[#This Row],[Fault Type]]="PM",IF(L59&lt;=(D59-C59),"Yes","No"),"")</f>
        <v/>
      </c>
      <c r="O59" s="62" t="str">
        <f t="shared" si="2"/>
        <v/>
      </c>
      <c r="P5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IF(Table2683251[[#This Row],[Fault Type]]="PM",IF(L60&lt;=(D60-C60),"Yes","No"),"")</f>
        <v/>
      </c>
      <c r="O60" s="62" t="str">
        <f t="shared" si="2"/>
        <v/>
      </c>
      <c r="P6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IF(Table2683251[[#This Row],[Fault Type]]="PM",IF(L61&lt;=(D61-C61),"Yes","No"),"")</f>
        <v/>
      </c>
      <c r="O61" s="62" t="str">
        <f t="shared" si="2"/>
        <v/>
      </c>
      <c r="P6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IF(Table2683251[[#This Row],[Fault Type]]="PM",IF(L62&lt;=(D62-C62),"Yes","No"),"")</f>
        <v/>
      </c>
      <c r="O62" s="62" t="str">
        <f t="shared" si="2"/>
        <v/>
      </c>
      <c r="P6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IF(Table2683251[[#This Row],[Fault Type]]="PM",IF(L63&lt;=(D63-C63),"Yes","No"),"")</f>
        <v/>
      </c>
      <c r="O63" s="62" t="str">
        <f t="shared" si="2"/>
        <v/>
      </c>
      <c r="P6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IF(Table2683251[[#This Row],[Fault Type]]="PM",IF(L64&lt;=(D64-C64),"Yes","No"),"")</f>
        <v/>
      </c>
      <c r="O64" s="62" t="str">
        <f t="shared" si="2"/>
        <v/>
      </c>
      <c r="P6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IF(Table2683251[[#This Row],[Fault Type]]="PM",IF(L65&lt;=(D65-C65),"Yes","No"),"")</f>
        <v/>
      </c>
      <c r="O65" s="62" t="str">
        <f t="shared" si="2"/>
        <v/>
      </c>
      <c r="P6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5" s="63"/>
    </row>
    <row r="66" spans="1:17" ht="15.5" x14ac:dyDescent="0.35">
      <c r="A66" s="58"/>
      <c r="B66" s="55"/>
      <c r="C66" s="56"/>
      <c r="D66" s="56"/>
      <c r="E66" s="13"/>
      <c r="F66" s="55"/>
      <c r="G66" s="55"/>
      <c r="H66" s="57"/>
      <c r="I66" s="18"/>
      <c r="J66" s="13"/>
      <c r="K66" s="60"/>
      <c r="L66" s="14">
        <f t="shared" si="0"/>
        <v>0</v>
      </c>
      <c r="M66" s="59">
        <f t="shared" si="3"/>
        <v>0</v>
      </c>
      <c r="N66" s="61" t="str">
        <f>IF(Table2683251[[#This Row],[Fault Type]]="PM",IF(L66&lt;=(D66-C66),"Yes","No"),"")</f>
        <v/>
      </c>
      <c r="O66" s="62" t="str">
        <f t="shared" si="2"/>
        <v/>
      </c>
      <c r="P6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6" s="63"/>
    </row>
    <row r="67" spans="1:17" ht="15.5" x14ac:dyDescent="0.35">
      <c r="A67" s="58"/>
      <c r="B67" s="55"/>
      <c r="C67" s="56"/>
      <c r="D67" s="56"/>
      <c r="E67" s="13"/>
      <c r="F67" s="55"/>
      <c r="G67" s="55"/>
      <c r="H67" s="57"/>
      <c r="I67" s="18"/>
      <c r="J67" s="13"/>
      <c r="K67" s="60"/>
      <c r="L67" s="14">
        <f t="shared" ref="L67:L80" si="4">J67-E67</f>
        <v>0</v>
      </c>
      <c r="M67" s="59">
        <f t="shared" si="3"/>
        <v>0</v>
      </c>
      <c r="N67" s="61" t="str">
        <f>IF(Table2683251[[#This Row],[Fault Type]]="PM",IF(L67&lt;=(D67-C67),"Yes","No"),"")</f>
        <v/>
      </c>
      <c r="O67" s="62" t="str">
        <f t="shared" ref="O67:O80" si="5">IF(N67="No",(L67-(D67-C67)),"")</f>
        <v/>
      </c>
      <c r="P6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IF(Table2683251[[#This Row],[Fault Type]]="PM",IF(L68&lt;=(D68-C68),"Yes","No"),"")</f>
        <v/>
      </c>
      <c r="O68" s="62" t="str">
        <f t="shared" si="5"/>
        <v/>
      </c>
      <c r="P6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IF(Table2683251[[#This Row],[Fault Type]]="PM",IF(L69&lt;=(D69-C69),"Yes","No"),"")</f>
        <v/>
      </c>
      <c r="O69" s="62" t="str">
        <f t="shared" si="5"/>
        <v/>
      </c>
      <c r="P6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IF(Table2683251[[#This Row],[Fault Type]]="PM",IF(L70&lt;=(D70-C70),"Yes","No"),"")</f>
        <v/>
      </c>
      <c r="O70" s="62" t="str">
        <f t="shared" si="5"/>
        <v/>
      </c>
      <c r="P7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IF(Table2683251[[#This Row],[Fault Type]]="PM",IF(L71&lt;=(D71-C71),"Yes","No"),"")</f>
        <v/>
      </c>
      <c r="O71" s="62" t="str">
        <f t="shared" si="5"/>
        <v/>
      </c>
      <c r="P71"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IF(Table2683251[[#This Row],[Fault Type]]="PM",IF(L72&lt;=(D72-C72),"Yes","No"),"")</f>
        <v/>
      </c>
      <c r="O72" s="62" t="str">
        <f t="shared" si="5"/>
        <v/>
      </c>
      <c r="P72"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IF(Table2683251[[#This Row],[Fault Type]]="PM",IF(L73&lt;=(D73-C73),"Yes","No"),"")</f>
        <v/>
      </c>
      <c r="O73" s="62" t="str">
        <f t="shared" si="5"/>
        <v/>
      </c>
      <c r="P73"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IF(Table2683251[[#This Row],[Fault Type]]="PM",IF(L74&lt;=(D74-C74),"Yes","No"),"")</f>
        <v/>
      </c>
      <c r="O74" s="62" t="str">
        <f t="shared" si="5"/>
        <v/>
      </c>
      <c r="P74"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IF(Table2683251[[#This Row],[Fault Type]]="PM",IF(L75&lt;=(D75-C75),"Yes","No"),"")</f>
        <v/>
      </c>
      <c r="O75" s="62" t="str">
        <f t="shared" si="5"/>
        <v/>
      </c>
      <c r="P75"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IF(Table2683251[[#This Row],[Fault Type]]="PM",IF(L76&lt;=(D76-C76),"Yes","No"),"")</f>
        <v/>
      </c>
      <c r="O76" s="62" t="str">
        <f t="shared" si="5"/>
        <v/>
      </c>
      <c r="P76"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IF(Table2683251[[#This Row],[Fault Type]]="PM",IF(L77&lt;=(D77-C77),"Yes","No"),"")</f>
        <v/>
      </c>
      <c r="O77" s="62" t="str">
        <f t="shared" si="5"/>
        <v/>
      </c>
      <c r="P77"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IF(Table2683251[[#This Row],[Fault Type]]="PM",IF(L78&lt;=(D78-C78),"Yes","No"),"")</f>
        <v/>
      </c>
      <c r="O78" s="62" t="str">
        <f t="shared" si="5"/>
        <v/>
      </c>
      <c r="P78"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IF(Table2683251[[#This Row],[Fault Type]]="PM",IF(L79&lt;=(D79-C79),"Yes","No"),"")</f>
        <v/>
      </c>
      <c r="O79" s="62" t="str">
        <f t="shared" si="5"/>
        <v/>
      </c>
      <c r="P79"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79" s="63"/>
    </row>
    <row r="80" spans="1:17" ht="15.5" x14ac:dyDescent="0.35">
      <c r="A80" s="58"/>
      <c r="B80" s="55"/>
      <c r="C80" s="56"/>
      <c r="D80" s="56"/>
      <c r="E80" s="13"/>
      <c r="F80" s="55"/>
      <c r="G80" s="55"/>
      <c r="H80" s="57"/>
      <c r="I80" s="18"/>
      <c r="J80" s="13"/>
      <c r="K80" s="60"/>
      <c r="L80" s="14">
        <f t="shared" si="4"/>
        <v>0</v>
      </c>
      <c r="M80" s="59">
        <f t="shared" si="3"/>
        <v>0</v>
      </c>
      <c r="N80" s="61" t="str">
        <f>IF(Table2683251[[#This Row],[Fault Type]]="PM",IF(L80&lt;=(D80-C80),"Yes","No"),"")</f>
        <v/>
      </c>
      <c r="O80" s="62" t="str">
        <f t="shared" si="5"/>
        <v/>
      </c>
      <c r="P80" s="30" t="str">
        <f>IF(AND(Table2683251[[#This Row],[Name of Feeder]]&lt;&gt;"",OR(Table2683251[[#This Row],[Fault Type]]="TL",Table2683251[[#This Row],[Fault Type]]="TS",Table2683251[[#This Row],[Fault Type]]="UF",Table2683251[[#This Row],[Fault Type]]="SE")),(IF(AND(VLOOKUP(Table2683251[[#This Row],[Name of Feeder]],Main!D:E,2,0)="URBAN",ISNUMBER(SEARCH("33KV",Table2683251[[#This Row],[Name of Feeder]]))),IF(AND(Table2683251[[#This Row],[Outage Duration]]&gt;0,Table2683251[[#This Row],[Outage Duration]]&lt;=0.25),"Yes","No"),IF(AND(VLOOKUP(Table2683251[[#This Row],[Name of Feeder]],Main!D:E,2,0)="RURAL",ISNUMBER(SEARCH("33KV",Table2683251[[#This Row],[Name of Feeder]]))),IF(AND(Table2683251[[#This Row],[Outage Duration]]&gt;0,Table2683251[[#This Row],[Outage Duration]]&lt;=0.33),"Yes","No"),IF(AND(VLOOKUP(Table2683251[[#This Row],[Name of Feeder]],Main!D:E,2,0)="RURAL",ISNUMBER(SEARCH("11KV",Table2683251[[#This Row],[Name of Feeder]]))),IF(AND(Table2683251[[#This Row],[Outage Duration]]&gt;0,Table2683251[[#This Row],[Outage Duration]]&lt;=0.17),"Yes","No"),IF(AND(VLOOKUP(Table2683251[[#This Row],[Name of Feeder]],Main!D:E,2,0)="URBAN",ISNUMBER(SEARCH("11KV",Table2683251[[#This Row],[Name of Feeder]]))),IF(AND(Table2683251[[#This Row],[Outage Duration]]&gt;0,Table2683251[[#This Row],[Outage Duration]]&lt;=0.17),"Yes","No"),""))))),"")</f>
        <v/>
      </c>
      <c r="Q80" s="63"/>
    </row>
  </sheetData>
  <dataValidations count="1">
    <dataValidation type="list" allowBlank="1" showInputMessage="1" showErrorMessage="1" sqref="G49:G80" xr:uid="{00000000-0002-0000-1300-000000000000}">
      <formula1>F$203:F$205</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300-000001000000}">
          <x14:formula1>
            <xm:f>Main!$F$226:$F$228</xm:f>
          </x14:formula1>
          <xm:sqref>I2:I80</xm:sqref>
        </x14:dataValidation>
        <x14:dataValidation type="list" allowBlank="1" showInputMessage="1" showErrorMessage="1" xr:uid="{00000000-0002-0000-1300-000002000000}">
          <x14:formula1>
            <xm:f>Main!$D$2:$D$196</xm:f>
          </x14:formula1>
          <xm:sqref>A2:A80</xm:sqref>
        </x14:dataValidation>
        <x14:dataValidation type="list" allowBlank="1" showInputMessage="1" showErrorMessage="1" xr:uid="{00000000-0002-0000-1300-000003000000}">
          <x14:formula1>
            <xm:f>Main!F$222:F$225</xm:f>
          </x14:formula1>
          <xm:sqref>G2:G47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78"/>
  <sheetViews>
    <sheetView topLeftCell="D58" zoomScale="70" zoomScaleNormal="70" workbookViewId="0">
      <selection activeCell="Q6" sqref="Q6:Q8"/>
    </sheetView>
  </sheetViews>
  <sheetFormatPr defaultRowHeight="14.5" x14ac:dyDescent="0.35"/>
  <cols>
    <col min="1" max="1" width="27.26953125" customWidth="1"/>
    <col min="2" max="2" width="8.26953125" customWidth="1"/>
    <col min="3" max="3" width="17.26953125" customWidth="1"/>
    <col min="4" max="4" width="17.1796875" customWidth="1"/>
    <col min="5" max="5" width="17"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4" si="0">J2-E2</f>
        <v>0</v>
      </c>
      <c r="M2" s="31">
        <f t="shared" ref="M2:M23" si="1">L2*F2</f>
        <v>0</v>
      </c>
      <c r="N2" s="15" t="str">
        <f>IF(Table2683250[[#This Row],[Fault Type]]="PM",IF(L2&lt;=(D2-C2),"Yes","No"),"")</f>
        <v/>
      </c>
      <c r="O2" s="16" t="str">
        <f t="shared" ref="O2:O64" si="2">IF(N2="No",(L2-(D2-C2)),"")</f>
        <v/>
      </c>
      <c r="P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 s="17"/>
    </row>
    <row r="3" spans="1:17" ht="15.5" x14ac:dyDescent="0.35">
      <c r="A3" s="4"/>
      <c r="B3" s="12"/>
      <c r="C3" s="13"/>
      <c r="D3" s="13"/>
      <c r="E3" s="13"/>
      <c r="F3" s="12"/>
      <c r="G3" s="12"/>
      <c r="H3" s="27"/>
      <c r="I3" s="135"/>
      <c r="J3" s="13"/>
      <c r="K3" s="32"/>
      <c r="L3" s="14">
        <f t="shared" si="0"/>
        <v>0</v>
      </c>
      <c r="M3" s="31">
        <f t="shared" si="1"/>
        <v>0</v>
      </c>
      <c r="N3" s="15" t="str">
        <f>IF(Table2683250[[#This Row],[Fault Type]]="PM",IF(L3&lt;=(D3-C3),"Yes","No"),"")</f>
        <v/>
      </c>
      <c r="O3" s="16" t="str">
        <f t="shared" si="2"/>
        <v/>
      </c>
      <c r="P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IF(Table2683250[[#This Row],[Fault Type]]="PM",IF(L4&lt;=(D4-C4),"Yes","No"),"")</f>
        <v/>
      </c>
      <c r="O4" s="16" t="str">
        <f t="shared" si="2"/>
        <v/>
      </c>
      <c r="P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IF(Table2683250[[#This Row],[Fault Type]]="PM",IF(L5&lt;=(D5-C5),"Yes","No"),"")</f>
        <v/>
      </c>
      <c r="O5" s="16" t="str">
        <f t="shared" si="2"/>
        <v/>
      </c>
      <c r="P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IF(Table2683250[[#This Row],[Fault Type]]="PM",IF(L6&lt;=(D6-C6),"Yes","No"),"")</f>
        <v/>
      </c>
      <c r="O6" s="16" t="str">
        <f t="shared" si="2"/>
        <v/>
      </c>
      <c r="P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IF(Table2683250[[#This Row],[Fault Type]]="PM",IF(L7&lt;=(D7-C7),"Yes","No"),"")</f>
        <v/>
      </c>
      <c r="O7" s="16" t="str">
        <f t="shared" si="2"/>
        <v/>
      </c>
      <c r="P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IF(Table2683250[[#This Row],[Fault Type]]="PM",IF(L8&lt;=(D8-C8),"Yes","No"),"")</f>
        <v/>
      </c>
      <c r="O8" s="16" t="str">
        <f t="shared" si="2"/>
        <v/>
      </c>
      <c r="P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IF(Table2683250[[#This Row],[Fault Type]]="PM",IF(L9&lt;=(D9-C9),"Yes","No"),"")</f>
        <v/>
      </c>
      <c r="O9" s="16" t="str">
        <f t="shared" si="2"/>
        <v/>
      </c>
      <c r="P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IF(Table2683250[[#This Row],[Fault Type]]="PM",IF(L10&lt;=(D10-C10),"Yes","No"),"")</f>
        <v/>
      </c>
      <c r="O10" s="16" t="str">
        <f t="shared" si="2"/>
        <v/>
      </c>
      <c r="P1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0" s="119"/>
    </row>
    <row r="11" spans="1:17" ht="15.5" x14ac:dyDescent="0.35">
      <c r="A11" s="4"/>
      <c r="B11" s="12"/>
      <c r="C11" s="13"/>
      <c r="D11" s="13"/>
      <c r="E11" s="13"/>
      <c r="F11" s="12"/>
      <c r="G11" s="12"/>
      <c r="H11" s="12"/>
      <c r="I11" s="12"/>
      <c r="J11" s="13"/>
      <c r="K11" s="32"/>
      <c r="L11" s="14">
        <f t="shared" si="0"/>
        <v>0</v>
      </c>
      <c r="M11" s="31">
        <f t="shared" si="1"/>
        <v>0</v>
      </c>
      <c r="N11" s="15" t="str">
        <f>IF(Table2683250[[#This Row],[Fault Type]]="PM",IF(L11&lt;=(D11-C11),"Yes","No"),"")</f>
        <v/>
      </c>
      <c r="O11" s="16" t="str">
        <f t="shared" si="2"/>
        <v/>
      </c>
      <c r="P1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1" s="119"/>
    </row>
    <row r="12" spans="1:17" ht="15.5" x14ac:dyDescent="0.35">
      <c r="A12" s="4"/>
      <c r="B12" s="12"/>
      <c r="C12" s="13"/>
      <c r="D12" s="13"/>
      <c r="E12" s="13"/>
      <c r="F12" s="12"/>
      <c r="G12" s="12"/>
      <c r="H12" s="12"/>
      <c r="I12" s="12"/>
      <c r="J12" s="13"/>
      <c r="K12" s="32"/>
      <c r="L12" s="14">
        <f t="shared" si="0"/>
        <v>0</v>
      </c>
      <c r="M12" s="31">
        <f t="shared" si="1"/>
        <v>0</v>
      </c>
      <c r="N12" s="15" t="str">
        <f>IF(Table2683250[[#This Row],[Fault Type]]="PM",IF(L12&lt;=(D12-C12),"Yes","No"),"")</f>
        <v/>
      </c>
      <c r="O12" s="16" t="str">
        <f t="shared" si="2"/>
        <v/>
      </c>
      <c r="P1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2" s="144"/>
    </row>
    <row r="13" spans="1:17" ht="15.5" x14ac:dyDescent="0.35">
      <c r="A13" s="4"/>
      <c r="B13" s="12"/>
      <c r="C13" s="13"/>
      <c r="D13" s="13"/>
      <c r="E13" s="13"/>
      <c r="F13" s="12"/>
      <c r="G13" s="12"/>
      <c r="H13" s="12"/>
      <c r="I13" s="12"/>
      <c r="J13" s="13"/>
      <c r="K13" s="32"/>
      <c r="L13" s="14">
        <f t="shared" si="0"/>
        <v>0</v>
      </c>
      <c r="M13" s="31">
        <f t="shared" si="1"/>
        <v>0</v>
      </c>
      <c r="N13" s="15" t="str">
        <f>IF(Table2683250[[#This Row],[Fault Type]]="PM",IF(L13&lt;=(D13-C13),"Yes","No"),"")</f>
        <v/>
      </c>
      <c r="O13" s="16" t="str">
        <f t="shared" si="2"/>
        <v/>
      </c>
      <c r="P1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3" s="144"/>
    </row>
    <row r="14" spans="1:17" ht="15.5" x14ac:dyDescent="0.35">
      <c r="A14" s="4"/>
      <c r="B14" s="12"/>
      <c r="C14" s="13"/>
      <c r="D14" s="13"/>
      <c r="E14" s="13"/>
      <c r="F14" s="12"/>
      <c r="G14" s="12"/>
      <c r="H14" s="12"/>
      <c r="I14" s="12"/>
      <c r="J14" s="13"/>
      <c r="K14" s="32"/>
      <c r="L14" s="14">
        <f t="shared" si="0"/>
        <v>0</v>
      </c>
      <c r="M14" s="31">
        <f t="shared" si="1"/>
        <v>0</v>
      </c>
      <c r="N14" s="15" t="str">
        <f>IF(Table2683250[[#This Row],[Fault Type]]="PM",IF(L14&lt;=(D14-C14),"Yes","No"),"")</f>
        <v/>
      </c>
      <c r="O14" s="16" t="str">
        <f t="shared" si="2"/>
        <v/>
      </c>
      <c r="P1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4" s="144"/>
    </row>
    <row r="15" spans="1:17" ht="15.5" x14ac:dyDescent="0.35">
      <c r="A15" s="4"/>
      <c r="B15" s="12"/>
      <c r="C15" s="13"/>
      <c r="D15" s="13"/>
      <c r="E15" s="13"/>
      <c r="F15" s="12"/>
      <c r="G15" s="12"/>
      <c r="H15" s="12"/>
      <c r="I15" s="12"/>
      <c r="J15" s="13"/>
      <c r="K15" s="32"/>
      <c r="L15" s="14">
        <f t="shared" si="0"/>
        <v>0</v>
      </c>
      <c r="M15" s="31">
        <f t="shared" si="1"/>
        <v>0</v>
      </c>
      <c r="N15" s="15" t="str">
        <f>IF(Table2683250[[#This Row],[Fault Type]]="PM",IF(L15&lt;=(D15-C15),"Yes","No"),"")</f>
        <v/>
      </c>
      <c r="O15" s="16" t="str">
        <f t="shared" si="2"/>
        <v/>
      </c>
      <c r="P1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5" s="144"/>
    </row>
    <row r="16" spans="1:17" ht="15.5" x14ac:dyDescent="0.35">
      <c r="A16" s="4"/>
      <c r="B16" s="12"/>
      <c r="C16" s="13"/>
      <c r="D16" s="13"/>
      <c r="E16" s="13"/>
      <c r="F16" s="18"/>
      <c r="G16" s="12"/>
      <c r="H16" s="18"/>
      <c r="I16" s="18"/>
      <c r="J16" s="13"/>
      <c r="K16" s="32"/>
      <c r="L16" s="14">
        <f t="shared" si="0"/>
        <v>0</v>
      </c>
      <c r="M16" s="31">
        <f t="shared" si="1"/>
        <v>0</v>
      </c>
      <c r="N16" s="15" t="str">
        <f>IF(Table2683250[[#This Row],[Fault Type]]="PM",IF(L16&lt;=(D16-C16),"Yes","No"),"")</f>
        <v/>
      </c>
      <c r="O16" s="16" t="str">
        <f t="shared" si="2"/>
        <v/>
      </c>
      <c r="P1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6" s="144"/>
    </row>
    <row r="17" spans="1:17" ht="15.5" x14ac:dyDescent="0.35">
      <c r="A17" s="4"/>
      <c r="B17" s="12"/>
      <c r="C17" s="13"/>
      <c r="D17" s="13"/>
      <c r="E17" s="13"/>
      <c r="F17" s="12"/>
      <c r="G17" s="12"/>
      <c r="H17" s="12"/>
      <c r="I17" s="12"/>
      <c r="J17" s="13"/>
      <c r="K17" s="32"/>
      <c r="L17" s="14">
        <f t="shared" si="0"/>
        <v>0</v>
      </c>
      <c r="M17" s="31">
        <f t="shared" si="1"/>
        <v>0</v>
      </c>
      <c r="N17" s="15" t="str">
        <f>IF(Table2683250[[#This Row],[Fault Type]]="PM",IF(L17&lt;=(D17-C17),"Yes","No"),"")</f>
        <v/>
      </c>
      <c r="O17" s="16" t="str">
        <f t="shared" si="2"/>
        <v/>
      </c>
      <c r="P1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7" s="144"/>
    </row>
    <row r="18" spans="1:17" ht="15.5" x14ac:dyDescent="0.35">
      <c r="A18" s="4"/>
      <c r="B18" s="12"/>
      <c r="C18" s="13"/>
      <c r="D18" s="13"/>
      <c r="E18" s="13"/>
      <c r="F18" s="18"/>
      <c r="G18" s="12"/>
      <c r="H18" s="18"/>
      <c r="I18" s="18"/>
      <c r="J18" s="13"/>
      <c r="K18" s="32"/>
      <c r="L18" s="14">
        <f t="shared" si="0"/>
        <v>0</v>
      </c>
      <c r="M18" s="31">
        <f t="shared" si="1"/>
        <v>0</v>
      </c>
      <c r="N18" s="15" t="str">
        <f>IF(Table2683250[[#This Row],[Fault Type]]="PM",IF(L18&lt;=(D18-C18),"Yes","No"),"")</f>
        <v/>
      </c>
      <c r="O18" s="16" t="str">
        <f t="shared" si="2"/>
        <v/>
      </c>
      <c r="P1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8" s="144"/>
    </row>
    <row r="19" spans="1:17" ht="15.5" x14ac:dyDescent="0.35">
      <c r="A19" s="4"/>
      <c r="B19" s="12"/>
      <c r="C19" s="13"/>
      <c r="D19" s="13"/>
      <c r="E19" s="13"/>
      <c r="F19" s="18"/>
      <c r="G19" s="12"/>
      <c r="H19" s="18"/>
      <c r="I19" s="18"/>
      <c r="J19" s="13"/>
      <c r="K19" s="32"/>
      <c r="L19" s="14">
        <f t="shared" si="0"/>
        <v>0</v>
      </c>
      <c r="M19" s="31">
        <f t="shared" si="1"/>
        <v>0</v>
      </c>
      <c r="N19" s="15" t="str">
        <f>IF(Table2683250[[#This Row],[Fault Type]]="PM",IF(L19&lt;=(D19-C19),"Yes","No"),"")</f>
        <v/>
      </c>
      <c r="O19" s="16" t="str">
        <f t="shared" si="2"/>
        <v/>
      </c>
      <c r="P1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19" s="144"/>
    </row>
    <row r="20" spans="1:17" ht="15.5" x14ac:dyDescent="0.35">
      <c r="A20" s="4"/>
      <c r="B20" s="12"/>
      <c r="C20" s="13"/>
      <c r="D20" s="13"/>
      <c r="E20" s="13"/>
      <c r="G20" s="159"/>
      <c r="H20" s="54"/>
      <c r="I20" s="54"/>
      <c r="J20" s="13"/>
      <c r="K20" s="32"/>
      <c r="L20" s="14">
        <f t="shared" si="0"/>
        <v>0</v>
      </c>
      <c r="M20" s="31">
        <f t="shared" si="1"/>
        <v>0</v>
      </c>
      <c r="N20" s="15" t="str">
        <f>IF(Table2683250[[#This Row],[Fault Type]]="PM",IF(L20&lt;=(D20-C20),"Yes","No"),"")</f>
        <v/>
      </c>
      <c r="O20" s="16" t="str">
        <f t="shared" si="2"/>
        <v/>
      </c>
      <c r="P2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0" s="144"/>
    </row>
    <row r="21" spans="1:17" ht="15.5" x14ac:dyDescent="0.35">
      <c r="A21" s="4"/>
      <c r="B21" s="12"/>
      <c r="C21" s="13"/>
      <c r="D21" s="13"/>
      <c r="E21" s="13"/>
      <c r="F21" s="18"/>
      <c r="G21" s="12"/>
      <c r="H21" s="18"/>
      <c r="I21" s="18"/>
      <c r="J21" s="13"/>
      <c r="K21" s="32"/>
      <c r="L21" s="14">
        <f t="shared" si="0"/>
        <v>0</v>
      </c>
      <c r="M21" s="31">
        <f t="shared" si="1"/>
        <v>0</v>
      </c>
      <c r="N21" s="15" t="str">
        <f>IF(Table2683250[[#This Row],[Fault Type]]="PM",IF(L21&lt;=(D21-C21),"Yes","No"),"")</f>
        <v/>
      </c>
      <c r="O21" s="16" t="str">
        <f t="shared" si="2"/>
        <v/>
      </c>
      <c r="P2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IF(Table2683250[[#This Row],[Fault Type]]="PM",IF(L22&lt;=(D22-C22),"Yes","No"),"")</f>
        <v/>
      </c>
      <c r="O22" s="16" t="str">
        <f t="shared" si="2"/>
        <v/>
      </c>
      <c r="P2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2" s="144"/>
    </row>
    <row r="23" spans="1:17" ht="15.5" x14ac:dyDescent="0.35">
      <c r="A23" s="4"/>
      <c r="B23" s="12"/>
      <c r="C23" s="13"/>
      <c r="D23" s="13"/>
      <c r="E23" s="13"/>
      <c r="F23" s="18"/>
      <c r="G23" s="12"/>
      <c r="H23" s="18"/>
      <c r="I23" s="18"/>
      <c r="J23" s="13"/>
      <c r="K23" s="32"/>
      <c r="L23" s="14">
        <f t="shared" si="0"/>
        <v>0</v>
      </c>
      <c r="M23" s="31">
        <f t="shared" si="1"/>
        <v>0</v>
      </c>
      <c r="N23" s="15" t="str">
        <f>IF(Table2683250[[#This Row],[Fault Type]]="PM",IF(L23&lt;=(D23-C23),"Yes","No"),"")</f>
        <v/>
      </c>
      <c r="O23" s="16" t="str">
        <f t="shared" si="2"/>
        <v/>
      </c>
      <c r="P2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3" s="144"/>
    </row>
    <row r="24" spans="1:17" ht="15.5" x14ac:dyDescent="0.35">
      <c r="A24" s="4"/>
      <c r="B24" s="12"/>
      <c r="C24" s="13"/>
      <c r="D24" s="13"/>
      <c r="E24" s="13"/>
      <c r="F24" s="18"/>
      <c r="G24" s="12"/>
      <c r="H24" s="18"/>
      <c r="I24" s="18"/>
      <c r="J24" s="13"/>
      <c r="K24" s="32"/>
      <c r="L24" s="14">
        <f t="shared" si="0"/>
        <v>0</v>
      </c>
      <c r="M24" s="31">
        <f t="shared" ref="M24:M78" si="3">L24*F24</f>
        <v>0</v>
      </c>
      <c r="N24" s="15" t="str">
        <f>IF(Table2683250[[#This Row],[Fault Type]]="PM",IF(L24&lt;=(D24-C24),"Yes","No"),"")</f>
        <v/>
      </c>
      <c r="O24" s="16" t="str">
        <f t="shared" si="2"/>
        <v/>
      </c>
      <c r="P2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4" s="144"/>
    </row>
    <row r="25" spans="1:17" ht="15.5" x14ac:dyDescent="0.35">
      <c r="A25" s="4"/>
      <c r="B25" s="12"/>
      <c r="C25" s="13"/>
      <c r="D25" s="13"/>
      <c r="E25" s="13"/>
      <c r="F25" s="18"/>
      <c r="G25" s="12"/>
      <c r="H25" s="18"/>
      <c r="I25" s="18"/>
      <c r="J25" s="13"/>
      <c r="K25" s="32"/>
      <c r="L25" s="14">
        <f t="shared" si="0"/>
        <v>0</v>
      </c>
      <c r="M25" s="31">
        <f t="shared" si="3"/>
        <v>0</v>
      </c>
      <c r="N25" s="15" t="str">
        <f>IF(Table2683250[[#This Row],[Fault Type]]="PM",IF(L25&lt;=(D25-C25),"Yes","No"),"")</f>
        <v/>
      </c>
      <c r="O25" s="16" t="str">
        <f t="shared" si="2"/>
        <v/>
      </c>
      <c r="P2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5" s="144"/>
    </row>
    <row r="26" spans="1:17" ht="15.5" x14ac:dyDescent="0.35">
      <c r="A26" s="4"/>
      <c r="B26" s="12"/>
      <c r="C26" s="13"/>
      <c r="D26" s="13"/>
      <c r="E26" s="13"/>
      <c r="F26" s="12"/>
      <c r="G26" s="12"/>
      <c r="H26" s="12"/>
      <c r="I26" s="12"/>
      <c r="J26" s="13"/>
      <c r="K26" s="32"/>
      <c r="L26" s="14">
        <f t="shared" si="0"/>
        <v>0</v>
      </c>
      <c r="M26" s="31">
        <f t="shared" si="3"/>
        <v>0</v>
      </c>
      <c r="N26" s="15" t="str">
        <f>IF(Table2683250[[#This Row],[Fault Type]]="PM",IF(L26&lt;=(D26-C26),"Yes","No"),"")</f>
        <v/>
      </c>
      <c r="O26" s="16" t="str">
        <f t="shared" si="2"/>
        <v/>
      </c>
      <c r="P2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6" s="144"/>
    </row>
    <row r="27" spans="1:17" ht="15.5" x14ac:dyDescent="0.35">
      <c r="A27" s="4"/>
      <c r="B27" s="12"/>
      <c r="C27" s="13"/>
      <c r="D27" s="13"/>
      <c r="E27" s="13"/>
      <c r="F27" s="18"/>
      <c r="G27" s="12"/>
      <c r="H27" s="18"/>
      <c r="I27" s="18"/>
      <c r="J27" s="13"/>
      <c r="K27" s="32"/>
      <c r="L27" s="14">
        <f t="shared" si="0"/>
        <v>0</v>
      </c>
      <c r="M27" s="31">
        <f t="shared" si="3"/>
        <v>0</v>
      </c>
      <c r="N27" s="15" t="str">
        <f>IF(Table2683250[[#This Row],[Fault Type]]="PM",IF(L27&lt;=(D27-C27),"Yes","No"),"")</f>
        <v/>
      </c>
      <c r="O27" s="16" t="str">
        <f t="shared" si="2"/>
        <v/>
      </c>
      <c r="P2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7" s="119"/>
    </row>
    <row r="28" spans="1:17" ht="15.5" x14ac:dyDescent="0.35">
      <c r="A28" s="4"/>
      <c r="B28" s="12"/>
      <c r="C28" s="13"/>
      <c r="D28" s="13"/>
      <c r="E28" s="13"/>
      <c r="F28" s="18"/>
      <c r="G28" s="12"/>
      <c r="H28" s="18"/>
      <c r="I28" s="18"/>
      <c r="J28" s="13"/>
      <c r="K28" s="32"/>
      <c r="L28" s="14">
        <f t="shared" si="0"/>
        <v>0</v>
      </c>
      <c r="M28" s="31">
        <f t="shared" si="3"/>
        <v>0</v>
      </c>
      <c r="N28" s="15" t="str">
        <f>IF(Table2683250[[#This Row],[Fault Type]]="PM",IF(L28&lt;=(D28-C28),"Yes","No"),"")</f>
        <v/>
      </c>
      <c r="O28" s="16" t="str">
        <f t="shared" si="2"/>
        <v/>
      </c>
      <c r="P2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8" s="119"/>
    </row>
    <row r="29" spans="1:17" ht="15.5" x14ac:dyDescent="0.35">
      <c r="A29" s="4"/>
      <c r="B29" s="12"/>
      <c r="C29" s="13"/>
      <c r="D29" s="13"/>
      <c r="E29" s="13"/>
      <c r="F29" s="12"/>
      <c r="G29" s="12"/>
      <c r="H29" s="12"/>
      <c r="I29" s="12"/>
      <c r="J29" s="13"/>
      <c r="K29" s="32"/>
      <c r="L29" s="14">
        <f t="shared" si="0"/>
        <v>0</v>
      </c>
      <c r="M29" s="31">
        <f t="shared" si="3"/>
        <v>0</v>
      </c>
      <c r="N29" s="15" t="str">
        <f>IF(Table2683250[[#This Row],[Fault Type]]="PM",IF(L29&lt;=(D29-C29),"Yes","No"),"")</f>
        <v/>
      </c>
      <c r="O29" s="16" t="str">
        <f t="shared" si="2"/>
        <v/>
      </c>
      <c r="P2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29" s="119"/>
    </row>
    <row r="30" spans="1:17" ht="15.5" x14ac:dyDescent="0.35">
      <c r="A30" s="4"/>
      <c r="B30" s="12"/>
      <c r="C30" s="13"/>
      <c r="D30" s="13"/>
      <c r="E30" s="13"/>
      <c r="F30" s="18"/>
      <c r="G30" s="12"/>
      <c r="H30" s="18"/>
      <c r="I30" s="18"/>
      <c r="J30" s="13"/>
      <c r="K30" s="32"/>
      <c r="L30" s="14">
        <f t="shared" si="0"/>
        <v>0</v>
      </c>
      <c r="M30" s="31">
        <f t="shared" si="3"/>
        <v>0</v>
      </c>
      <c r="N30" s="15" t="str">
        <f>IF(Table2683250[[#This Row],[Fault Type]]="PM",IF(L30&lt;=(D30-C30),"Yes","No"),"")</f>
        <v/>
      </c>
      <c r="O30" s="16" t="str">
        <f t="shared" si="2"/>
        <v/>
      </c>
      <c r="P3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0" s="119"/>
    </row>
    <row r="31" spans="1:17" ht="15.5" x14ac:dyDescent="0.35">
      <c r="A31" s="4"/>
      <c r="B31" s="12"/>
      <c r="C31" s="13"/>
      <c r="D31" s="13"/>
      <c r="E31" s="13"/>
      <c r="F31" s="18"/>
      <c r="G31" s="12"/>
      <c r="H31" s="18"/>
      <c r="I31" s="18"/>
      <c r="J31" s="13"/>
      <c r="K31" s="32"/>
      <c r="L31" s="14">
        <f t="shared" si="0"/>
        <v>0</v>
      </c>
      <c r="M31" s="31">
        <f t="shared" si="3"/>
        <v>0</v>
      </c>
      <c r="N31" s="15" t="str">
        <f>IF(Table2683250[[#This Row],[Fault Type]]="PM",IF(L31&lt;=(D31-C31),"Yes","No"),"")</f>
        <v/>
      </c>
      <c r="O31" s="16" t="str">
        <f t="shared" si="2"/>
        <v/>
      </c>
      <c r="P3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IF(Table2683250[[#This Row],[Fault Type]]="PM",IF(L32&lt;=(D32-C32),"Yes","No"),"")</f>
        <v/>
      </c>
      <c r="O32" s="16" t="str">
        <f t="shared" si="2"/>
        <v/>
      </c>
      <c r="P3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IF(Table2683250[[#This Row],[Fault Type]]="PM",IF(L33&lt;=(D33-C33),"Yes","No"),"")</f>
        <v/>
      </c>
      <c r="O33" s="16" t="str">
        <f t="shared" si="2"/>
        <v/>
      </c>
      <c r="P3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IF(Table2683250[[#This Row],[Fault Type]]="PM",IF(L34&lt;=(D34-C34),"Yes","No"),"")</f>
        <v/>
      </c>
      <c r="O34" s="16" t="str">
        <f t="shared" si="2"/>
        <v/>
      </c>
      <c r="P3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IF(Table2683250[[#This Row],[Fault Type]]="PM",IF(L35&lt;=(D35-C35),"Yes","No"),"")</f>
        <v/>
      </c>
      <c r="O35" s="16" t="str">
        <f t="shared" si="2"/>
        <v/>
      </c>
      <c r="P3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IF(Table2683250[[#This Row],[Fault Type]]="PM",IF(L36&lt;=(D36-C36),"Yes","No"),"")</f>
        <v/>
      </c>
      <c r="O36" s="16" t="str">
        <f t="shared" si="2"/>
        <v/>
      </c>
      <c r="P3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IF(Table2683250[[#This Row],[Fault Type]]="PM",IF(L37&lt;=(D37-C37),"Yes","No"),"")</f>
        <v/>
      </c>
      <c r="O37" s="16" t="str">
        <f t="shared" si="2"/>
        <v/>
      </c>
      <c r="P3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IF(Table2683250[[#This Row],[Fault Type]]="PM",IF(L38&lt;=(D38-C38),"Yes","No"),"")</f>
        <v/>
      </c>
      <c r="O38" s="16" t="str">
        <f t="shared" si="2"/>
        <v/>
      </c>
      <c r="P3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IF(Table2683250[[#This Row],[Fault Type]]="PM",IF(L39&lt;=(D39-C39),"Yes","No"),"")</f>
        <v/>
      </c>
      <c r="O39" s="16" t="str">
        <f t="shared" si="2"/>
        <v/>
      </c>
      <c r="P3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IF(Table2683250[[#This Row],[Fault Type]]="PM",IF(L40&lt;=(D40-C40),"Yes","No"),"")</f>
        <v/>
      </c>
      <c r="O40" s="16" t="str">
        <f t="shared" si="2"/>
        <v/>
      </c>
      <c r="P4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IF(Table2683250[[#This Row],[Fault Type]]="PM",IF(L41&lt;=(D41-C41),"Yes","No"),"")</f>
        <v/>
      </c>
      <c r="O41" s="16" t="str">
        <f t="shared" si="2"/>
        <v/>
      </c>
      <c r="P4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IF(Table2683250[[#This Row],[Fault Type]]="PM",IF(L42&lt;=(D42-C42),"Yes","No"),"")</f>
        <v/>
      </c>
      <c r="O42" s="16" t="str">
        <f t="shared" si="2"/>
        <v/>
      </c>
      <c r="P4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IF(Table2683250[[#This Row],[Fault Type]]="PM",IF(L43&lt;=(D43-C43),"Yes","No"),"")</f>
        <v/>
      </c>
      <c r="O43" s="16" t="str">
        <f t="shared" si="2"/>
        <v/>
      </c>
      <c r="P4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3" s="17"/>
    </row>
    <row r="44" spans="1:17" ht="15.75" customHeight="1" x14ac:dyDescent="0.35">
      <c r="A44" s="4"/>
      <c r="B44" s="12"/>
      <c r="C44" s="13"/>
      <c r="D44" s="13"/>
      <c r="E44" s="13"/>
      <c r="F44" s="12"/>
      <c r="G44" s="12"/>
      <c r="H44" s="12"/>
      <c r="I44" s="12"/>
      <c r="J44" s="13"/>
      <c r="K44" s="32"/>
      <c r="L44" s="14">
        <f t="shared" si="0"/>
        <v>0</v>
      </c>
      <c r="M44" s="31">
        <f t="shared" si="3"/>
        <v>0</v>
      </c>
      <c r="N44" s="15" t="str">
        <f>IF(Table2683250[[#This Row],[Fault Type]]="PM",IF(L44&lt;=(D44-C44),"Yes","No"),"")</f>
        <v/>
      </c>
      <c r="O44" s="16" t="str">
        <f t="shared" si="2"/>
        <v/>
      </c>
      <c r="P4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IF(Table2683250[[#This Row],[Fault Type]]="PM",IF(L45&lt;=(D45-C45),"Yes","No"),"")</f>
        <v/>
      </c>
      <c r="O45" s="16" t="str">
        <f t="shared" si="2"/>
        <v/>
      </c>
      <c r="P4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5" s="17"/>
    </row>
    <row r="46" spans="1:17" ht="15.5" x14ac:dyDescent="0.35">
      <c r="A46" s="4"/>
      <c r="B46" s="49"/>
      <c r="C46" s="49"/>
      <c r="D46" s="49"/>
      <c r="E46" s="13"/>
      <c r="F46" s="64"/>
      <c r="G46" s="159"/>
      <c r="H46" s="54"/>
      <c r="I46" s="54"/>
      <c r="J46" s="13"/>
      <c r="K46" s="32"/>
      <c r="L46" s="14">
        <f t="shared" si="0"/>
        <v>0</v>
      </c>
      <c r="M46" s="53">
        <f t="shared" si="3"/>
        <v>0</v>
      </c>
      <c r="N46" s="50" t="str">
        <f>IF(Table2683250[[#This Row],[Fault Type]]="PM",IF(L46&lt;=(D46-C46),"Yes","No"),"")</f>
        <v/>
      </c>
      <c r="O46" s="51" t="str">
        <f t="shared" si="2"/>
        <v/>
      </c>
      <c r="P4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row>
    <row r="47" spans="1:17" ht="15.5" x14ac:dyDescent="0.35">
      <c r="A47" s="58"/>
      <c r="B47" s="55"/>
      <c r="C47" s="56"/>
      <c r="D47" s="56"/>
      <c r="E47" s="13"/>
      <c r="F47" s="55"/>
      <c r="G47" s="55"/>
      <c r="H47" s="57"/>
      <c r="I47" s="18"/>
      <c r="J47" s="13"/>
      <c r="K47" s="32"/>
      <c r="L47" s="14">
        <f t="shared" si="0"/>
        <v>0</v>
      </c>
      <c r="M47" s="59">
        <f t="shared" si="3"/>
        <v>0</v>
      </c>
      <c r="N47" s="61" t="str">
        <f>IF(Table2683250[[#This Row],[Fault Type]]="PM",IF(L47&lt;=(D47-C47),"Yes","No"),"")</f>
        <v/>
      </c>
      <c r="O47" s="62" t="str">
        <f t="shared" si="2"/>
        <v/>
      </c>
      <c r="P4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7" s="63"/>
    </row>
    <row r="48" spans="1:17" ht="15.5" x14ac:dyDescent="0.35">
      <c r="A48" s="58"/>
      <c r="B48" s="55"/>
      <c r="C48" s="56"/>
      <c r="D48" s="56"/>
      <c r="E48" s="13"/>
      <c r="F48" s="55"/>
      <c r="G48" s="55"/>
      <c r="H48" s="57"/>
      <c r="I48" s="18"/>
      <c r="J48" s="13"/>
      <c r="K48" s="32"/>
      <c r="L48" s="14">
        <f t="shared" si="0"/>
        <v>0</v>
      </c>
      <c r="M48" s="59">
        <f t="shared" si="3"/>
        <v>0</v>
      </c>
      <c r="N48" s="61" t="str">
        <f>IF(Table2683250[[#This Row],[Fault Type]]="PM",IF(L48&lt;=(D48-C48),"Yes","No"),"")</f>
        <v/>
      </c>
      <c r="O48" s="62" t="str">
        <f t="shared" si="2"/>
        <v/>
      </c>
      <c r="P4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8" s="63"/>
    </row>
    <row r="49" spans="1:17" ht="15.5" x14ac:dyDescent="0.35">
      <c r="A49" s="58"/>
      <c r="B49" s="55"/>
      <c r="C49" s="56"/>
      <c r="D49" s="56"/>
      <c r="E49" s="13"/>
      <c r="F49" s="55"/>
      <c r="G49" s="55"/>
      <c r="H49" s="57"/>
      <c r="I49" s="18"/>
      <c r="J49" s="13"/>
      <c r="K49" s="32"/>
      <c r="L49" s="14">
        <f t="shared" si="0"/>
        <v>0</v>
      </c>
      <c r="M49" s="59">
        <f t="shared" si="3"/>
        <v>0</v>
      </c>
      <c r="N49" s="61" t="str">
        <f>IF(Table2683250[[#This Row],[Fault Type]]="PM",IF(L49&lt;=(D49-C49),"Yes","No"),"")</f>
        <v/>
      </c>
      <c r="O49" s="62" t="str">
        <f t="shared" si="2"/>
        <v/>
      </c>
      <c r="P4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49" s="63"/>
    </row>
    <row r="50" spans="1:17" ht="15.5" x14ac:dyDescent="0.35">
      <c r="A50" s="58"/>
      <c r="B50" s="55"/>
      <c r="C50" s="56"/>
      <c r="D50" s="56"/>
      <c r="E50" s="13"/>
      <c r="F50" s="55"/>
      <c r="G50" s="55"/>
      <c r="H50" s="57"/>
      <c r="I50" s="18"/>
      <c r="J50" s="13"/>
      <c r="K50" s="83"/>
      <c r="L50" s="14">
        <f t="shared" si="0"/>
        <v>0</v>
      </c>
      <c r="M50" s="59">
        <f t="shared" si="3"/>
        <v>0</v>
      </c>
      <c r="N50" s="61" t="str">
        <f>IF(Table2683250[[#This Row],[Fault Type]]="PM",IF(L50&lt;=(D50-C50),"Yes","No"),"")</f>
        <v/>
      </c>
      <c r="O50" s="62" t="str">
        <f t="shared" si="2"/>
        <v/>
      </c>
      <c r="P5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0" s="63"/>
    </row>
    <row r="51" spans="1:17" ht="15.5" x14ac:dyDescent="0.35">
      <c r="A51" s="58"/>
      <c r="B51" s="55"/>
      <c r="C51" s="56"/>
      <c r="D51" s="56"/>
      <c r="E51" s="13"/>
      <c r="F51" s="55"/>
      <c r="G51" s="55"/>
      <c r="H51" s="57"/>
      <c r="I51" s="18"/>
      <c r="J51" s="13"/>
      <c r="K51" s="83"/>
      <c r="L51" s="14">
        <f t="shared" si="0"/>
        <v>0</v>
      </c>
      <c r="M51" s="59">
        <f t="shared" si="3"/>
        <v>0</v>
      </c>
      <c r="N51" s="61" t="str">
        <f>IF(Table2683250[[#This Row],[Fault Type]]="PM",IF(L51&lt;=(D51-C51),"Yes","No"),"")</f>
        <v/>
      </c>
      <c r="O51" s="62" t="str">
        <f t="shared" si="2"/>
        <v/>
      </c>
      <c r="P5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IF(Table2683250[[#This Row],[Fault Type]]="PM",IF(L52&lt;=(D52-C52),"Yes","No"),"")</f>
        <v/>
      </c>
      <c r="O52" s="62" t="str">
        <f t="shared" si="2"/>
        <v/>
      </c>
      <c r="P5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IF(Table2683250[[#This Row],[Fault Type]]="PM",IF(L53&lt;=(D53-C53),"Yes","No"),"")</f>
        <v/>
      </c>
      <c r="O53" s="62" t="str">
        <f t="shared" si="2"/>
        <v/>
      </c>
      <c r="P5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IF(Table2683250[[#This Row],[Fault Type]]="PM",IF(L54&lt;=(D54-C54),"Yes","No"),"")</f>
        <v/>
      </c>
      <c r="O54" s="62" t="str">
        <f t="shared" si="2"/>
        <v/>
      </c>
      <c r="P5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IF(Table2683250[[#This Row],[Fault Type]]="PM",IF(L55&lt;=(D55-C55),"Yes","No"),"")</f>
        <v/>
      </c>
      <c r="O55" s="62" t="str">
        <f t="shared" si="2"/>
        <v/>
      </c>
      <c r="P5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IF(Table2683250[[#This Row],[Fault Type]]="PM",IF(L56&lt;=(D56-C56),"Yes","No"),"")</f>
        <v/>
      </c>
      <c r="O56" s="62" t="str">
        <f t="shared" si="2"/>
        <v/>
      </c>
      <c r="P5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6" s="63"/>
    </row>
    <row r="57" spans="1:17" ht="15.5" x14ac:dyDescent="0.35">
      <c r="A57" s="58"/>
      <c r="B57" s="55"/>
      <c r="C57" s="56"/>
      <c r="D57" s="56"/>
      <c r="E57" s="13"/>
      <c r="F57" s="55"/>
      <c r="G57" s="55"/>
      <c r="H57" s="57"/>
      <c r="I57" s="18"/>
      <c r="J57" s="13"/>
      <c r="K57" s="60"/>
      <c r="L57" s="14">
        <f t="shared" si="0"/>
        <v>0</v>
      </c>
      <c r="M57" s="59">
        <f t="shared" si="3"/>
        <v>0</v>
      </c>
      <c r="N57" s="61" t="str">
        <f>IF(Table2683250[[#This Row],[Fault Type]]="PM",IF(L57&lt;=(D57-C57),"Yes","No"),"")</f>
        <v/>
      </c>
      <c r="O57" s="62" t="str">
        <f t="shared" si="2"/>
        <v/>
      </c>
      <c r="P5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7" s="63"/>
    </row>
    <row r="58" spans="1:17" ht="15.5" x14ac:dyDescent="0.35">
      <c r="A58" s="58"/>
      <c r="B58" s="55"/>
      <c r="C58" s="56"/>
      <c r="D58" s="56"/>
      <c r="E58" s="13"/>
      <c r="F58" s="55"/>
      <c r="G58" s="55"/>
      <c r="H58" s="57"/>
      <c r="I58" s="18"/>
      <c r="J58" s="13"/>
      <c r="K58" s="60"/>
      <c r="L58" s="14">
        <f t="shared" si="0"/>
        <v>0</v>
      </c>
      <c r="M58" s="59">
        <f t="shared" si="3"/>
        <v>0</v>
      </c>
      <c r="N58" s="61" t="str">
        <f>IF(Table2683250[[#This Row],[Fault Type]]="PM",IF(L58&lt;=(D58-C58),"Yes","No"),"")</f>
        <v/>
      </c>
      <c r="O58" s="62" t="str">
        <f t="shared" si="2"/>
        <v/>
      </c>
      <c r="P5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IF(Table2683250[[#This Row],[Fault Type]]="PM",IF(L59&lt;=(D59-C59),"Yes","No"),"")</f>
        <v/>
      </c>
      <c r="O59" s="62" t="str">
        <f t="shared" si="2"/>
        <v/>
      </c>
      <c r="P5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IF(Table2683250[[#This Row],[Fault Type]]="PM",IF(L60&lt;=(D60-C60),"Yes","No"),"")</f>
        <v/>
      </c>
      <c r="O60" s="62" t="str">
        <f t="shared" si="2"/>
        <v/>
      </c>
      <c r="P6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IF(Table2683250[[#This Row],[Fault Type]]="PM",IF(L61&lt;=(D61-C61),"Yes","No"),"")</f>
        <v/>
      </c>
      <c r="O61" s="62" t="str">
        <f t="shared" si="2"/>
        <v/>
      </c>
      <c r="P6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IF(Table2683250[[#This Row],[Fault Type]]="PM",IF(L62&lt;=(D62-C62),"Yes","No"),"")</f>
        <v/>
      </c>
      <c r="O62" s="62" t="str">
        <f t="shared" si="2"/>
        <v/>
      </c>
      <c r="P6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IF(Table2683250[[#This Row],[Fault Type]]="PM",IF(L63&lt;=(D63-C63),"Yes","No"),"")</f>
        <v/>
      </c>
      <c r="O63" s="62" t="str">
        <f t="shared" si="2"/>
        <v/>
      </c>
      <c r="P6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IF(Table2683250[[#This Row],[Fault Type]]="PM",IF(L64&lt;=(D64-C64),"Yes","No"),"")</f>
        <v/>
      </c>
      <c r="O64" s="62" t="str">
        <f t="shared" si="2"/>
        <v/>
      </c>
      <c r="P6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4" s="63"/>
    </row>
    <row r="65" spans="1:17" ht="15.5" x14ac:dyDescent="0.35">
      <c r="A65" s="58"/>
      <c r="B65" s="55"/>
      <c r="C65" s="56"/>
      <c r="D65" s="56"/>
      <c r="E65" s="13"/>
      <c r="F65" s="55"/>
      <c r="G65" s="55"/>
      <c r="H65" s="57"/>
      <c r="I65" s="18"/>
      <c r="J65" s="13"/>
      <c r="K65" s="60"/>
      <c r="L65" s="14">
        <f t="shared" ref="L65:L78" si="4">J65-E65</f>
        <v>0</v>
      </c>
      <c r="M65" s="59">
        <f t="shared" si="3"/>
        <v>0</v>
      </c>
      <c r="N65" s="61" t="str">
        <f>IF(Table2683250[[#This Row],[Fault Type]]="PM",IF(L65&lt;=(D65-C65),"Yes","No"),"")</f>
        <v/>
      </c>
      <c r="O65" s="62" t="str">
        <f t="shared" ref="O65:O78" si="5">IF(N65="No",(L65-(D65-C65)),"")</f>
        <v/>
      </c>
      <c r="P6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5" s="63"/>
    </row>
    <row r="66" spans="1:17" ht="15.5" x14ac:dyDescent="0.35">
      <c r="A66" s="58"/>
      <c r="B66" s="55"/>
      <c r="C66" s="56"/>
      <c r="D66" s="56"/>
      <c r="E66" s="13"/>
      <c r="F66" s="55"/>
      <c r="G66" s="55"/>
      <c r="H66" s="57"/>
      <c r="I66" s="18"/>
      <c r="J66" s="13"/>
      <c r="K66" s="60"/>
      <c r="L66" s="14">
        <f t="shared" si="4"/>
        <v>0</v>
      </c>
      <c r="M66" s="59">
        <f t="shared" si="3"/>
        <v>0</v>
      </c>
      <c r="N66" s="61" t="str">
        <f>IF(Table2683250[[#This Row],[Fault Type]]="PM",IF(L66&lt;=(D66-C66),"Yes","No"),"")</f>
        <v/>
      </c>
      <c r="O66" s="62" t="str">
        <f t="shared" si="5"/>
        <v/>
      </c>
      <c r="P6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IF(Table2683250[[#This Row],[Fault Type]]="PM",IF(L67&lt;=(D67-C67),"Yes","No"),"")</f>
        <v/>
      </c>
      <c r="O67" s="62" t="str">
        <f t="shared" si="5"/>
        <v/>
      </c>
      <c r="P6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IF(Table2683250[[#This Row],[Fault Type]]="PM",IF(L68&lt;=(D68-C68),"Yes","No"),"")</f>
        <v/>
      </c>
      <c r="O68" s="62" t="str">
        <f t="shared" si="5"/>
        <v/>
      </c>
      <c r="P6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IF(Table2683250[[#This Row],[Fault Type]]="PM",IF(L69&lt;=(D69-C69),"Yes","No"),"")</f>
        <v/>
      </c>
      <c r="O69" s="62" t="str">
        <f t="shared" si="5"/>
        <v/>
      </c>
      <c r="P69"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IF(Table2683250[[#This Row],[Fault Type]]="PM",IF(L70&lt;=(D70-C70),"Yes","No"),"")</f>
        <v/>
      </c>
      <c r="O70" s="62" t="str">
        <f t="shared" si="5"/>
        <v/>
      </c>
      <c r="P70"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IF(Table2683250[[#This Row],[Fault Type]]="PM",IF(L71&lt;=(D71-C71),"Yes","No"),"")</f>
        <v/>
      </c>
      <c r="O71" s="62" t="str">
        <f t="shared" si="5"/>
        <v/>
      </c>
      <c r="P71"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IF(Table2683250[[#This Row],[Fault Type]]="PM",IF(L72&lt;=(D72-C72),"Yes","No"),"")</f>
        <v/>
      </c>
      <c r="O72" s="62" t="str">
        <f t="shared" si="5"/>
        <v/>
      </c>
      <c r="P72"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IF(Table2683250[[#This Row],[Fault Type]]="PM",IF(L73&lt;=(D73-C73),"Yes","No"),"")</f>
        <v/>
      </c>
      <c r="O73" s="62" t="str">
        <f t="shared" si="5"/>
        <v/>
      </c>
      <c r="P73"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IF(Table2683250[[#This Row],[Fault Type]]="PM",IF(L74&lt;=(D74-C74),"Yes","No"),"")</f>
        <v/>
      </c>
      <c r="O74" s="62" t="str">
        <f t="shared" si="5"/>
        <v/>
      </c>
      <c r="P74"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IF(Table2683250[[#This Row],[Fault Type]]="PM",IF(L75&lt;=(D75-C75),"Yes","No"),"")</f>
        <v/>
      </c>
      <c r="O75" s="62" t="str">
        <f t="shared" si="5"/>
        <v/>
      </c>
      <c r="P75"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IF(Table2683250[[#This Row],[Fault Type]]="PM",IF(L76&lt;=(D76-C76),"Yes","No"),"")</f>
        <v/>
      </c>
      <c r="O76" s="62" t="str">
        <f t="shared" si="5"/>
        <v/>
      </c>
      <c r="P76"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IF(Table2683250[[#This Row],[Fault Type]]="PM",IF(L77&lt;=(D77-C77),"Yes","No"),"")</f>
        <v/>
      </c>
      <c r="O77" s="62" t="str">
        <f t="shared" si="5"/>
        <v/>
      </c>
      <c r="P77"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IF(Table2683250[[#This Row],[Fault Type]]="PM",IF(L78&lt;=(D78-C78),"Yes","No"),"")</f>
        <v/>
      </c>
      <c r="O78" s="62" t="str">
        <f t="shared" si="5"/>
        <v/>
      </c>
      <c r="P78" s="30" t="str">
        <f>IF(AND(Table2683250[[#This Row],[Name of Feeder]]&lt;&gt;"",OR(Table2683250[[#This Row],[Fault Type]]="TL",Table2683250[[#This Row],[Fault Type]]="TS",Table2683250[[#This Row],[Fault Type]]="UF",Table2683250[[#This Row],[Fault Type]]="SE")),(IF(AND(VLOOKUP(Table2683250[[#This Row],[Name of Feeder]],Main!D:E,2,0)="URBAN",ISNUMBER(SEARCH("33KV",Table2683250[[#This Row],[Name of Feeder]]))),IF(AND(Table2683250[[#This Row],[Outage Duration]]&gt;0,Table2683250[[#This Row],[Outage Duration]]&lt;=0.25),"Yes","No"),IF(AND(VLOOKUP(Table2683250[[#This Row],[Name of Feeder]],Main!D:E,2,0)="RURAL",ISNUMBER(SEARCH("33KV",Table2683250[[#This Row],[Name of Feeder]]))),IF(AND(Table2683250[[#This Row],[Outage Duration]]&gt;0,Table2683250[[#This Row],[Outage Duration]]&lt;=0.33),"Yes","No"),IF(AND(VLOOKUP(Table2683250[[#This Row],[Name of Feeder]],Main!D:E,2,0)="RURAL",ISNUMBER(SEARCH("11KV",Table2683250[[#This Row],[Name of Feeder]]))),IF(AND(Table2683250[[#This Row],[Outage Duration]]&gt;0,Table2683250[[#This Row],[Outage Duration]]&lt;=0.17),"Yes","No"),IF(AND(VLOOKUP(Table2683250[[#This Row],[Name of Feeder]],Main!D:E,2,0)="URBAN",ISNUMBER(SEARCH("11KV",Table2683250[[#This Row],[Name of Feeder]]))),IF(AND(Table2683250[[#This Row],[Outage Duration]]&gt;0,Table2683250[[#This Row],[Outage Duration]]&lt;=0.17),"Yes","No"),""))))),"")</f>
        <v/>
      </c>
      <c r="Q78"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400-000000000000}">
          <x14:formula1>
            <xm:f>Main!$F$226:$F$228</xm:f>
          </x14:formula1>
          <xm:sqref>I2:I78</xm:sqref>
        </x14:dataValidation>
        <x14:dataValidation type="list" allowBlank="1" showInputMessage="1" showErrorMessage="1" xr:uid="{00000000-0002-0000-1400-000001000000}">
          <x14:formula1>
            <xm:f>Main!$D$2:$D$196</xm:f>
          </x14:formula1>
          <xm:sqref>A2:A78</xm:sqref>
        </x14:dataValidation>
        <x14:dataValidation type="list" allowBlank="1" showInputMessage="1" showErrorMessage="1" xr:uid="{00000000-0002-0000-1400-000002000000}">
          <x14:formula1>
            <xm:f>Main!F$222:F$225</xm:f>
          </x14:formula1>
          <xm:sqref>G2:G78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80"/>
  <sheetViews>
    <sheetView topLeftCell="D61" zoomScale="70" zoomScaleNormal="70" workbookViewId="0">
      <selection activeCell="Q7" sqref="Q7"/>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6" si="0">J2-E2</f>
        <v>0</v>
      </c>
      <c r="M2" s="31">
        <f t="shared" ref="M2:M22" si="1">L2*F2</f>
        <v>0</v>
      </c>
      <c r="N2" s="15" t="str">
        <f>IF(Table2683249[[#This Row],[Fault Type]]="PM",IF(L2&lt;=(D2-C2),"Yes","No"),"")</f>
        <v/>
      </c>
      <c r="O2" s="16" t="str">
        <f t="shared" ref="O2:O66" si="2">IF(N2="No",(L2-(D2-C2)),"")</f>
        <v/>
      </c>
      <c r="P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IF(Table2683249[[#This Row],[Fault Type]]="PM",IF(L3&lt;=(D3-C3),"Yes","No"),"")</f>
        <v/>
      </c>
      <c r="O3" s="16" t="str">
        <f t="shared" si="2"/>
        <v/>
      </c>
      <c r="P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IF(Table2683249[[#This Row],[Fault Type]]="PM",IF(L4&lt;=(D4-C4),"Yes","No"),"")</f>
        <v/>
      </c>
      <c r="O4" s="16" t="str">
        <f t="shared" si="2"/>
        <v/>
      </c>
      <c r="P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IF(Table2683249[[#This Row],[Fault Type]]="PM",IF(L5&lt;=(D5-C5),"Yes","No"),"")</f>
        <v/>
      </c>
      <c r="O5" s="16" t="str">
        <f t="shared" si="2"/>
        <v/>
      </c>
      <c r="P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IF(Table2683249[[#This Row],[Fault Type]]="PM",IF(L6&lt;=(D6-C6),"Yes","No"),"")</f>
        <v/>
      </c>
      <c r="O6" s="16" t="str">
        <f t="shared" si="2"/>
        <v/>
      </c>
      <c r="P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IF(Table2683249[[#This Row],[Fault Type]]="PM",IF(L7&lt;=(D7-C7),"Yes","No"),"")</f>
        <v/>
      </c>
      <c r="O7" s="16" t="str">
        <f t="shared" si="2"/>
        <v/>
      </c>
      <c r="P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IF(Table2683249[[#This Row],[Fault Type]]="PM",IF(L8&lt;=(D8-C8),"Yes","No"),"")</f>
        <v/>
      </c>
      <c r="O8" s="16" t="str">
        <f t="shared" si="2"/>
        <v/>
      </c>
      <c r="P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IF(Table2683249[[#This Row],[Fault Type]]="PM",IF(L9&lt;=(D9-C9),"Yes","No"),"")</f>
        <v/>
      </c>
      <c r="O9" s="16" t="str">
        <f t="shared" si="2"/>
        <v/>
      </c>
      <c r="P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IF(Table2683249[[#This Row],[Fault Type]]="PM",IF(L10&lt;=(D10-C10),"Yes","No"),"")</f>
        <v/>
      </c>
      <c r="O10" s="16" t="str">
        <f t="shared" si="2"/>
        <v/>
      </c>
      <c r="P1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IF(Table2683249[[#This Row],[Fault Type]]="PM",IF(L11&lt;=(D11-C11),"Yes","No"),"")</f>
        <v/>
      </c>
      <c r="O11" s="16" t="str">
        <f t="shared" si="2"/>
        <v/>
      </c>
      <c r="P1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IF(Table2683249[[#This Row],[Fault Type]]="PM",IF(L12&lt;=(D12-C12),"Yes","No"),"")</f>
        <v/>
      </c>
      <c r="O12" s="16" t="str">
        <f t="shared" si="2"/>
        <v/>
      </c>
      <c r="P1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2" s="17"/>
    </row>
    <row r="13" spans="1:17" ht="15.5" x14ac:dyDescent="0.35">
      <c r="A13" s="4"/>
      <c r="B13" s="12"/>
      <c r="C13" s="13"/>
      <c r="D13" s="13"/>
      <c r="E13" s="13"/>
      <c r="F13" s="12"/>
      <c r="G13" s="12"/>
      <c r="H13" s="12"/>
      <c r="I13" s="12"/>
      <c r="J13" s="13"/>
      <c r="K13" s="32"/>
      <c r="L13" s="14">
        <f t="shared" si="0"/>
        <v>0</v>
      </c>
      <c r="M13" s="31">
        <f t="shared" si="1"/>
        <v>0</v>
      </c>
      <c r="N13" s="15" t="str">
        <f>IF(Table2683249[[#This Row],[Fault Type]]="PM",IF(L13&lt;=(D13-C13),"Yes","No"),"")</f>
        <v/>
      </c>
      <c r="O13" s="16" t="str">
        <f t="shared" si="2"/>
        <v/>
      </c>
      <c r="P1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3" s="17"/>
    </row>
    <row r="14" spans="1:17" ht="15.5" x14ac:dyDescent="0.35">
      <c r="A14" s="4"/>
      <c r="B14" s="12"/>
      <c r="C14" s="13"/>
      <c r="D14" s="13"/>
      <c r="E14" s="13"/>
      <c r="F14" s="12"/>
      <c r="G14" s="12"/>
      <c r="H14" s="12"/>
      <c r="I14" s="12"/>
      <c r="J14" s="13"/>
      <c r="K14" s="32"/>
      <c r="L14" s="14">
        <f t="shared" si="0"/>
        <v>0</v>
      </c>
      <c r="M14" s="31">
        <f t="shared" si="1"/>
        <v>0</v>
      </c>
      <c r="N14" s="15" t="str">
        <f>IF(Table2683249[[#This Row],[Fault Type]]="PM",IF(L14&lt;=(D14-C14),"Yes","No"),"")</f>
        <v/>
      </c>
      <c r="O14" s="16" t="str">
        <f t="shared" si="2"/>
        <v/>
      </c>
      <c r="P1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4" s="17"/>
    </row>
    <row r="15" spans="1:17" ht="15.5" x14ac:dyDescent="0.35">
      <c r="A15" s="4"/>
      <c r="B15" s="12"/>
      <c r="C15" s="13"/>
      <c r="D15" s="13"/>
      <c r="E15" s="13"/>
      <c r="F15" s="12"/>
      <c r="G15" s="12"/>
      <c r="H15" s="12"/>
      <c r="I15" s="12"/>
      <c r="J15" s="13"/>
      <c r="K15" s="32"/>
      <c r="L15" s="14">
        <f t="shared" si="0"/>
        <v>0</v>
      </c>
      <c r="M15" s="31">
        <f t="shared" si="1"/>
        <v>0</v>
      </c>
      <c r="N15" s="15" t="str">
        <f>IF(Table2683249[[#This Row],[Fault Type]]="PM",IF(L15&lt;=(D15-C15),"Yes","No"),"")</f>
        <v/>
      </c>
      <c r="O15" s="16" t="str">
        <f t="shared" si="2"/>
        <v/>
      </c>
      <c r="P1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5" s="17"/>
    </row>
    <row r="16" spans="1:17" ht="15.5" x14ac:dyDescent="0.35">
      <c r="A16" s="4"/>
      <c r="B16" s="12"/>
      <c r="C16" s="13"/>
      <c r="D16" s="13"/>
      <c r="E16" s="13"/>
      <c r="F16" s="18"/>
      <c r="G16" s="12"/>
      <c r="H16" s="18"/>
      <c r="I16" s="18"/>
      <c r="J16" s="13"/>
      <c r="K16" s="32"/>
      <c r="L16" s="14">
        <f t="shared" si="0"/>
        <v>0</v>
      </c>
      <c r="M16" s="31">
        <f t="shared" si="1"/>
        <v>0</v>
      </c>
      <c r="N16" s="15" t="str">
        <f>IF(Table2683249[[#This Row],[Fault Type]]="PM",IF(L16&lt;=(D16-C16),"Yes","No"),"")</f>
        <v/>
      </c>
      <c r="O16" s="16" t="str">
        <f t="shared" si="2"/>
        <v/>
      </c>
      <c r="P1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6" s="17"/>
    </row>
    <row r="17" spans="1:17" ht="15.5" x14ac:dyDescent="0.35">
      <c r="A17" s="4"/>
      <c r="B17" s="12"/>
      <c r="C17" s="13"/>
      <c r="D17" s="13"/>
      <c r="E17" s="13"/>
      <c r="F17" s="12"/>
      <c r="G17" s="12"/>
      <c r="H17" s="12"/>
      <c r="I17" s="12"/>
      <c r="J17" s="13"/>
      <c r="K17" s="32"/>
      <c r="L17" s="14">
        <f t="shared" si="0"/>
        <v>0</v>
      </c>
      <c r="M17" s="31">
        <f t="shared" si="1"/>
        <v>0</v>
      </c>
      <c r="N17" s="15" t="str">
        <f>IF(Table2683249[[#This Row],[Fault Type]]="PM",IF(L17&lt;=(D17-C17),"Yes","No"),"")</f>
        <v/>
      </c>
      <c r="O17" s="16" t="str">
        <f t="shared" si="2"/>
        <v/>
      </c>
      <c r="P1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7" s="144"/>
    </row>
    <row r="18" spans="1:17" ht="15.5" x14ac:dyDescent="0.35">
      <c r="A18" s="4"/>
      <c r="B18" s="12"/>
      <c r="C18" s="13"/>
      <c r="D18" s="13"/>
      <c r="E18" s="13"/>
      <c r="F18" s="18"/>
      <c r="G18" s="12"/>
      <c r="H18" s="18"/>
      <c r="I18" s="18"/>
      <c r="J18" s="13"/>
      <c r="K18" s="32"/>
      <c r="L18" s="14">
        <f t="shared" si="0"/>
        <v>0</v>
      </c>
      <c r="M18" s="31">
        <f t="shared" si="1"/>
        <v>0</v>
      </c>
      <c r="N18" s="15" t="str">
        <f>IF(Table2683249[[#This Row],[Fault Type]]="PM",IF(L18&lt;=(D18-C18),"Yes","No"),"")</f>
        <v/>
      </c>
      <c r="O18" s="16" t="str">
        <f t="shared" si="2"/>
        <v/>
      </c>
      <c r="P1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8" s="144"/>
    </row>
    <row r="19" spans="1:17" ht="15.5" x14ac:dyDescent="0.35">
      <c r="A19" s="4"/>
      <c r="B19" s="12"/>
      <c r="C19" s="13"/>
      <c r="D19" s="13"/>
      <c r="E19" s="13"/>
      <c r="F19" s="18"/>
      <c r="G19" s="12"/>
      <c r="H19" s="18"/>
      <c r="I19" s="18"/>
      <c r="J19" s="13"/>
      <c r="K19" s="32"/>
      <c r="L19" s="14">
        <f t="shared" si="0"/>
        <v>0</v>
      </c>
      <c r="M19" s="31">
        <f t="shared" si="1"/>
        <v>0</v>
      </c>
      <c r="N19" s="15" t="str">
        <f>IF(Table2683249[[#This Row],[Fault Type]]="PM",IF(L19&lt;=(D19-C19),"Yes","No"),"")</f>
        <v/>
      </c>
      <c r="O19" s="16" t="str">
        <f t="shared" si="2"/>
        <v/>
      </c>
      <c r="P1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19" s="144"/>
    </row>
    <row r="20" spans="1:17" ht="15.5" x14ac:dyDescent="0.35">
      <c r="A20" s="4"/>
      <c r="B20" s="12"/>
      <c r="C20" s="13"/>
      <c r="D20" s="13"/>
      <c r="E20" s="13"/>
      <c r="G20" s="159"/>
      <c r="H20" s="54"/>
      <c r="I20" s="54"/>
      <c r="J20" s="13"/>
      <c r="K20" s="32"/>
      <c r="L20" s="14">
        <f t="shared" si="0"/>
        <v>0</v>
      </c>
      <c r="M20" s="31">
        <f t="shared" si="1"/>
        <v>0</v>
      </c>
      <c r="N20" s="15" t="str">
        <f>IF(Table2683249[[#This Row],[Fault Type]]="PM",IF(L20&lt;=(D20-C20),"Yes","No"),"")</f>
        <v/>
      </c>
      <c r="O20" s="16" t="str">
        <f t="shared" si="2"/>
        <v/>
      </c>
      <c r="P2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0" s="144"/>
    </row>
    <row r="21" spans="1:17" ht="15.5" x14ac:dyDescent="0.35">
      <c r="A21" s="4"/>
      <c r="B21" s="12"/>
      <c r="C21" s="13"/>
      <c r="D21" s="13"/>
      <c r="E21" s="13"/>
      <c r="F21" s="18"/>
      <c r="G21" s="12"/>
      <c r="H21" s="18"/>
      <c r="I21" s="18"/>
      <c r="J21" s="13"/>
      <c r="K21" s="32"/>
      <c r="L21" s="14">
        <f t="shared" si="0"/>
        <v>0</v>
      </c>
      <c r="M21" s="31">
        <f t="shared" si="1"/>
        <v>0</v>
      </c>
      <c r="N21" s="15" t="str">
        <f>IF(Table2683249[[#This Row],[Fault Type]]="PM",IF(L21&lt;=(D21-C21),"Yes","No"),"")</f>
        <v/>
      </c>
      <c r="O21" s="16" t="str">
        <f t="shared" si="2"/>
        <v/>
      </c>
      <c r="P2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IF(Table2683249[[#This Row],[Fault Type]]="PM",IF(L22&lt;=(D22-C22),"Yes","No"),"")</f>
        <v/>
      </c>
      <c r="O22" s="16" t="str">
        <f t="shared" si="2"/>
        <v/>
      </c>
      <c r="P2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2" s="144"/>
    </row>
    <row r="23" spans="1:17" ht="15.5" x14ac:dyDescent="0.35">
      <c r="A23" s="4"/>
      <c r="B23" s="12"/>
      <c r="C23" s="13"/>
      <c r="D23" s="13"/>
      <c r="E23" s="13"/>
      <c r="F23" s="18"/>
      <c r="G23" s="12"/>
      <c r="H23" s="18"/>
      <c r="I23" s="18"/>
      <c r="J23" s="13"/>
      <c r="K23" s="32"/>
      <c r="L23" s="14">
        <f t="shared" si="0"/>
        <v>0</v>
      </c>
      <c r="M23" s="31">
        <f t="shared" ref="M23:M80" si="3">L23*F23</f>
        <v>0</v>
      </c>
      <c r="N23" s="15" t="str">
        <f>IF(Table2683249[[#This Row],[Fault Type]]="PM",IF(L23&lt;=(D23-C23),"Yes","No"),"")</f>
        <v/>
      </c>
      <c r="O23" s="16" t="str">
        <f t="shared" si="2"/>
        <v/>
      </c>
      <c r="P2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3" s="144"/>
    </row>
    <row r="24" spans="1:17" ht="15.5" x14ac:dyDescent="0.35">
      <c r="A24" s="4"/>
      <c r="B24" s="12"/>
      <c r="C24" s="13"/>
      <c r="D24" s="13"/>
      <c r="E24" s="13"/>
      <c r="F24" s="18"/>
      <c r="G24" s="12"/>
      <c r="H24" s="18"/>
      <c r="I24" s="18"/>
      <c r="J24" s="118"/>
      <c r="K24" s="32"/>
      <c r="L24" s="14">
        <f t="shared" si="0"/>
        <v>0</v>
      </c>
      <c r="M24" s="31">
        <f t="shared" si="3"/>
        <v>0</v>
      </c>
      <c r="N24" s="15" t="str">
        <f>IF(Table2683249[[#This Row],[Fault Type]]="PM",IF(L24&lt;=(D24-C24),"Yes","No"),"")</f>
        <v/>
      </c>
      <c r="O24" s="16" t="str">
        <f t="shared" si="2"/>
        <v/>
      </c>
      <c r="P2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4" s="144"/>
    </row>
    <row r="25" spans="1:17" ht="15.5" x14ac:dyDescent="0.35">
      <c r="A25" s="4"/>
      <c r="B25" s="12"/>
      <c r="C25" s="13"/>
      <c r="D25" s="13"/>
      <c r="E25" s="13"/>
      <c r="F25" s="18"/>
      <c r="G25" s="12"/>
      <c r="H25" s="18"/>
      <c r="I25" s="18"/>
      <c r="J25" s="13"/>
      <c r="K25" s="32"/>
      <c r="L25" s="14">
        <f t="shared" si="0"/>
        <v>0</v>
      </c>
      <c r="M25" s="31">
        <f t="shared" si="3"/>
        <v>0</v>
      </c>
      <c r="N25" s="15" t="str">
        <f>IF(Table2683249[[#This Row],[Fault Type]]="PM",IF(L25&lt;=(D25-C25),"Yes","No"),"")</f>
        <v/>
      </c>
      <c r="O25" s="16" t="str">
        <f t="shared" si="2"/>
        <v/>
      </c>
      <c r="P2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5" s="144"/>
    </row>
    <row r="26" spans="1:17" ht="15.5" x14ac:dyDescent="0.35">
      <c r="A26" s="4"/>
      <c r="B26" s="12"/>
      <c r="C26" s="13"/>
      <c r="D26" s="13"/>
      <c r="E26" s="13"/>
      <c r="F26" s="12"/>
      <c r="G26" s="12"/>
      <c r="H26" s="12"/>
      <c r="I26" s="12"/>
      <c r="J26" s="13"/>
      <c r="K26" s="32"/>
      <c r="L26" s="14">
        <f t="shared" si="0"/>
        <v>0</v>
      </c>
      <c r="M26" s="31">
        <f t="shared" si="3"/>
        <v>0</v>
      </c>
      <c r="N26" s="15" t="str">
        <f>IF(Table2683249[[#This Row],[Fault Type]]="PM",IF(L26&lt;=(D26-C26),"Yes","No"),"")</f>
        <v/>
      </c>
      <c r="O26" s="16" t="str">
        <f t="shared" si="2"/>
        <v/>
      </c>
      <c r="P2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6" s="144"/>
    </row>
    <row r="27" spans="1:17" ht="15.5" x14ac:dyDescent="0.35">
      <c r="A27" s="4"/>
      <c r="B27" s="12"/>
      <c r="C27" s="13"/>
      <c r="D27" s="13"/>
      <c r="E27" s="13"/>
      <c r="F27" s="18"/>
      <c r="G27" s="12"/>
      <c r="H27" s="18"/>
      <c r="I27" s="18"/>
      <c r="J27" s="13"/>
      <c r="K27" s="32"/>
      <c r="L27" s="14">
        <f t="shared" si="0"/>
        <v>0</v>
      </c>
      <c r="M27" s="31">
        <f t="shared" si="3"/>
        <v>0</v>
      </c>
      <c r="N27" s="15" t="str">
        <f>IF(Table2683249[[#This Row],[Fault Type]]="PM",IF(L27&lt;=(D27-C27),"Yes","No"),"")</f>
        <v/>
      </c>
      <c r="O27" s="16" t="str">
        <f t="shared" si="2"/>
        <v/>
      </c>
      <c r="P2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7" s="144"/>
    </row>
    <row r="28" spans="1:17" ht="15.5" x14ac:dyDescent="0.35">
      <c r="A28" s="4"/>
      <c r="B28" s="12"/>
      <c r="C28" s="13"/>
      <c r="D28" s="13"/>
      <c r="E28" s="13"/>
      <c r="F28" s="18"/>
      <c r="G28" s="12"/>
      <c r="H28" s="18"/>
      <c r="I28" s="18"/>
      <c r="J28" s="13"/>
      <c r="K28" s="32"/>
      <c r="L28" s="14">
        <f t="shared" si="0"/>
        <v>0</v>
      </c>
      <c r="M28" s="31">
        <f t="shared" si="3"/>
        <v>0</v>
      </c>
      <c r="N28" s="15" t="str">
        <f>IF(Table2683249[[#This Row],[Fault Type]]="PM",IF(L28&lt;=(D28-C28),"Yes","No"),"")</f>
        <v/>
      </c>
      <c r="O28" s="16" t="str">
        <f t="shared" si="2"/>
        <v/>
      </c>
      <c r="P2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8" s="144"/>
    </row>
    <row r="29" spans="1:17" ht="15.5" x14ac:dyDescent="0.35">
      <c r="A29" s="4"/>
      <c r="B29" s="12"/>
      <c r="C29" s="13"/>
      <c r="D29" s="13"/>
      <c r="E29" s="13"/>
      <c r="F29" s="12"/>
      <c r="G29" s="12"/>
      <c r="H29" s="12"/>
      <c r="I29" s="12"/>
      <c r="J29" s="13"/>
      <c r="K29" s="32"/>
      <c r="L29" s="14">
        <f t="shared" si="0"/>
        <v>0</v>
      </c>
      <c r="M29" s="31">
        <f t="shared" si="3"/>
        <v>0</v>
      </c>
      <c r="N29" s="15" t="str">
        <f>IF(Table2683249[[#This Row],[Fault Type]]="PM",IF(L29&lt;=(D29-C29),"Yes","No"),"")</f>
        <v/>
      </c>
      <c r="O29" s="16" t="str">
        <f t="shared" si="2"/>
        <v/>
      </c>
      <c r="P2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29" s="144"/>
    </row>
    <row r="30" spans="1:17" ht="15.5" x14ac:dyDescent="0.35">
      <c r="A30" s="4"/>
      <c r="B30" s="12"/>
      <c r="C30" s="13"/>
      <c r="D30" s="13"/>
      <c r="E30" s="13"/>
      <c r="F30" s="18"/>
      <c r="G30" s="12"/>
      <c r="H30" s="18"/>
      <c r="I30" s="18"/>
      <c r="J30" s="13"/>
      <c r="K30" s="32"/>
      <c r="L30" s="14">
        <f t="shared" si="0"/>
        <v>0</v>
      </c>
      <c r="M30" s="31">
        <f t="shared" si="3"/>
        <v>0</v>
      </c>
      <c r="N30" s="15" t="str">
        <f>IF(Table2683249[[#This Row],[Fault Type]]="PM",IF(L30&lt;=(D30-C30),"Yes","No"),"")</f>
        <v/>
      </c>
      <c r="O30" s="16" t="str">
        <f t="shared" si="2"/>
        <v/>
      </c>
      <c r="P3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0" s="144"/>
    </row>
    <row r="31" spans="1:17" ht="15.5" x14ac:dyDescent="0.35">
      <c r="A31" s="4"/>
      <c r="B31" s="12"/>
      <c r="C31" s="13"/>
      <c r="D31" s="13"/>
      <c r="E31" s="13"/>
      <c r="F31" s="18"/>
      <c r="G31" s="12"/>
      <c r="H31" s="109"/>
      <c r="I31" s="18"/>
      <c r="J31" s="118"/>
      <c r="K31" s="32"/>
      <c r="L31" s="14">
        <f t="shared" si="0"/>
        <v>0</v>
      </c>
      <c r="M31" s="31">
        <f t="shared" si="3"/>
        <v>0</v>
      </c>
      <c r="N31" s="15" t="str">
        <f>IF(Table2683249[[#This Row],[Fault Type]]="PM",IF(L31&lt;=(D31-C31),"Yes","No"),"")</f>
        <v/>
      </c>
      <c r="O31" s="16" t="str">
        <f t="shared" si="2"/>
        <v/>
      </c>
      <c r="P3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1" s="144"/>
    </row>
    <row r="32" spans="1:17" ht="15.5" x14ac:dyDescent="0.35">
      <c r="A32" s="4"/>
      <c r="B32" s="12"/>
      <c r="C32" s="13"/>
      <c r="D32" s="13"/>
      <c r="E32" s="13"/>
      <c r="F32" s="18"/>
      <c r="G32" s="12"/>
      <c r="H32" s="18"/>
      <c r="I32" s="18"/>
      <c r="J32" s="13"/>
      <c r="K32" s="32"/>
      <c r="L32" s="14">
        <f t="shared" si="0"/>
        <v>0</v>
      </c>
      <c r="M32" s="31">
        <f t="shared" si="3"/>
        <v>0</v>
      </c>
      <c r="N32" s="15" t="str">
        <f>IF(Table2683249[[#This Row],[Fault Type]]="PM",IF(L32&lt;=(D32-C32),"Yes","No"),"")</f>
        <v/>
      </c>
      <c r="O32" s="16" t="str">
        <f t="shared" si="2"/>
        <v/>
      </c>
      <c r="P3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2" s="144"/>
    </row>
    <row r="33" spans="1:17" ht="15.5" x14ac:dyDescent="0.35">
      <c r="A33" s="4"/>
      <c r="B33" s="12"/>
      <c r="C33" s="13"/>
      <c r="D33" s="13"/>
      <c r="E33" s="13"/>
      <c r="F33" s="18"/>
      <c r="G33" s="12"/>
      <c r="H33" s="18"/>
      <c r="I33" s="18"/>
      <c r="J33" s="13"/>
      <c r="K33" s="32"/>
      <c r="L33" s="14">
        <f t="shared" si="0"/>
        <v>0</v>
      </c>
      <c r="M33" s="31">
        <f t="shared" si="3"/>
        <v>0</v>
      </c>
      <c r="N33" s="15" t="str">
        <f>IF(Table2683249[[#This Row],[Fault Type]]="PM",IF(L33&lt;=(D33-C33),"Yes","No"),"")</f>
        <v/>
      </c>
      <c r="O33" s="16" t="str">
        <f t="shared" si="2"/>
        <v/>
      </c>
      <c r="P3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3" s="144"/>
    </row>
    <row r="34" spans="1:17" ht="15.5" x14ac:dyDescent="0.35">
      <c r="A34" s="4"/>
      <c r="B34" s="12"/>
      <c r="C34" s="13"/>
      <c r="D34" s="13"/>
      <c r="E34" s="13"/>
      <c r="F34" s="18"/>
      <c r="G34" s="12"/>
      <c r="H34" s="18"/>
      <c r="I34" s="18"/>
      <c r="J34" s="13"/>
      <c r="K34" s="32"/>
      <c r="L34" s="14">
        <f t="shared" si="0"/>
        <v>0</v>
      </c>
      <c r="M34" s="31">
        <f t="shared" si="3"/>
        <v>0</v>
      </c>
      <c r="N34" s="15" t="str">
        <f>IF(Table2683249[[#This Row],[Fault Type]]="PM",IF(L34&lt;=(D34-C34),"Yes","No"),"")</f>
        <v/>
      </c>
      <c r="O34" s="16" t="str">
        <f t="shared" si="2"/>
        <v/>
      </c>
      <c r="P3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4" s="144"/>
    </row>
    <row r="35" spans="1:17" ht="15.5" x14ac:dyDescent="0.35">
      <c r="A35" s="4"/>
      <c r="B35" s="12"/>
      <c r="C35" s="13"/>
      <c r="D35" s="13"/>
      <c r="E35" s="13"/>
      <c r="F35" s="18"/>
      <c r="G35" s="12"/>
      <c r="H35" s="18"/>
      <c r="I35" s="18"/>
      <c r="J35" s="13"/>
      <c r="K35" s="32"/>
      <c r="L35" s="14">
        <f t="shared" si="0"/>
        <v>0</v>
      </c>
      <c r="M35" s="31">
        <f t="shared" si="3"/>
        <v>0</v>
      </c>
      <c r="N35" s="15" t="str">
        <f>IF(Table2683249[[#This Row],[Fault Type]]="PM",IF(L35&lt;=(D35-C35),"Yes","No"),"")</f>
        <v/>
      </c>
      <c r="O35" s="16" t="str">
        <f t="shared" si="2"/>
        <v/>
      </c>
      <c r="P3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5" s="144"/>
    </row>
    <row r="36" spans="1:17" ht="15.5" x14ac:dyDescent="0.35">
      <c r="A36" s="4"/>
      <c r="B36" s="12"/>
      <c r="C36" s="13"/>
      <c r="D36" s="13"/>
      <c r="E36" s="13"/>
      <c r="F36" s="18"/>
      <c r="G36" s="12"/>
      <c r="H36" s="18"/>
      <c r="I36" s="18"/>
      <c r="J36" s="13"/>
      <c r="K36" s="32"/>
      <c r="L36" s="14">
        <f t="shared" si="0"/>
        <v>0</v>
      </c>
      <c r="M36" s="31">
        <f t="shared" si="3"/>
        <v>0</v>
      </c>
      <c r="N36" s="15" t="str">
        <f>IF(Table2683249[[#This Row],[Fault Type]]="PM",IF(L36&lt;=(D36-C36),"Yes","No"),"")</f>
        <v/>
      </c>
      <c r="O36" s="16" t="str">
        <f t="shared" si="2"/>
        <v/>
      </c>
      <c r="P3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6" s="144"/>
    </row>
    <row r="37" spans="1:17" ht="15.5" x14ac:dyDescent="0.35">
      <c r="A37" s="4"/>
      <c r="B37" s="12"/>
      <c r="C37" s="13"/>
      <c r="D37" s="13"/>
      <c r="E37" s="13"/>
      <c r="F37" s="18"/>
      <c r="G37" s="12"/>
      <c r="H37" s="18"/>
      <c r="I37" s="18"/>
      <c r="J37" s="13"/>
      <c r="K37" s="32"/>
      <c r="L37" s="14">
        <f t="shared" si="0"/>
        <v>0</v>
      </c>
      <c r="M37" s="31">
        <f t="shared" si="3"/>
        <v>0</v>
      </c>
      <c r="N37" s="15" t="str">
        <f>IF(Table2683249[[#This Row],[Fault Type]]="PM",IF(L37&lt;=(D37-C37),"Yes","No"),"")</f>
        <v/>
      </c>
      <c r="O37" s="16" t="str">
        <f t="shared" si="2"/>
        <v/>
      </c>
      <c r="P3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IF(Table2683249[[#This Row],[Fault Type]]="PM",IF(L38&lt;=(D38-C38),"Yes","No"),"")</f>
        <v/>
      </c>
      <c r="O38" s="16" t="str">
        <f t="shared" si="2"/>
        <v/>
      </c>
      <c r="P3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IF(Table2683249[[#This Row],[Fault Type]]="PM",IF(L39&lt;=(D39-C39),"Yes","No"),"")</f>
        <v/>
      </c>
      <c r="O39" s="16" t="str">
        <f t="shared" si="2"/>
        <v/>
      </c>
      <c r="P3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39" s="17"/>
    </row>
    <row r="40" spans="1:17" s="145" customFormat="1" ht="15.5" x14ac:dyDescent="0.35">
      <c r="A40" s="146"/>
      <c r="B40" s="147"/>
      <c r="C40" s="148"/>
      <c r="D40" s="148"/>
      <c r="E40" s="148"/>
      <c r="F40" s="153"/>
      <c r="G40" s="147"/>
      <c r="H40" s="153"/>
      <c r="I40" s="153"/>
      <c r="J40" s="148"/>
      <c r="K40" s="156"/>
      <c r="L40" s="149">
        <f t="shared" si="0"/>
        <v>0</v>
      </c>
      <c r="M40" s="155">
        <f t="shared" si="3"/>
        <v>0</v>
      </c>
      <c r="N40" s="150" t="str">
        <f>IF(Table2683249[[#This Row],[Fault Type]]="PM",IF(L40&lt;=(D40-C40),"Yes","No"),"")</f>
        <v/>
      </c>
      <c r="O40" s="151" t="str">
        <f t="shared" si="2"/>
        <v/>
      </c>
      <c r="P40" s="154"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0" s="152"/>
    </row>
    <row r="41" spans="1:17" ht="15.5" x14ac:dyDescent="0.35">
      <c r="A41" s="4"/>
      <c r="B41" s="12"/>
      <c r="C41" s="13"/>
      <c r="D41" s="13"/>
      <c r="E41" s="13"/>
      <c r="F41" s="18"/>
      <c r="G41" s="12"/>
      <c r="H41" s="18"/>
      <c r="I41" s="18"/>
      <c r="J41" s="13"/>
      <c r="K41" s="32"/>
      <c r="L41" s="14">
        <f t="shared" si="0"/>
        <v>0</v>
      </c>
      <c r="M41" s="31">
        <f t="shared" si="3"/>
        <v>0</v>
      </c>
      <c r="N41" s="15" t="str">
        <f>IF(Table2683249[[#This Row],[Fault Type]]="PM",IF(L41&lt;=(D41-C41),"Yes","No"),"")</f>
        <v/>
      </c>
      <c r="O41" s="16" t="str">
        <f t="shared" si="2"/>
        <v/>
      </c>
      <c r="P4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IF(Table2683249[[#This Row],[Fault Type]]="PM",IF(L42&lt;=(D42-C42),"Yes","No"),"")</f>
        <v/>
      </c>
      <c r="O42" s="16" t="str">
        <f t="shared" si="2"/>
        <v/>
      </c>
      <c r="P4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IF(Table2683249[[#This Row],[Fault Type]]="PM",IF(L43&lt;=(D43-C43),"Yes","No"),"")</f>
        <v/>
      </c>
      <c r="O43" s="16" t="str">
        <f t="shared" si="2"/>
        <v/>
      </c>
      <c r="P4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IF(Table2683249[[#This Row],[Fault Type]]="PM",IF(L44&lt;=(D44-C44),"Yes","No"),"")</f>
        <v/>
      </c>
      <c r="O44" s="16" t="str">
        <f t="shared" si="2"/>
        <v/>
      </c>
      <c r="P4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IF(Table2683249[[#This Row],[Fault Type]]="PM",IF(L45&lt;=(D45-C45),"Yes","No"),"")</f>
        <v/>
      </c>
      <c r="O45" s="16" t="str">
        <f t="shared" si="2"/>
        <v/>
      </c>
      <c r="P4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5" s="17"/>
    </row>
    <row r="46" spans="1:17" ht="15.75" customHeight="1" x14ac:dyDescent="0.35">
      <c r="A46" s="4"/>
      <c r="B46" s="12"/>
      <c r="C46" s="13"/>
      <c r="D46" s="13"/>
      <c r="E46" s="13"/>
      <c r="F46" s="12"/>
      <c r="G46" s="12"/>
      <c r="H46" s="12"/>
      <c r="I46" s="12"/>
      <c r="J46" s="13"/>
      <c r="K46" s="32"/>
      <c r="L46" s="14">
        <f t="shared" si="0"/>
        <v>0</v>
      </c>
      <c r="M46" s="31">
        <f t="shared" si="3"/>
        <v>0</v>
      </c>
      <c r="N46" s="15" t="str">
        <f>IF(Table2683249[[#This Row],[Fault Type]]="PM",IF(L46&lt;=(D46-C46),"Yes","No"),"")</f>
        <v/>
      </c>
      <c r="O46" s="16" t="str">
        <f t="shared" si="2"/>
        <v/>
      </c>
      <c r="P4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6" s="17"/>
    </row>
    <row r="47" spans="1:17" ht="15.5" x14ac:dyDescent="0.35">
      <c r="A47" s="4"/>
      <c r="B47" s="12"/>
      <c r="C47" s="13"/>
      <c r="D47" s="13"/>
      <c r="E47" s="13"/>
      <c r="F47" s="18"/>
      <c r="G47" s="12"/>
      <c r="H47" s="18"/>
      <c r="I47" s="18"/>
      <c r="J47" s="13"/>
      <c r="K47" s="32"/>
      <c r="L47" s="14">
        <f t="shared" si="0"/>
        <v>0</v>
      </c>
      <c r="M47" s="31">
        <f t="shared" si="3"/>
        <v>0</v>
      </c>
      <c r="N47" s="15" t="str">
        <f>IF(Table2683249[[#This Row],[Fault Type]]="PM",IF(L47&lt;=(D47-C47),"Yes","No"),"")</f>
        <v/>
      </c>
      <c r="O47" s="16" t="str">
        <f t="shared" si="2"/>
        <v/>
      </c>
      <c r="P4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7" s="17"/>
    </row>
    <row r="48" spans="1:17" ht="15.5" x14ac:dyDescent="0.35">
      <c r="A48" s="4"/>
      <c r="B48" s="49"/>
      <c r="C48" s="49"/>
      <c r="D48" s="49"/>
      <c r="E48" s="13"/>
      <c r="F48" s="64"/>
      <c r="G48" s="159"/>
      <c r="H48" s="54"/>
      <c r="I48" s="54"/>
      <c r="J48" s="13"/>
      <c r="K48" s="32"/>
      <c r="L48" s="14">
        <f t="shared" si="0"/>
        <v>0</v>
      </c>
      <c r="M48" s="53">
        <f t="shared" si="3"/>
        <v>0</v>
      </c>
      <c r="N48" s="50" t="str">
        <f>IF(Table2683249[[#This Row],[Fault Type]]="PM",IF(L48&lt;=(D48-C48),"Yes","No"),"")</f>
        <v/>
      </c>
      <c r="O48" s="51" t="str">
        <f t="shared" si="2"/>
        <v/>
      </c>
      <c r="P4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row>
    <row r="49" spans="1:17" ht="15.5" x14ac:dyDescent="0.35">
      <c r="A49" s="58"/>
      <c r="B49" s="55"/>
      <c r="C49" s="56"/>
      <c r="D49" s="56"/>
      <c r="E49" s="13"/>
      <c r="F49" s="55"/>
      <c r="G49" s="55"/>
      <c r="H49" s="57"/>
      <c r="I49" s="18"/>
      <c r="J49" s="13"/>
      <c r="K49" s="32"/>
      <c r="L49" s="14">
        <f t="shared" si="0"/>
        <v>0</v>
      </c>
      <c r="M49" s="59">
        <f t="shared" si="3"/>
        <v>0</v>
      </c>
      <c r="N49" s="61" t="str">
        <f>IF(Table2683249[[#This Row],[Fault Type]]="PM",IF(L49&lt;=(D49-C49),"Yes","No"),"")</f>
        <v/>
      </c>
      <c r="O49" s="62" t="str">
        <f t="shared" si="2"/>
        <v/>
      </c>
      <c r="P4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IF(Table2683249[[#This Row],[Fault Type]]="PM",IF(L50&lt;=(D50-C50),"Yes","No"),"")</f>
        <v/>
      </c>
      <c r="O50" s="62" t="str">
        <f t="shared" si="2"/>
        <v/>
      </c>
      <c r="P5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0" s="63"/>
    </row>
    <row r="51" spans="1:17" ht="15.5" x14ac:dyDescent="0.35">
      <c r="A51" s="58"/>
      <c r="B51" s="55"/>
      <c r="C51" s="56"/>
      <c r="D51" s="56"/>
      <c r="E51" s="13"/>
      <c r="F51" s="55"/>
      <c r="G51" s="55"/>
      <c r="H51" s="57"/>
      <c r="I51" s="18"/>
      <c r="J51" s="13"/>
      <c r="K51" s="32"/>
      <c r="L51" s="14">
        <f t="shared" si="0"/>
        <v>0</v>
      </c>
      <c r="M51" s="59">
        <f t="shared" si="3"/>
        <v>0</v>
      </c>
      <c r="N51" s="61" t="str">
        <f>IF(Table2683249[[#This Row],[Fault Type]]="PM",IF(L51&lt;=(D51-C51),"Yes","No"),"")</f>
        <v/>
      </c>
      <c r="O51" s="62" t="str">
        <f t="shared" si="2"/>
        <v/>
      </c>
      <c r="P5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IF(Table2683249[[#This Row],[Fault Type]]="PM",IF(L52&lt;=(D52-C52),"Yes","No"),"")</f>
        <v/>
      </c>
      <c r="O52" s="62" t="str">
        <f t="shared" si="2"/>
        <v/>
      </c>
      <c r="P5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IF(Table2683249[[#This Row],[Fault Type]]="PM",IF(L53&lt;=(D53-C53),"Yes","No"),"")</f>
        <v/>
      </c>
      <c r="O53" s="62" t="str">
        <f t="shared" si="2"/>
        <v/>
      </c>
      <c r="P5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IF(Table2683249[[#This Row],[Fault Type]]="PM",IF(L54&lt;=(D54-C54),"Yes","No"),"")</f>
        <v/>
      </c>
      <c r="O54" s="62" t="str">
        <f t="shared" si="2"/>
        <v/>
      </c>
      <c r="P5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IF(Table2683249[[#This Row],[Fault Type]]="PM",IF(L55&lt;=(D55-C55),"Yes","No"),"")</f>
        <v/>
      </c>
      <c r="O55" s="62" t="str">
        <f t="shared" si="2"/>
        <v/>
      </c>
      <c r="P5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IF(Table2683249[[#This Row],[Fault Type]]="PM",IF(L56&lt;=(D56-C56),"Yes","No"),"")</f>
        <v/>
      </c>
      <c r="O56" s="62" t="str">
        <f t="shared" si="2"/>
        <v/>
      </c>
      <c r="P5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6" s="63"/>
    </row>
    <row r="57" spans="1:17" ht="15.5" x14ac:dyDescent="0.35">
      <c r="A57" s="58"/>
      <c r="B57" s="55"/>
      <c r="C57" s="56"/>
      <c r="D57" s="56"/>
      <c r="E57" s="13"/>
      <c r="F57" s="55"/>
      <c r="G57" s="55"/>
      <c r="H57" s="57"/>
      <c r="I57" s="18"/>
      <c r="J57" s="13"/>
      <c r="K57" s="83"/>
      <c r="L57" s="14">
        <f t="shared" si="0"/>
        <v>0</v>
      </c>
      <c r="M57" s="59">
        <f t="shared" si="3"/>
        <v>0</v>
      </c>
      <c r="N57" s="61" t="str">
        <f>IF(Table2683249[[#This Row],[Fault Type]]="PM",IF(L57&lt;=(D57-C57),"Yes","No"),"")</f>
        <v/>
      </c>
      <c r="O57" s="62" t="str">
        <f t="shared" si="2"/>
        <v/>
      </c>
      <c r="P5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7" s="63"/>
    </row>
    <row r="58" spans="1:17" ht="15.5" x14ac:dyDescent="0.35">
      <c r="A58" s="58"/>
      <c r="B58" s="55"/>
      <c r="C58" s="56"/>
      <c r="D58" s="56"/>
      <c r="E58" s="13"/>
      <c r="F58" s="55"/>
      <c r="G58" s="55"/>
      <c r="H58" s="57"/>
      <c r="I58" s="18"/>
      <c r="J58" s="13"/>
      <c r="K58" s="83"/>
      <c r="L58" s="14">
        <f t="shared" si="0"/>
        <v>0</v>
      </c>
      <c r="M58" s="59">
        <f t="shared" si="3"/>
        <v>0</v>
      </c>
      <c r="N58" s="61" t="str">
        <f>IF(Table2683249[[#This Row],[Fault Type]]="PM",IF(L58&lt;=(D58-C58),"Yes","No"),"")</f>
        <v/>
      </c>
      <c r="O58" s="62" t="str">
        <f t="shared" si="2"/>
        <v/>
      </c>
      <c r="P5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8" s="63"/>
    </row>
    <row r="59" spans="1:17" ht="15.5" x14ac:dyDescent="0.35">
      <c r="A59" s="58"/>
      <c r="B59" s="55"/>
      <c r="C59" s="56"/>
      <c r="D59" s="56"/>
      <c r="E59" s="13"/>
      <c r="F59" s="55"/>
      <c r="G59" s="55"/>
      <c r="H59" s="57"/>
      <c r="I59" s="18"/>
      <c r="J59" s="13"/>
      <c r="K59" s="83"/>
      <c r="L59" s="14">
        <f t="shared" si="0"/>
        <v>0</v>
      </c>
      <c r="M59" s="59">
        <f t="shared" si="3"/>
        <v>0</v>
      </c>
      <c r="N59" s="61" t="str">
        <f>IF(Table2683249[[#This Row],[Fault Type]]="PM",IF(L59&lt;=(D59-C59),"Yes","No"),"")</f>
        <v/>
      </c>
      <c r="O59" s="62" t="str">
        <f t="shared" si="2"/>
        <v/>
      </c>
      <c r="P5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59" s="63"/>
    </row>
    <row r="60" spans="1:17" ht="15.5" x14ac:dyDescent="0.35">
      <c r="A60" s="58"/>
      <c r="B60" s="55"/>
      <c r="C60" s="56"/>
      <c r="D60" s="56"/>
      <c r="E60" s="13"/>
      <c r="F60" s="55"/>
      <c r="G60" s="55"/>
      <c r="H60" s="57"/>
      <c r="I60" s="18"/>
      <c r="J60" s="13"/>
      <c r="K60" s="83"/>
      <c r="L60" s="14">
        <f t="shared" si="0"/>
        <v>0</v>
      </c>
      <c r="M60" s="59">
        <f t="shared" si="3"/>
        <v>0</v>
      </c>
      <c r="N60" s="61" t="str">
        <f>IF(Table2683249[[#This Row],[Fault Type]]="PM",IF(L60&lt;=(D60-C60),"Yes","No"),"")</f>
        <v/>
      </c>
      <c r="O60" s="62" t="str">
        <f t="shared" si="2"/>
        <v/>
      </c>
      <c r="P6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0" s="63"/>
    </row>
    <row r="61" spans="1:17" ht="15.5" x14ac:dyDescent="0.35">
      <c r="A61" s="58"/>
      <c r="B61" s="55"/>
      <c r="C61" s="56"/>
      <c r="D61" s="56"/>
      <c r="E61" s="13"/>
      <c r="F61" s="55"/>
      <c r="G61" s="55"/>
      <c r="H61" s="57"/>
      <c r="I61" s="18"/>
      <c r="J61" s="13"/>
      <c r="K61" s="83"/>
      <c r="L61" s="14">
        <f t="shared" si="0"/>
        <v>0</v>
      </c>
      <c r="M61" s="59">
        <f t="shared" si="3"/>
        <v>0</v>
      </c>
      <c r="N61" s="61" t="str">
        <f>IF(Table2683249[[#This Row],[Fault Type]]="PM",IF(L61&lt;=(D61-C61),"Yes","No"),"")</f>
        <v/>
      </c>
      <c r="O61" s="62" t="str">
        <f t="shared" si="2"/>
        <v/>
      </c>
      <c r="P6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1" s="63"/>
    </row>
    <row r="62" spans="1:17" ht="15.5" x14ac:dyDescent="0.35">
      <c r="A62" s="58"/>
      <c r="B62" s="55"/>
      <c r="C62" s="56"/>
      <c r="D62" s="56"/>
      <c r="E62" s="13"/>
      <c r="F62" s="55"/>
      <c r="G62" s="55"/>
      <c r="H62" s="57"/>
      <c r="I62" s="18"/>
      <c r="J62" s="13"/>
      <c r="K62" s="83"/>
      <c r="L62" s="14">
        <f t="shared" si="0"/>
        <v>0</v>
      </c>
      <c r="M62" s="59">
        <f t="shared" si="3"/>
        <v>0</v>
      </c>
      <c r="N62" s="61" t="str">
        <f>IF(Table2683249[[#This Row],[Fault Type]]="PM",IF(L62&lt;=(D62-C62),"Yes","No"),"")</f>
        <v/>
      </c>
      <c r="O62" s="62" t="str">
        <f t="shared" si="2"/>
        <v/>
      </c>
      <c r="P6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2" s="63"/>
    </row>
    <row r="63" spans="1:17" ht="15.5" x14ac:dyDescent="0.35">
      <c r="A63" s="58"/>
      <c r="B63" s="55"/>
      <c r="C63" s="56"/>
      <c r="D63" s="56"/>
      <c r="E63" s="13"/>
      <c r="F63" s="55"/>
      <c r="G63" s="55"/>
      <c r="H63" s="57"/>
      <c r="I63" s="18"/>
      <c r="J63" s="13"/>
      <c r="K63" s="83"/>
      <c r="L63" s="14">
        <f t="shared" si="0"/>
        <v>0</v>
      </c>
      <c r="M63" s="59">
        <f t="shared" si="3"/>
        <v>0</v>
      </c>
      <c r="N63" s="61" t="str">
        <f>IF(Table2683249[[#This Row],[Fault Type]]="PM",IF(L63&lt;=(D63-C63),"Yes","No"),"")</f>
        <v/>
      </c>
      <c r="O63" s="62" t="str">
        <f t="shared" si="2"/>
        <v/>
      </c>
      <c r="P6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3" s="63"/>
    </row>
    <row r="64" spans="1:17" ht="15.5" x14ac:dyDescent="0.35">
      <c r="A64" s="58"/>
      <c r="B64" s="55"/>
      <c r="C64" s="56"/>
      <c r="D64" s="56"/>
      <c r="E64" s="13"/>
      <c r="F64" s="55"/>
      <c r="G64" s="55"/>
      <c r="H64" s="57"/>
      <c r="I64" s="18"/>
      <c r="J64" s="13"/>
      <c r="K64" s="83"/>
      <c r="L64" s="14">
        <f t="shared" si="0"/>
        <v>0</v>
      </c>
      <c r="M64" s="59">
        <f t="shared" si="3"/>
        <v>0</v>
      </c>
      <c r="N64" s="61" t="str">
        <f>IF(Table2683249[[#This Row],[Fault Type]]="PM",IF(L64&lt;=(D64-C64),"Yes","No"),"")</f>
        <v/>
      </c>
      <c r="O64" s="62" t="str">
        <f t="shared" si="2"/>
        <v/>
      </c>
      <c r="P6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4" s="63"/>
    </row>
    <row r="65" spans="1:17" ht="15.5" x14ac:dyDescent="0.35">
      <c r="A65" s="58"/>
      <c r="B65" s="55"/>
      <c r="C65" s="56"/>
      <c r="D65" s="56"/>
      <c r="E65" s="13"/>
      <c r="F65" s="55"/>
      <c r="G65" s="55"/>
      <c r="H65" s="57"/>
      <c r="I65" s="18"/>
      <c r="J65" s="13"/>
      <c r="K65" s="83"/>
      <c r="L65" s="14">
        <f t="shared" si="0"/>
        <v>0</v>
      </c>
      <c r="M65" s="59">
        <f t="shared" si="3"/>
        <v>0</v>
      </c>
      <c r="N65" s="61" t="str">
        <f>IF(Table2683249[[#This Row],[Fault Type]]="PM",IF(L65&lt;=(D65-C65),"Yes","No"),"")</f>
        <v/>
      </c>
      <c r="O65" s="62" t="str">
        <f t="shared" si="2"/>
        <v/>
      </c>
      <c r="P6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5" s="63"/>
    </row>
    <row r="66" spans="1:17" ht="15.5" x14ac:dyDescent="0.35">
      <c r="A66" s="58"/>
      <c r="B66" s="55"/>
      <c r="C66" s="56"/>
      <c r="D66" s="56"/>
      <c r="E66" s="13"/>
      <c r="F66" s="55"/>
      <c r="G66" s="55"/>
      <c r="H66" s="57"/>
      <c r="I66" s="18"/>
      <c r="J66" s="13"/>
      <c r="K66" s="83"/>
      <c r="L66" s="14">
        <f t="shared" si="0"/>
        <v>0</v>
      </c>
      <c r="M66" s="59">
        <f t="shared" si="3"/>
        <v>0</v>
      </c>
      <c r="N66" s="61" t="str">
        <f>IF(Table2683249[[#This Row],[Fault Type]]="PM",IF(L66&lt;=(D66-C66),"Yes","No"),"")</f>
        <v/>
      </c>
      <c r="O66" s="62" t="str">
        <f t="shared" si="2"/>
        <v/>
      </c>
      <c r="P6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6" s="63"/>
    </row>
    <row r="67" spans="1:17" ht="15.5" x14ac:dyDescent="0.35">
      <c r="A67" s="58"/>
      <c r="B67" s="55"/>
      <c r="C67" s="56"/>
      <c r="D67" s="56"/>
      <c r="E67" s="13"/>
      <c r="F67" s="55"/>
      <c r="G67" s="55"/>
      <c r="H67" s="57"/>
      <c r="I67" s="18"/>
      <c r="J67" s="13"/>
      <c r="K67" s="83"/>
      <c r="L67" s="14">
        <f t="shared" ref="L67:L80" si="4">J67-E67</f>
        <v>0</v>
      </c>
      <c r="M67" s="59">
        <f t="shared" si="3"/>
        <v>0</v>
      </c>
      <c r="N67" s="61" t="str">
        <f>IF(Table2683249[[#This Row],[Fault Type]]="PM",IF(L67&lt;=(D67-C67),"Yes","No"),"")</f>
        <v/>
      </c>
      <c r="O67" s="62" t="str">
        <f t="shared" ref="O67:O80" si="5">IF(N67="No",(L67-(D67-C67)),"")</f>
        <v/>
      </c>
      <c r="P6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7" s="63"/>
    </row>
    <row r="68" spans="1:17" ht="15.5" x14ac:dyDescent="0.35">
      <c r="A68" s="58"/>
      <c r="B68" s="55"/>
      <c r="C68" s="56"/>
      <c r="D68" s="56"/>
      <c r="E68" s="13"/>
      <c r="F68" s="55"/>
      <c r="G68" s="55"/>
      <c r="H68" s="57"/>
      <c r="I68" s="18"/>
      <c r="J68" s="13"/>
      <c r="K68" s="83"/>
      <c r="L68" s="14">
        <f t="shared" si="4"/>
        <v>0</v>
      </c>
      <c r="M68" s="59">
        <f t="shared" si="3"/>
        <v>0</v>
      </c>
      <c r="N68" s="61" t="str">
        <f>IF(Table2683249[[#This Row],[Fault Type]]="PM",IF(L68&lt;=(D68-C68),"Yes","No"),"")</f>
        <v/>
      </c>
      <c r="O68" s="62" t="str">
        <f t="shared" si="5"/>
        <v/>
      </c>
      <c r="P6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8" s="63"/>
    </row>
    <row r="69" spans="1:17" ht="15.5" x14ac:dyDescent="0.35">
      <c r="A69" s="58"/>
      <c r="B69" s="55"/>
      <c r="C69" s="56"/>
      <c r="D69" s="56"/>
      <c r="E69" s="13"/>
      <c r="F69" s="55"/>
      <c r="G69" s="55"/>
      <c r="H69" s="57"/>
      <c r="I69" s="18"/>
      <c r="J69" s="13"/>
      <c r="K69" s="83"/>
      <c r="L69" s="14">
        <f t="shared" si="4"/>
        <v>0</v>
      </c>
      <c r="M69" s="59">
        <f t="shared" si="3"/>
        <v>0</v>
      </c>
      <c r="N69" s="61" t="str">
        <f>IF(Table2683249[[#This Row],[Fault Type]]="PM",IF(L69&lt;=(D69-C69),"Yes","No"),"")</f>
        <v/>
      </c>
      <c r="O69" s="62" t="str">
        <f t="shared" si="5"/>
        <v/>
      </c>
      <c r="P6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69" s="63"/>
    </row>
    <row r="70" spans="1:17" ht="15.5" x14ac:dyDescent="0.35">
      <c r="A70" s="58"/>
      <c r="B70" s="55"/>
      <c r="C70" s="56"/>
      <c r="D70" s="56"/>
      <c r="E70" s="13"/>
      <c r="F70" s="55"/>
      <c r="G70" s="55"/>
      <c r="H70" s="57"/>
      <c r="I70" s="18"/>
      <c r="J70" s="13"/>
      <c r="K70" s="83"/>
      <c r="L70" s="14">
        <f t="shared" si="4"/>
        <v>0</v>
      </c>
      <c r="M70" s="59">
        <f t="shared" si="3"/>
        <v>0</v>
      </c>
      <c r="N70" s="61" t="str">
        <f>IF(Table2683249[[#This Row],[Fault Type]]="PM",IF(L70&lt;=(D70-C70),"Yes","No"),"")</f>
        <v/>
      </c>
      <c r="O70" s="62" t="str">
        <f t="shared" si="5"/>
        <v/>
      </c>
      <c r="P7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0" s="63"/>
    </row>
    <row r="71" spans="1:17" ht="15.5" x14ac:dyDescent="0.35">
      <c r="A71" s="58"/>
      <c r="B71" s="55"/>
      <c r="C71" s="56"/>
      <c r="D71" s="56"/>
      <c r="E71" s="13"/>
      <c r="F71" s="55"/>
      <c r="G71" s="55"/>
      <c r="H71" s="57"/>
      <c r="I71" s="18"/>
      <c r="J71" s="13"/>
      <c r="K71" s="83"/>
      <c r="L71" s="14">
        <f t="shared" si="4"/>
        <v>0</v>
      </c>
      <c r="M71" s="59">
        <f t="shared" si="3"/>
        <v>0</v>
      </c>
      <c r="N71" s="61" t="str">
        <f>IF(Table2683249[[#This Row],[Fault Type]]="PM",IF(L71&lt;=(D71-C71),"Yes","No"),"")</f>
        <v/>
      </c>
      <c r="O71" s="62" t="str">
        <f t="shared" si="5"/>
        <v/>
      </c>
      <c r="P71"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1" s="63"/>
    </row>
    <row r="72" spans="1:17" ht="15.5" x14ac:dyDescent="0.35">
      <c r="A72" s="58"/>
      <c r="B72" s="55"/>
      <c r="C72" s="56"/>
      <c r="D72" s="56"/>
      <c r="E72" s="13"/>
      <c r="F72" s="55"/>
      <c r="G72" s="55"/>
      <c r="H72" s="57"/>
      <c r="I72" s="18"/>
      <c r="J72" s="13"/>
      <c r="K72" s="83"/>
      <c r="L72" s="14">
        <f t="shared" si="4"/>
        <v>0</v>
      </c>
      <c r="M72" s="59">
        <f t="shared" si="3"/>
        <v>0</v>
      </c>
      <c r="N72" s="61" t="str">
        <f>IF(Table2683249[[#This Row],[Fault Type]]="PM",IF(L72&lt;=(D72-C72),"Yes","No"),"")</f>
        <v/>
      </c>
      <c r="O72" s="62" t="str">
        <f t="shared" si="5"/>
        <v/>
      </c>
      <c r="P72"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2" s="63"/>
    </row>
    <row r="73" spans="1:17" ht="15.5" x14ac:dyDescent="0.35">
      <c r="A73" s="58"/>
      <c r="B73" s="55"/>
      <c r="C73" s="56"/>
      <c r="D73" s="56"/>
      <c r="E73" s="13"/>
      <c r="F73" s="55"/>
      <c r="G73" s="55"/>
      <c r="H73" s="57"/>
      <c r="I73" s="18"/>
      <c r="J73" s="13"/>
      <c r="K73" s="83"/>
      <c r="L73" s="14">
        <f t="shared" si="4"/>
        <v>0</v>
      </c>
      <c r="M73" s="59">
        <f t="shared" si="3"/>
        <v>0</v>
      </c>
      <c r="N73" s="61" t="str">
        <f>IF(Table2683249[[#This Row],[Fault Type]]="PM",IF(L73&lt;=(D73-C73),"Yes","No"),"")</f>
        <v/>
      </c>
      <c r="O73" s="62" t="str">
        <f t="shared" si="5"/>
        <v/>
      </c>
      <c r="P73"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3" s="63"/>
    </row>
    <row r="74" spans="1:17" ht="15.5" x14ac:dyDescent="0.35">
      <c r="A74" s="58"/>
      <c r="B74" s="55"/>
      <c r="C74" s="56"/>
      <c r="D74" s="56"/>
      <c r="E74" s="13"/>
      <c r="F74" s="55"/>
      <c r="G74" s="55"/>
      <c r="H74" s="57"/>
      <c r="I74" s="18"/>
      <c r="J74" s="13"/>
      <c r="K74" s="83"/>
      <c r="L74" s="14">
        <f t="shared" si="4"/>
        <v>0</v>
      </c>
      <c r="M74" s="59">
        <f t="shared" si="3"/>
        <v>0</v>
      </c>
      <c r="N74" s="61" t="str">
        <f>IF(Table2683249[[#This Row],[Fault Type]]="PM",IF(L74&lt;=(D74-C74),"Yes","No"),"")</f>
        <v/>
      </c>
      <c r="O74" s="62" t="str">
        <f t="shared" si="5"/>
        <v/>
      </c>
      <c r="P74"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4" s="63"/>
    </row>
    <row r="75" spans="1:17" ht="15.5" x14ac:dyDescent="0.35">
      <c r="A75" s="58"/>
      <c r="B75" s="55"/>
      <c r="C75" s="56"/>
      <c r="D75" s="56"/>
      <c r="E75" s="13"/>
      <c r="F75" s="55"/>
      <c r="G75" s="55"/>
      <c r="H75" s="57"/>
      <c r="I75" s="18"/>
      <c r="J75" s="13"/>
      <c r="K75" s="83"/>
      <c r="L75" s="14">
        <f t="shared" si="4"/>
        <v>0</v>
      </c>
      <c r="M75" s="59">
        <f t="shared" si="3"/>
        <v>0</v>
      </c>
      <c r="N75" s="61" t="str">
        <f>IF(Table2683249[[#This Row],[Fault Type]]="PM",IF(L75&lt;=(D75-C75),"Yes","No"),"")</f>
        <v/>
      </c>
      <c r="O75" s="62" t="str">
        <f t="shared" si="5"/>
        <v/>
      </c>
      <c r="P75"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5" s="63"/>
    </row>
    <row r="76" spans="1:17" ht="15.5" x14ac:dyDescent="0.35">
      <c r="A76" s="58"/>
      <c r="B76" s="55"/>
      <c r="C76" s="56"/>
      <c r="D76" s="56"/>
      <c r="E76" s="13"/>
      <c r="F76" s="55"/>
      <c r="G76" s="55"/>
      <c r="H76" s="57"/>
      <c r="I76" s="18"/>
      <c r="J76" s="13"/>
      <c r="K76" s="83"/>
      <c r="L76" s="14">
        <f t="shared" si="4"/>
        <v>0</v>
      </c>
      <c r="M76" s="59">
        <f t="shared" si="3"/>
        <v>0</v>
      </c>
      <c r="N76" s="61" t="str">
        <f>IF(Table2683249[[#This Row],[Fault Type]]="PM",IF(L76&lt;=(D76-C76),"Yes","No"),"")</f>
        <v/>
      </c>
      <c r="O76" s="62" t="str">
        <f t="shared" si="5"/>
        <v/>
      </c>
      <c r="P76"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6" s="63"/>
    </row>
    <row r="77" spans="1:17" ht="15.5" x14ac:dyDescent="0.35">
      <c r="A77" s="58"/>
      <c r="B77" s="55"/>
      <c r="C77" s="56"/>
      <c r="D77" s="56"/>
      <c r="E77" s="13"/>
      <c r="F77" s="55"/>
      <c r="G77" s="55"/>
      <c r="H77" s="57"/>
      <c r="I77" s="18"/>
      <c r="J77" s="13"/>
      <c r="K77" s="83"/>
      <c r="L77" s="14">
        <f t="shared" si="4"/>
        <v>0</v>
      </c>
      <c r="M77" s="59">
        <f t="shared" si="3"/>
        <v>0</v>
      </c>
      <c r="N77" s="61" t="str">
        <f>IF(Table2683249[[#This Row],[Fault Type]]="PM",IF(L77&lt;=(D77-C77),"Yes","No"),"")</f>
        <v/>
      </c>
      <c r="O77" s="62" t="str">
        <f t="shared" si="5"/>
        <v/>
      </c>
      <c r="P77"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7" s="63"/>
    </row>
    <row r="78" spans="1:17" ht="15.5" x14ac:dyDescent="0.35">
      <c r="A78" s="58"/>
      <c r="B78" s="55"/>
      <c r="C78" s="56"/>
      <c r="D78" s="56"/>
      <c r="E78" s="13"/>
      <c r="F78" s="55"/>
      <c r="G78" s="55"/>
      <c r="H78" s="57"/>
      <c r="I78" s="18"/>
      <c r="J78" s="13"/>
      <c r="K78" s="83"/>
      <c r="L78" s="14">
        <f t="shared" si="4"/>
        <v>0</v>
      </c>
      <c r="M78" s="59">
        <f t="shared" si="3"/>
        <v>0</v>
      </c>
      <c r="N78" s="61" t="str">
        <f>IF(Table2683249[[#This Row],[Fault Type]]="PM",IF(L78&lt;=(D78-C78),"Yes","No"),"")</f>
        <v/>
      </c>
      <c r="O78" s="62" t="str">
        <f t="shared" si="5"/>
        <v/>
      </c>
      <c r="P78"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8" s="63"/>
    </row>
    <row r="79" spans="1:17" ht="15.5" x14ac:dyDescent="0.35">
      <c r="A79" s="58"/>
      <c r="B79" s="55"/>
      <c r="C79" s="56"/>
      <c r="D79" s="56"/>
      <c r="E79" s="13"/>
      <c r="F79" s="55"/>
      <c r="G79" s="55"/>
      <c r="H79" s="57"/>
      <c r="I79" s="18"/>
      <c r="J79" s="13"/>
      <c r="K79" s="83"/>
      <c r="L79" s="14">
        <f t="shared" si="4"/>
        <v>0</v>
      </c>
      <c r="M79" s="59">
        <f t="shared" si="3"/>
        <v>0</v>
      </c>
      <c r="N79" s="61" t="str">
        <f>IF(Table2683249[[#This Row],[Fault Type]]="PM",IF(L79&lt;=(D79-C79),"Yes","No"),"")</f>
        <v/>
      </c>
      <c r="O79" s="62" t="str">
        <f t="shared" si="5"/>
        <v/>
      </c>
      <c r="P79"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79" s="63"/>
    </row>
    <row r="80" spans="1:17" ht="15.5" x14ac:dyDescent="0.35">
      <c r="A80" s="58"/>
      <c r="B80" s="55"/>
      <c r="C80" s="56"/>
      <c r="D80" s="56"/>
      <c r="E80" s="13"/>
      <c r="F80" s="55"/>
      <c r="G80" s="55"/>
      <c r="H80" s="57"/>
      <c r="I80" s="18"/>
      <c r="J80" s="13"/>
      <c r="K80" s="60"/>
      <c r="L80" s="14">
        <f t="shared" si="4"/>
        <v>0</v>
      </c>
      <c r="M80" s="59">
        <f t="shared" si="3"/>
        <v>0</v>
      </c>
      <c r="N80" s="61" t="str">
        <f>IF(Table2683249[[#This Row],[Fault Type]]="PM",IF(L80&lt;=(D80-C80),"Yes","No"),"")</f>
        <v/>
      </c>
      <c r="O80" s="62" t="str">
        <f t="shared" si="5"/>
        <v/>
      </c>
      <c r="P80" s="30" t="str">
        <f>IF(AND(Table2683249[[#This Row],[Name of Feeder]]&lt;&gt;"",OR(Table2683249[[#This Row],[Fault Type]]="TL",Table2683249[[#This Row],[Fault Type]]="TS",Table2683249[[#This Row],[Fault Type]]="UF",Table2683249[[#This Row],[Fault Type]]="SE")),(IF(AND(VLOOKUP(Table2683249[[#This Row],[Name of Feeder]],Main!D:E,2,0)="URBAN",ISNUMBER(SEARCH("33KV",Table2683249[[#This Row],[Name of Feeder]]))),IF(AND(Table2683249[[#This Row],[Outage Duration]]&gt;0,Table2683249[[#This Row],[Outage Duration]]&lt;=0.25),"Yes","No"),IF(AND(VLOOKUP(Table2683249[[#This Row],[Name of Feeder]],Main!D:E,2,0)="RURAL",ISNUMBER(SEARCH("33KV",Table2683249[[#This Row],[Name of Feeder]]))),IF(AND(Table2683249[[#This Row],[Outage Duration]]&gt;0,Table2683249[[#This Row],[Outage Duration]]&lt;=0.33),"Yes","No"),IF(AND(VLOOKUP(Table2683249[[#This Row],[Name of Feeder]],Main!D:E,2,0)="RURAL",ISNUMBER(SEARCH("11KV",Table2683249[[#This Row],[Name of Feeder]]))),IF(AND(Table2683249[[#This Row],[Outage Duration]]&gt;0,Table2683249[[#This Row],[Outage Duration]]&lt;=0.17),"Yes","No"),IF(AND(VLOOKUP(Table2683249[[#This Row],[Name of Feeder]],Main!D:E,2,0)="URBAN",ISNUMBER(SEARCH("11KV",Table2683249[[#This Row],[Name of Feeder]]))),IF(AND(Table2683249[[#This Row],[Outage Duration]]&gt;0,Table2683249[[#This Row],[Outage Duration]]&lt;=0.17),"Yes","No"),""))))),"")</f>
        <v/>
      </c>
      <c r="Q80"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500-000000000000}">
          <x14:formula1>
            <xm:f>Main!$F$226:$F$228</xm:f>
          </x14:formula1>
          <xm:sqref>I2:I80</xm:sqref>
        </x14:dataValidation>
        <x14:dataValidation type="list" allowBlank="1" showInputMessage="1" showErrorMessage="1" xr:uid="{00000000-0002-0000-1500-000001000000}">
          <x14:formula1>
            <xm:f>Main!$D$2:$D$196</xm:f>
          </x14:formula1>
          <xm:sqref>A2:A80</xm:sqref>
        </x14:dataValidation>
        <x14:dataValidation type="list" allowBlank="1" showInputMessage="1" showErrorMessage="1" xr:uid="{00000000-0002-0000-1500-000002000000}">
          <x14:formula1>
            <xm:f>Main!F$222:F$225</xm:f>
          </x14:formula1>
          <xm:sqref>G2:G80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79"/>
  <sheetViews>
    <sheetView topLeftCell="C61" zoomScale="70" zoomScaleNormal="70" workbookViewId="0">
      <selection activeCell="Q11" sqref="Q11:Q42"/>
    </sheetView>
  </sheetViews>
  <sheetFormatPr defaultRowHeight="14.5" x14ac:dyDescent="0.35"/>
  <cols>
    <col min="1" max="1" width="27.26953125" customWidth="1"/>
    <col min="2" max="2" width="8.26953125" customWidth="1"/>
    <col min="3" max="3" width="17.26953125" customWidth="1"/>
    <col min="4" max="4" width="16.81640625" customWidth="1"/>
    <col min="5" max="5" width="17.269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5" si="0">J2-E2</f>
        <v>0</v>
      </c>
      <c r="M2" s="31">
        <f t="shared" ref="M2:M23" si="1">L2*F2</f>
        <v>0</v>
      </c>
      <c r="N2" s="15" t="str">
        <f>IF(Table2683248[[#This Row],[Fault Type]]="PM",IF(L2&lt;=(D2-C2),"Yes","No"),"")</f>
        <v/>
      </c>
      <c r="O2" s="16" t="str">
        <f t="shared" ref="O2:O65" si="2">IF(N2="No",(L2-(D2-C2)),"")</f>
        <v/>
      </c>
      <c r="P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IF(Table2683248[[#This Row],[Fault Type]]="PM",IF(L3&lt;=(D3-C3),"Yes","No"),"")</f>
        <v/>
      </c>
      <c r="O3" s="16" t="str">
        <f t="shared" si="2"/>
        <v/>
      </c>
      <c r="P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IF(Table2683248[[#This Row],[Fault Type]]="PM",IF(L4&lt;=(D4-C4),"Yes","No"),"")</f>
        <v/>
      </c>
      <c r="O4" s="16" t="str">
        <f t="shared" si="2"/>
        <v/>
      </c>
      <c r="P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IF(Table2683248[[#This Row],[Fault Type]]="PM",IF(L5&lt;=(D5-C5),"Yes","No"),"")</f>
        <v/>
      </c>
      <c r="O5" s="16" t="str">
        <f t="shared" si="2"/>
        <v/>
      </c>
      <c r="P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IF(Table2683248[[#This Row],[Fault Type]]="PM",IF(L6&lt;=(D6-C6),"Yes","No"),"")</f>
        <v/>
      </c>
      <c r="O6" s="16" t="str">
        <f t="shared" si="2"/>
        <v/>
      </c>
      <c r="P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IF(Table2683248[[#This Row],[Fault Type]]="PM",IF(L7&lt;=(D7-C7),"Yes","No"),"")</f>
        <v/>
      </c>
      <c r="O7" s="16" t="str">
        <f t="shared" si="2"/>
        <v/>
      </c>
      <c r="P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IF(Table2683248[[#This Row],[Fault Type]]="PM",IF(L8&lt;=(D8-C8),"Yes","No"),"")</f>
        <v/>
      </c>
      <c r="O8" s="16" t="str">
        <f t="shared" si="2"/>
        <v/>
      </c>
      <c r="P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IF(Table2683248[[#This Row],[Fault Type]]="PM",IF(L9&lt;=(D9-C9),"Yes","No"),"")</f>
        <v/>
      </c>
      <c r="O9" s="16" t="str">
        <f t="shared" si="2"/>
        <v/>
      </c>
      <c r="P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9" s="17"/>
    </row>
    <row r="10" spans="1:17" s="145" customFormat="1" ht="15.5" x14ac:dyDescent="0.35">
      <c r="A10" s="146"/>
      <c r="B10" s="147"/>
      <c r="C10" s="148"/>
      <c r="D10" s="148"/>
      <c r="E10" s="148"/>
      <c r="F10" s="147"/>
      <c r="G10" s="147"/>
      <c r="H10" s="147"/>
      <c r="I10" s="147"/>
      <c r="J10" s="148"/>
      <c r="K10" s="156"/>
      <c r="L10" s="149">
        <f>J10-E10</f>
        <v>0</v>
      </c>
      <c r="M10" s="155">
        <f>L10*F10</f>
        <v>0</v>
      </c>
      <c r="N10" s="150" t="str">
        <f>IF(Table2683248[[#This Row],[Fault Type]]="PM",IF(L10&lt;=(D10-C10),"Yes","No"),"")</f>
        <v/>
      </c>
      <c r="O10" s="151" t="str">
        <f>IF(N10="No",(L10-(D10-C10)),"")</f>
        <v/>
      </c>
      <c r="P10" s="154"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0" s="152"/>
    </row>
    <row r="11" spans="1:17" ht="15.5" x14ac:dyDescent="0.35">
      <c r="A11" s="4"/>
      <c r="B11" s="12"/>
      <c r="C11" s="13"/>
      <c r="D11" s="13"/>
      <c r="E11" s="13"/>
      <c r="F11" s="12"/>
      <c r="G11" s="12"/>
      <c r="H11" s="12"/>
      <c r="I11" s="12"/>
      <c r="J11" s="13"/>
      <c r="K11" s="32"/>
      <c r="L11" s="14">
        <f t="shared" si="0"/>
        <v>0</v>
      </c>
      <c r="M11" s="31">
        <f t="shared" si="1"/>
        <v>0</v>
      </c>
      <c r="N11" s="15" t="str">
        <f>IF(Table2683248[[#This Row],[Fault Type]]="PM",IF(L11&lt;=(D11-C11),"Yes","No"),"")</f>
        <v/>
      </c>
      <c r="O11" s="16" t="str">
        <f t="shared" si="2"/>
        <v/>
      </c>
      <c r="P1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IF(Table2683248[[#This Row],[Fault Type]]="PM",IF(L12&lt;=(D12-C12),"Yes","No"),"")</f>
        <v/>
      </c>
      <c r="O12" s="16" t="str">
        <f t="shared" si="2"/>
        <v/>
      </c>
      <c r="P1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2" s="144"/>
    </row>
    <row r="13" spans="1:17" ht="15.5" x14ac:dyDescent="0.35">
      <c r="A13" s="4"/>
      <c r="B13" s="12"/>
      <c r="C13" s="13"/>
      <c r="D13" s="13"/>
      <c r="E13" s="13"/>
      <c r="F13" s="12"/>
      <c r="G13" s="12"/>
      <c r="H13" s="12"/>
      <c r="I13" s="12"/>
      <c r="J13" s="13"/>
      <c r="K13" s="32"/>
      <c r="L13" s="14">
        <f t="shared" si="0"/>
        <v>0</v>
      </c>
      <c r="M13" s="31">
        <f t="shared" si="1"/>
        <v>0</v>
      </c>
      <c r="N13" s="15" t="str">
        <f>IF(Table2683248[[#This Row],[Fault Type]]="PM",IF(L13&lt;=(D13-C13),"Yes","No"),"")</f>
        <v/>
      </c>
      <c r="O13" s="16" t="str">
        <f t="shared" si="2"/>
        <v/>
      </c>
      <c r="P1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3" s="144"/>
    </row>
    <row r="14" spans="1:17" ht="15.5" x14ac:dyDescent="0.35">
      <c r="A14" s="4"/>
      <c r="B14" s="12"/>
      <c r="C14" s="13"/>
      <c r="D14" s="13"/>
      <c r="E14" s="13"/>
      <c r="F14" s="12"/>
      <c r="G14" s="12"/>
      <c r="H14" s="12"/>
      <c r="I14" s="12"/>
      <c r="J14" s="13"/>
      <c r="K14" s="32"/>
      <c r="L14" s="14">
        <f t="shared" si="0"/>
        <v>0</v>
      </c>
      <c r="M14" s="31">
        <f t="shared" si="1"/>
        <v>0</v>
      </c>
      <c r="N14" s="15" t="str">
        <f>IF(Table2683248[[#This Row],[Fault Type]]="PM",IF(L14&lt;=(D14-C14),"Yes","No"),"")</f>
        <v/>
      </c>
      <c r="O14" s="16" t="str">
        <f t="shared" si="2"/>
        <v/>
      </c>
      <c r="P1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4" s="144"/>
    </row>
    <row r="15" spans="1:17" ht="15.5" x14ac:dyDescent="0.35">
      <c r="A15" s="4"/>
      <c r="B15" s="12"/>
      <c r="C15" s="13"/>
      <c r="D15" s="13"/>
      <c r="E15" s="13"/>
      <c r="F15" s="12"/>
      <c r="G15" s="12"/>
      <c r="H15" s="12"/>
      <c r="I15" s="12"/>
      <c r="J15" s="13"/>
      <c r="K15" s="32"/>
      <c r="L15" s="14">
        <f t="shared" si="0"/>
        <v>0</v>
      </c>
      <c r="M15" s="31">
        <f t="shared" si="1"/>
        <v>0</v>
      </c>
      <c r="N15" s="15" t="str">
        <f>IF(Table2683248[[#This Row],[Fault Type]]="PM",IF(L15&lt;=(D15-C15),"Yes","No"),"")</f>
        <v/>
      </c>
      <c r="O15" s="16" t="str">
        <f t="shared" si="2"/>
        <v/>
      </c>
      <c r="P1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5" s="144"/>
    </row>
    <row r="16" spans="1:17" ht="15.5" x14ac:dyDescent="0.35">
      <c r="A16" s="4"/>
      <c r="B16" s="12"/>
      <c r="C16" s="13"/>
      <c r="D16" s="13"/>
      <c r="E16" s="13"/>
      <c r="F16" s="18"/>
      <c r="G16" s="12"/>
      <c r="H16" s="18"/>
      <c r="I16" s="18"/>
      <c r="J16" s="13"/>
      <c r="K16" s="32"/>
      <c r="L16" s="14">
        <f t="shared" si="0"/>
        <v>0</v>
      </c>
      <c r="M16" s="31">
        <f t="shared" si="1"/>
        <v>0</v>
      </c>
      <c r="N16" s="15" t="str">
        <f>IF(Table2683248[[#This Row],[Fault Type]]="PM",IF(L16&lt;=(D16-C16),"Yes","No"),"")</f>
        <v/>
      </c>
      <c r="O16" s="16" t="str">
        <f t="shared" si="2"/>
        <v/>
      </c>
      <c r="P1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6" s="144"/>
    </row>
    <row r="17" spans="1:17" ht="15.5" x14ac:dyDescent="0.35">
      <c r="A17" s="4"/>
      <c r="B17" s="12"/>
      <c r="C17" s="13"/>
      <c r="D17" s="13"/>
      <c r="E17" s="13"/>
      <c r="F17" s="12"/>
      <c r="G17" s="12"/>
      <c r="H17" s="12"/>
      <c r="I17" s="12"/>
      <c r="J17" s="13"/>
      <c r="K17" s="32"/>
      <c r="L17" s="14">
        <f t="shared" si="0"/>
        <v>0</v>
      </c>
      <c r="M17" s="31">
        <f t="shared" si="1"/>
        <v>0</v>
      </c>
      <c r="N17" s="15" t="str">
        <f>IF(Table2683248[[#This Row],[Fault Type]]="PM",IF(L17&lt;=(D17-C17),"Yes","No"),"")</f>
        <v/>
      </c>
      <c r="O17" s="16" t="str">
        <f t="shared" si="2"/>
        <v/>
      </c>
      <c r="P1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7" s="144"/>
    </row>
    <row r="18" spans="1:17" ht="15.5" x14ac:dyDescent="0.35">
      <c r="A18" s="4"/>
      <c r="B18" s="12"/>
      <c r="C18" s="13"/>
      <c r="D18" s="13"/>
      <c r="E18" s="13"/>
      <c r="F18" s="18"/>
      <c r="G18" s="12"/>
      <c r="H18" s="18"/>
      <c r="I18" s="18"/>
      <c r="J18" s="13"/>
      <c r="K18" s="32"/>
      <c r="L18" s="14">
        <f t="shared" si="0"/>
        <v>0</v>
      </c>
      <c r="M18" s="31">
        <f t="shared" si="1"/>
        <v>0</v>
      </c>
      <c r="N18" s="15" t="str">
        <f>IF(Table2683248[[#This Row],[Fault Type]]="PM",IF(L18&lt;=(D18-C18),"Yes","No"),"")</f>
        <v/>
      </c>
      <c r="O18" s="16" t="str">
        <f t="shared" si="2"/>
        <v/>
      </c>
      <c r="P1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8" s="144"/>
    </row>
    <row r="19" spans="1:17" ht="15.5" x14ac:dyDescent="0.35">
      <c r="A19" s="4"/>
      <c r="B19" s="12"/>
      <c r="C19" s="13"/>
      <c r="D19" s="13"/>
      <c r="E19" s="13"/>
      <c r="F19" s="18"/>
      <c r="G19" s="12"/>
      <c r="H19" s="18"/>
      <c r="I19" s="18"/>
      <c r="J19" s="13"/>
      <c r="K19" s="32"/>
      <c r="L19" s="14">
        <f t="shared" si="0"/>
        <v>0</v>
      </c>
      <c r="M19" s="31">
        <f t="shared" si="1"/>
        <v>0</v>
      </c>
      <c r="N19" s="15" t="str">
        <f>IF(Table2683248[[#This Row],[Fault Type]]="PM",IF(L19&lt;=(D19-C19),"Yes","No"),"")</f>
        <v/>
      </c>
      <c r="O19" s="16" t="str">
        <f t="shared" si="2"/>
        <v/>
      </c>
      <c r="P1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19" s="144"/>
    </row>
    <row r="20" spans="1:17" ht="15.5" x14ac:dyDescent="0.35">
      <c r="A20" s="4"/>
      <c r="B20" s="12"/>
      <c r="C20" s="13"/>
      <c r="D20" s="13"/>
      <c r="E20" s="13"/>
      <c r="G20" s="159"/>
      <c r="H20" s="54"/>
      <c r="I20" s="54"/>
      <c r="J20" s="13"/>
      <c r="K20" s="32"/>
      <c r="L20" s="14">
        <f t="shared" si="0"/>
        <v>0</v>
      </c>
      <c r="M20" s="31">
        <f t="shared" si="1"/>
        <v>0</v>
      </c>
      <c r="N20" s="15" t="str">
        <f>IF(Table2683248[[#This Row],[Fault Type]]="PM",IF(L20&lt;=(D20-C20),"Yes","No"),"")</f>
        <v/>
      </c>
      <c r="O20" s="16" t="str">
        <f t="shared" si="2"/>
        <v/>
      </c>
      <c r="P2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0" s="144"/>
    </row>
    <row r="21" spans="1:17" ht="15.5" x14ac:dyDescent="0.35">
      <c r="A21" s="4"/>
      <c r="B21" s="12"/>
      <c r="C21" s="13"/>
      <c r="D21" s="13"/>
      <c r="E21" s="13"/>
      <c r="F21" s="18"/>
      <c r="G21" s="12"/>
      <c r="H21" s="18"/>
      <c r="I21" s="18"/>
      <c r="J21" s="13"/>
      <c r="K21" s="32"/>
      <c r="L21" s="14">
        <f t="shared" si="0"/>
        <v>0</v>
      </c>
      <c r="M21" s="31">
        <f t="shared" si="1"/>
        <v>0</v>
      </c>
      <c r="N21" s="15" t="str">
        <f>IF(Table2683248[[#This Row],[Fault Type]]="PM",IF(L21&lt;=(D21-C21),"Yes","No"),"")</f>
        <v/>
      </c>
      <c r="O21" s="16" t="str">
        <f t="shared" si="2"/>
        <v/>
      </c>
      <c r="P2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IF(Table2683248[[#This Row],[Fault Type]]="PM",IF(L22&lt;=(D22-C22),"Yes","No"),"")</f>
        <v/>
      </c>
      <c r="O22" s="16" t="str">
        <f t="shared" si="2"/>
        <v/>
      </c>
      <c r="P2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2" s="119"/>
    </row>
    <row r="23" spans="1:17" ht="15.5" x14ac:dyDescent="0.35">
      <c r="A23" s="4"/>
      <c r="B23" s="12"/>
      <c r="C23" s="13"/>
      <c r="D23" s="13"/>
      <c r="E23" s="13"/>
      <c r="F23" s="18"/>
      <c r="G23" s="12"/>
      <c r="H23" s="18"/>
      <c r="I23" s="18"/>
      <c r="J23" s="13"/>
      <c r="K23" s="32"/>
      <c r="L23" s="14">
        <f t="shared" si="0"/>
        <v>0</v>
      </c>
      <c r="M23" s="31">
        <f t="shared" si="1"/>
        <v>0</v>
      </c>
      <c r="N23" s="15" t="str">
        <f>IF(Table2683248[[#This Row],[Fault Type]]="PM",IF(L23&lt;=(D23-C23),"Yes","No"),"")</f>
        <v/>
      </c>
      <c r="O23" s="16" t="str">
        <f t="shared" si="2"/>
        <v/>
      </c>
      <c r="P2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3" s="119"/>
    </row>
    <row r="24" spans="1:17" ht="15.5" x14ac:dyDescent="0.35">
      <c r="A24" s="4"/>
      <c r="B24" s="12"/>
      <c r="C24" s="13"/>
      <c r="D24" s="13"/>
      <c r="E24" s="13"/>
      <c r="F24" s="18"/>
      <c r="G24" s="12"/>
      <c r="H24" s="18"/>
      <c r="I24" s="18"/>
      <c r="J24" s="13"/>
      <c r="K24" s="32"/>
      <c r="L24" s="14">
        <f t="shared" si="0"/>
        <v>0</v>
      </c>
      <c r="M24" s="31">
        <f t="shared" ref="M24:M79" si="3">L24*F24</f>
        <v>0</v>
      </c>
      <c r="N24" s="15" t="str">
        <f>IF(Table2683248[[#This Row],[Fault Type]]="PM",IF(L24&lt;=(D24-C24),"Yes","No"),"")</f>
        <v/>
      </c>
      <c r="O24" s="16" t="str">
        <f t="shared" si="2"/>
        <v/>
      </c>
      <c r="P2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4" s="119"/>
    </row>
    <row r="25" spans="1:17" ht="15.5" x14ac:dyDescent="0.35">
      <c r="A25" s="4"/>
      <c r="B25" s="12"/>
      <c r="C25" s="13"/>
      <c r="D25" s="13"/>
      <c r="E25" s="13"/>
      <c r="F25" s="18"/>
      <c r="G25" s="12"/>
      <c r="H25" s="18"/>
      <c r="I25" s="18"/>
      <c r="J25" s="13"/>
      <c r="K25" s="32"/>
      <c r="L25" s="14">
        <f t="shared" si="0"/>
        <v>0</v>
      </c>
      <c r="M25" s="31">
        <f t="shared" si="3"/>
        <v>0</v>
      </c>
      <c r="N25" s="15" t="str">
        <f>IF(Table2683248[[#This Row],[Fault Type]]="PM",IF(L25&lt;=(D25-C25),"Yes","No"),"")</f>
        <v/>
      </c>
      <c r="O25" s="16" t="str">
        <f t="shared" si="2"/>
        <v/>
      </c>
      <c r="P2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5" s="119"/>
    </row>
    <row r="26" spans="1:17" ht="15.5" x14ac:dyDescent="0.35">
      <c r="A26" s="4"/>
      <c r="B26" s="12"/>
      <c r="C26" s="13"/>
      <c r="D26" s="13"/>
      <c r="E26" s="13"/>
      <c r="F26" s="12"/>
      <c r="G26" s="12"/>
      <c r="H26" s="12"/>
      <c r="I26" s="12"/>
      <c r="J26" s="13"/>
      <c r="K26" s="32"/>
      <c r="L26" s="14">
        <f t="shared" si="0"/>
        <v>0</v>
      </c>
      <c r="M26" s="31">
        <f t="shared" si="3"/>
        <v>0</v>
      </c>
      <c r="N26" s="15" t="str">
        <f>IF(Table2683248[[#This Row],[Fault Type]]="PM",IF(L26&lt;=(D26-C26),"Yes","No"),"")</f>
        <v/>
      </c>
      <c r="O26" s="16" t="str">
        <f t="shared" si="2"/>
        <v/>
      </c>
      <c r="P2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6" s="119"/>
    </row>
    <row r="27" spans="1:17" ht="15.5" x14ac:dyDescent="0.35">
      <c r="A27" s="4"/>
      <c r="B27" s="12"/>
      <c r="C27" s="13"/>
      <c r="D27" s="13"/>
      <c r="E27" s="13"/>
      <c r="F27" s="18"/>
      <c r="G27" s="12"/>
      <c r="H27" s="18"/>
      <c r="I27" s="18"/>
      <c r="J27" s="13"/>
      <c r="K27" s="32"/>
      <c r="L27" s="14">
        <f t="shared" si="0"/>
        <v>0</v>
      </c>
      <c r="M27" s="31">
        <f t="shared" si="3"/>
        <v>0</v>
      </c>
      <c r="N27" s="15" t="str">
        <f>IF(Table2683248[[#This Row],[Fault Type]]="PM",IF(L27&lt;=(D27-C27),"Yes","No"),"")</f>
        <v/>
      </c>
      <c r="O27" s="16" t="str">
        <f t="shared" si="2"/>
        <v/>
      </c>
      <c r="P2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7" s="119"/>
    </row>
    <row r="28" spans="1:17" ht="15.5" x14ac:dyDescent="0.35">
      <c r="A28" s="4"/>
      <c r="B28" s="12"/>
      <c r="C28" s="13"/>
      <c r="D28" s="13"/>
      <c r="E28" s="13"/>
      <c r="F28" s="18"/>
      <c r="G28" s="12"/>
      <c r="H28" s="18"/>
      <c r="I28" s="18"/>
      <c r="J28" s="13"/>
      <c r="K28" s="32"/>
      <c r="L28" s="14">
        <f t="shared" si="0"/>
        <v>0</v>
      </c>
      <c r="M28" s="31">
        <f t="shared" si="3"/>
        <v>0</v>
      </c>
      <c r="N28" s="15" t="str">
        <f>IF(Table2683248[[#This Row],[Fault Type]]="PM",IF(L28&lt;=(D28-C28),"Yes","No"),"")</f>
        <v/>
      </c>
      <c r="O28" s="16" t="str">
        <f t="shared" si="2"/>
        <v/>
      </c>
      <c r="P2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8" s="119"/>
    </row>
    <row r="29" spans="1:17" ht="15.5" x14ac:dyDescent="0.35">
      <c r="A29" s="4"/>
      <c r="B29" s="12"/>
      <c r="C29" s="13"/>
      <c r="D29" s="13"/>
      <c r="E29" s="13"/>
      <c r="F29" s="12"/>
      <c r="G29" s="12"/>
      <c r="H29" s="12"/>
      <c r="I29" s="12"/>
      <c r="J29" s="13"/>
      <c r="K29" s="32"/>
      <c r="L29" s="14">
        <f t="shared" si="0"/>
        <v>0</v>
      </c>
      <c r="M29" s="31">
        <f t="shared" si="3"/>
        <v>0</v>
      </c>
      <c r="N29" s="15" t="str">
        <f>IF(Table2683248[[#This Row],[Fault Type]]="PM",IF(L29&lt;=(D29-C29),"Yes","No"),"")</f>
        <v/>
      </c>
      <c r="O29" s="16" t="str">
        <f t="shared" si="2"/>
        <v/>
      </c>
      <c r="P2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29" s="119"/>
    </row>
    <row r="30" spans="1:17" ht="15.5" x14ac:dyDescent="0.35">
      <c r="A30" s="4"/>
      <c r="B30" s="12"/>
      <c r="C30" s="13"/>
      <c r="D30" s="13"/>
      <c r="E30" s="13"/>
      <c r="F30" s="18"/>
      <c r="G30" s="12"/>
      <c r="H30" s="18"/>
      <c r="I30" s="18"/>
      <c r="J30" s="13"/>
      <c r="K30" s="32"/>
      <c r="L30" s="14">
        <f t="shared" si="0"/>
        <v>0</v>
      </c>
      <c r="M30" s="31">
        <f t="shared" si="3"/>
        <v>0</v>
      </c>
      <c r="N30" s="15" t="str">
        <f>IF(Table2683248[[#This Row],[Fault Type]]="PM",IF(L30&lt;=(D30-C30),"Yes","No"),"")</f>
        <v/>
      </c>
      <c r="O30" s="16" t="str">
        <f t="shared" si="2"/>
        <v/>
      </c>
      <c r="P3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0" s="119"/>
    </row>
    <row r="31" spans="1:17" ht="15.5" x14ac:dyDescent="0.35">
      <c r="A31" s="4"/>
      <c r="B31" s="12"/>
      <c r="C31" s="13"/>
      <c r="D31" s="13"/>
      <c r="E31" s="13"/>
      <c r="F31" s="18"/>
      <c r="G31" s="12"/>
      <c r="H31" s="18"/>
      <c r="I31" s="18"/>
      <c r="J31" s="13"/>
      <c r="K31" s="32"/>
      <c r="L31" s="14">
        <f t="shared" si="0"/>
        <v>0</v>
      </c>
      <c r="M31" s="31">
        <f t="shared" si="3"/>
        <v>0</v>
      </c>
      <c r="N31" s="15" t="str">
        <f>IF(Table2683248[[#This Row],[Fault Type]]="PM",IF(L31&lt;=(D31-C31),"Yes","No"),"")</f>
        <v/>
      </c>
      <c r="O31" s="16" t="str">
        <f t="shared" si="2"/>
        <v/>
      </c>
      <c r="P3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1" s="119"/>
    </row>
    <row r="32" spans="1:17" ht="15.5" x14ac:dyDescent="0.35">
      <c r="A32" s="4"/>
      <c r="B32" s="12"/>
      <c r="C32" s="13"/>
      <c r="D32" s="13"/>
      <c r="E32" s="13"/>
      <c r="F32" s="18"/>
      <c r="G32" s="12"/>
      <c r="H32" s="18"/>
      <c r="I32" s="18"/>
      <c r="J32" s="13"/>
      <c r="K32" s="32"/>
      <c r="L32" s="14">
        <f t="shared" si="0"/>
        <v>0</v>
      </c>
      <c r="M32" s="31">
        <f t="shared" si="3"/>
        <v>0</v>
      </c>
      <c r="N32" s="15" t="str">
        <f>IF(Table2683248[[#This Row],[Fault Type]]="PM",IF(L32&lt;=(D32-C32),"Yes","No"),"")</f>
        <v/>
      </c>
      <c r="O32" s="16" t="str">
        <f t="shared" si="2"/>
        <v/>
      </c>
      <c r="P3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IF(Table2683248[[#This Row],[Fault Type]]="PM",IF(L33&lt;=(D33-C33),"Yes","No"),"")</f>
        <v/>
      </c>
      <c r="O33" s="16" t="str">
        <f t="shared" si="2"/>
        <v/>
      </c>
      <c r="P3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IF(Table2683248[[#This Row],[Fault Type]]="PM",IF(L34&lt;=(D34-C34),"Yes","No"),"")</f>
        <v/>
      </c>
      <c r="O34" s="16" t="str">
        <f t="shared" si="2"/>
        <v/>
      </c>
      <c r="P3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IF(Table2683248[[#This Row],[Fault Type]]="PM",IF(L35&lt;=(D35-C35),"Yes","No"),"")</f>
        <v/>
      </c>
      <c r="O35" s="16" t="str">
        <f t="shared" si="2"/>
        <v/>
      </c>
      <c r="P3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IF(Table2683248[[#This Row],[Fault Type]]="PM",IF(L36&lt;=(D36-C36),"Yes","No"),"")</f>
        <v/>
      </c>
      <c r="O36" s="16" t="str">
        <f t="shared" si="2"/>
        <v/>
      </c>
      <c r="P3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IF(Table2683248[[#This Row],[Fault Type]]="PM",IF(L37&lt;=(D37-C37),"Yes","No"),"")</f>
        <v/>
      </c>
      <c r="O37" s="16" t="str">
        <f t="shared" si="2"/>
        <v/>
      </c>
      <c r="P3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IF(Table2683248[[#This Row],[Fault Type]]="PM",IF(L38&lt;=(D38-C38),"Yes","No"),"")</f>
        <v/>
      </c>
      <c r="O38" s="16" t="str">
        <f t="shared" si="2"/>
        <v/>
      </c>
      <c r="P3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IF(Table2683248[[#This Row],[Fault Type]]="PM",IF(L39&lt;=(D39-C39),"Yes","No"),"")</f>
        <v/>
      </c>
      <c r="O39" s="16" t="str">
        <f t="shared" si="2"/>
        <v/>
      </c>
      <c r="P3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IF(Table2683248[[#This Row],[Fault Type]]="PM",IF(L40&lt;=(D40-C40),"Yes","No"),"")</f>
        <v/>
      </c>
      <c r="O40" s="16" t="str">
        <f t="shared" si="2"/>
        <v/>
      </c>
      <c r="P4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IF(Table2683248[[#This Row],[Fault Type]]="PM",IF(L41&lt;=(D41-C41),"Yes","No"),"")</f>
        <v/>
      </c>
      <c r="O41" s="16" t="str">
        <f t="shared" si="2"/>
        <v/>
      </c>
      <c r="P4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IF(Table2683248[[#This Row],[Fault Type]]="PM",IF(L42&lt;=(D42-C42),"Yes","No"),"")</f>
        <v/>
      </c>
      <c r="O42" s="16" t="str">
        <f t="shared" si="2"/>
        <v/>
      </c>
      <c r="P4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IF(Table2683248[[#This Row],[Fault Type]]="PM",IF(L43&lt;=(D43-C43),"Yes","No"),"")</f>
        <v/>
      </c>
      <c r="O43" s="16" t="str">
        <f t="shared" si="2"/>
        <v/>
      </c>
      <c r="P4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IF(Table2683248[[#This Row],[Fault Type]]="PM",IF(L44&lt;=(D44-C44),"Yes","No"),"")</f>
        <v/>
      </c>
      <c r="O44" s="16" t="str">
        <f t="shared" si="2"/>
        <v/>
      </c>
      <c r="P4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4" s="17"/>
    </row>
    <row r="45" spans="1:17" ht="15.75" customHeight="1" x14ac:dyDescent="0.35">
      <c r="A45" s="4"/>
      <c r="B45" s="12"/>
      <c r="C45" s="13"/>
      <c r="D45" s="13"/>
      <c r="E45" s="13"/>
      <c r="F45" s="12"/>
      <c r="G45" s="12"/>
      <c r="H45" s="12"/>
      <c r="I45" s="12"/>
      <c r="J45" s="13"/>
      <c r="K45" s="32"/>
      <c r="L45" s="14">
        <f t="shared" si="0"/>
        <v>0</v>
      </c>
      <c r="M45" s="31">
        <f t="shared" si="3"/>
        <v>0</v>
      </c>
      <c r="N45" s="15" t="str">
        <f>IF(Table2683248[[#This Row],[Fault Type]]="PM",IF(L45&lt;=(D45-C45),"Yes","No"),"")</f>
        <v/>
      </c>
      <c r="O45" s="16" t="str">
        <f t="shared" si="2"/>
        <v/>
      </c>
      <c r="P4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5" s="17"/>
    </row>
    <row r="46" spans="1:17" ht="15.5" x14ac:dyDescent="0.35">
      <c r="A46" s="4"/>
      <c r="B46" s="12"/>
      <c r="C46" s="13"/>
      <c r="D46" s="13"/>
      <c r="E46" s="13"/>
      <c r="F46" s="18"/>
      <c r="G46" s="12"/>
      <c r="H46" s="18"/>
      <c r="I46" s="18"/>
      <c r="J46" s="13"/>
      <c r="K46" s="32"/>
      <c r="L46" s="14">
        <f t="shared" si="0"/>
        <v>0</v>
      </c>
      <c r="M46" s="31">
        <f t="shared" si="3"/>
        <v>0</v>
      </c>
      <c r="N46" s="15" t="str">
        <f>IF(Table2683248[[#This Row],[Fault Type]]="PM",IF(L46&lt;=(D46-C46),"Yes","No"),"")</f>
        <v/>
      </c>
      <c r="O46" s="16" t="str">
        <f t="shared" si="2"/>
        <v/>
      </c>
      <c r="P4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6" s="17"/>
    </row>
    <row r="47" spans="1:17" ht="15.5" x14ac:dyDescent="0.35">
      <c r="A47" s="4"/>
      <c r="B47" s="49"/>
      <c r="C47" s="49"/>
      <c r="D47" s="49"/>
      <c r="E47" s="13"/>
      <c r="F47" s="64"/>
      <c r="G47" s="159"/>
      <c r="H47" s="54"/>
      <c r="I47" s="54"/>
      <c r="J47" s="13"/>
      <c r="K47" s="32"/>
      <c r="L47" s="14">
        <f t="shared" si="0"/>
        <v>0</v>
      </c>
      <c r="M47" s="53">
        <f t="shared" si="3"/>
        <v>0</v>
      </c>
      <c r="N47" s="50" t="str">
        <f>IF(Table2683248[[#This Row],[Fault Type]]="PM",IF(L47&lt;=(D47-C47),"Yes","No"),"")</f>
        <v/>
      </c>
      <c r="O47" s="51" t="str">
        <f t="shared" si="2"/>
        <v/>
      </c>
      <c r="P4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row>
    <row r="48" spans="1:17" ht="15.5" x14ac:dyDescent="0.35">
      <c r="A48" s="158"/>
      <c r="B48" s="55"/>
      <c r="C48" s="56"/>
      <c r="D48" s="56"/>
      <c r="E48" s="13"/>
      <c r="F48" s="55"/>
      <c r="G48" s="55"/>
      <c r="H48" s="57"/>
      <c r="I48" s="18"/>
      <c r="J48" s="13"/>
      <c r="K48" s="32"/>
      <c r="L48" s="14">
        <f t="shared" si="0"/>
        <v>0</v>
      </c>
      <c r="M48" s="59">
        <f t="shared" si="3"/>
        <v>0</v>
      </c>
      <c r="N48" s="61" t="str">
        <f>IF(Table2683248[[#This Row],[Fault Type]]="PM",IF(L48&lt;=(D48-C48),"Yes","No"),"")</f>
        <v/>
      </c>
      <c r="O48" s="62" t="str">
        <f t="shared" si="2"/>
        <v/>
      </c>
      <c r="P4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8" s="63"/>
    </row>
    <row r="49" spans="1:17" ht="15.5" x14ac:dyDescent="0.35">
      <c r="A49" s="158"/>
      <c r="B49" s="55"/>
      <c r="C49" s="56"/>
      <c r="D49" s="56"/>
      <c r="E49" s="13"/>
      <c r="F49" s="55"/>
      <c r="G49" s="55"/>
      <c r="H49" s="57"/>
      <c r="I49" s="18"/>
      <c r="J49" s="13"/>
      <c r="K49" s="32"/>
      <c r="L49" s="14">
        <f t="shared" si="0"/>
        <v>0</v>
      </c>
      <c r="M49" s="59">
        <f t="shared" si="3"/>
        <v>0</v>
      </c>
      <c r="N49" s="61" t="str">
        <f>IF(Table2683248[[#This Row],[Fault Type]]="PM",IF(L49&lt;=(D49-C49),"Yes","No"),"")</f>
        <v/>
      </c>
      <c r="O49" s="62" t="str">
        <f t="shared" si="2"/>
        <v/>
      </c>
      <c r="P4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49" s="63"/>
    </row>
    <row r="50" spans="1:17" ht="15.5" x14ac:dyDescent="0.35">
      <c r="A50" s="158"/>
      <c r="B50" s="55"/>
      <c r="C50" s="56"/>
      <c r="D50" s="56"/>
      <c r="E50" s="13"/>
      <c r="F50" s="55"/>
      <c r="G50" s="55"/>
      <c r="H50" s="57"/>
      <c r="I50" s="18"/>
      <c r="J50" s="13"/>
      <c r="K50" s="32"/>
      <c r="L50" s="14">
        <f t="shared" si="0"/>
        <v>0</v>
      </c>
      <c r="M50" s="59">
        <f t="shared" si="3"/>
        <v>0</v>
      </c>
      <c r="N50" s="61" t="str">
        <f>IF(Table2683248[[#This Row],[Fault Type]]="PM",IF(L50&lt;=(D50-C50),"Yes","No"),"")</f>
        <v/>
      </c>
      <c r="O50" s="62" t="str">
        <f t="shared" si="2"/>
        <v/>
      </c>
      <c r="P5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0" s="63"/>
    </row>
    <row r="51" spans="1:17" ht="15.5" x14ac:dyDescent="0.35">
      <c r="A51" s="158"/>
      <c r="B51" s="55"/>
      <c r="C51" s="56"/>
      <c r="D51" s="56"/>
      <c r="E51" s="13"/>
      <c r="F51" s="55"/>
      <c r="G51" s="55"/>
      <c r="H51" s="57"/>
      <c r="I51" s="18"/>
      <c r="J51" s="13"/>
      <c r="K51" s="83"/>
      <c r="L51" s="14">
        <f t="shared" si="0"/>
        <v>0</v>
      </c>
      <c r="M51" s="59">
        <f t="shared" si="3"/>
        <v>0</v>
      </c>
      <c r="N51" s="61" t="str">
        <f>IF(Table2683248[[#This Row],[Fault Type]]="PM",IF(L51&lt;=(D51-C51),"Yes","No"),"")</f>
        <v/>
      </c>
      <c r="O51" s="62" t="str">
        <f t="shared" si="2"/>
        <v/>
      </c>
      <c r="P5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1" s="63"/>
    </row>
    <row r="52" spans="1:17" ht="15.5" x14ac:dyDescent="0.35">
      <c r="A52" s="158"/>
      <c r="B52" s="55"/>
      <c r="C52" s="56"/>
      <c r="D52" s="56"/>
      <c r="E52" s="13"/>
      <c r="F52" s="55"/>
      <c r="G52" s="55"/>
      <c r="H52" s="57"/>
      <c r="I52" s="18"/>
      <c r="J52" s="13"/>
      <c r="K52" s="83"/>
      <c r="L52" s="14">
        <f t="shared" si="0"/>
        <v>0</v>
      </c>
      <c r="M52" s="59">
        <f t="shared" si="3"/>
        <v>0</v>
      </c>
      <c r="N52" s="61" t="str">
        <f>IF(Table2683248[[#This Row],[Fault Type]]="PM",IF(L52&lt;=(D52-C52),"Yes","No"),"")</f>
        <v/>
      </c>
      <c r="O52" s="62" t="str">
        <f t="shared" si="2"/>
        <v/>
      </c>
      <c r="P5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2" s="63"/>
    </row>
    <row r="53" spans="1:17" ht="15.5" x14ac:dyDescent="0.35">
      <c r="A53" s="158"/>
      <c r="B53" s="55"/>
      <c r="C53" s="56"/>
      <c r="D53" s="56"/>
      <c r="E53" s="13"/>
      <c r="F53" s="55"/>
      <c r="G53" s="55"/>
      <c r="H53" s="57"/>
      <c r="I53" s="18"/>
      <c r="J53" s="13"/>
      <c r="K53" s="83"/>
      <c r="L53" s="14">
        <f t="shared" si="0"/>
        <v>0</v>
      </c>
      <c r="M53" s="59">
        <f t="shared" si="3"/>
        <v>0</v>
      </c>
      <c r="N53" s="61" t="str">
        <f>IF(Table2683248[[#This Row],[Fault Type]]="PM",IF(L53&lt;=(D53-C53),"Yes","No"),"")</f>
        <v/>
      </c>
      <c r="O53" s="62" t="str">
        <f t="shared" si="2"/>
        <v/>
      </c>
      <c r="P5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3" s="63"/>
    </row>
    <row r="54" spans="1:17" ht="15.5" x14ac:dyDescent="0.35">
      <c r="A54" s="158"/>
      <c r="B54" s="55"/>
      <c r="C54" s="56"/>
      <c r="D54" s="56"/>
      <c r="E54" s="13"/>
      <c r="F54" s="55"/>
      <c r="G54" s="55"/>
      <c r="H54" s="57"/>
      <c r="I54" s="18"/>
      <c r="J54" s="13"/>
      <c r="K54" s="83"/>
      <c r="L54" s="14">
        <f t="shared" si="0"/>
        <v>0</v>
      </c>
      <c r="M54" s="59">
        <f t="shared" si="3"/>
        <v>0</v>
      </c>
      <c r="N54" s="61" t="str">
        <f>IF(Table2683248[[#This Row],[Fault Type]]="PM",IF(L54&lt;=(D54-C54),"Yes","No"),"")</f>
        <v/>
      </c>
      <c r="O54" s="62" t="str">
        <f t="shared" si="2"/>
        <v/>
      </c>
      <c r="P5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4" s="63"/>
    </row>
    <row r="55" spans="1:17" ht="15.5" x14ac:dyDescent="0.35">
      <c r="A55" s="158"/>
      <c r="B55" s="55"/>
      <c r="C55" s="56"/>
      <c r="D55" s="56"/>
      <c r="E55" s="13"/>
      <c r="F55" s="55"/>
      <c r="G55" s="55"/>
      <c r="H55" s="57"/>
      <c r="I55" s="18"/>
      <c r="J55" s="13"/>
      <c r="K55" s="83"/>
      <c r="L55" s="14">
        <f t="shared" si="0"/>
        <v>0</v>
      </c>
      <c r="M55" s="59">
        <f t="shared" si="3"/>
        <v>0</v>
      </c>
      <c r="N55" s="61" t="str">
        <f>IF(Table2683248[[#This Row],[Fault Type]]="PM",IF(L55&lt;=(D55-C55),"Yes","No"),"")</f>
        <v/>
      </c>
      <c r="O55" s="62" t="str">
        <f t="shared" si="2"/>
        <v/>
      </c>
      <c r="P5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5" s="63"/>
    </row>
    <row r="56" spans="1:17" ht="15.5" x14ac:dyDescent="0.35">
      <c r="A56" s="158"/>
      <c r="B56" s="55"/>
      <c r="C56" s="56"/>
      <c r="D56" s="56"/>
      <c r="E56" s="13"/>
      <c r="F56" s="55"/>
      <c r="G56" s="55"/>
      <c r="H56" s="57"/>
      <c r="I56" s="18"/>
      <c r="J56" s="13"/>
      <c r="K56" s="83"/>
      <c r="L56" s="14">
        <f t="shared" si="0"/>
        <v>0</v>
      </c>
      <c r="M56" s="59">
        <f t="shared" si="3"/>
        <v>0</v>
      </c>
      <c r="N56" s="61" t="str">
        <f>IF(Table2683248[[#This Row],[Fault Type]]="PM",IF(L56&lt;=(D56-C56),"Yes","No"),"")</f>
        <v/>
      </c>
      <c r="O56" s="62" t="str">
        <f t="shared" si="2"/>
        <v/>
      </c>
      <c r="P5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6" s="63"/>
    </row>
    <row r="57" spans="1:17" ht="15.5" x14ac:dyDescent="0.35">
      <c r="A57" s="158"/>
      <c r="B57" s="55"/>
      <c r="C57" s="56"/>
      <c r="D57" s="56"/>
      <c r="E57" s="13"/>
      <c r="F57" s="55"/>
      <c r="G57" s="55"/>
      <c r="H57" s="57"/>
      <c r="I57" s="18"/>
      <c r="J57" s="13"/>
      <c r="K57" s="83"/>
      <c r="L57" s="14">
        <f t="shared" si="0"/>
        <v>0</v>
      </c>
      <c r="M57" s="59">
        <f t="shared" si="3"/>
        <v>0</v>
      </c>
      <c r="N57" s="61" t="str">
        <f>IF(Table2683248[[#This Row],[Fault Type]]="PM",IF(L57&lt;=(D57-C57),"Yes","No"),"")</f>
        <v/>
      </c>
      <c r="O57" s="62" t="str">
        <f t="shared" si="2"/>
        <v/>
      </c>
      <c r="P5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7" s="63"/>
    </row>
    <row r="58" spans="1:17" ht="15.5" x14ac:dyDescent="0.35">
      <c r="A58" s="158"/>
      <c r="B58" s="55"/>
      <c r="C58" s="56"/>
      <c r="D58" s="56"/>
      <c r="E58" s="13"/>
      <c r="F58" s="55"/>
      <c r="G58" s="55"/>
      <c r="H58" s="57"/>
      <c r="I58" s="18"/>
      <c r="J58" s="13"/>
      <c r="K58" s="83"/>
      <c r="L58" s="14">
        <f t="shared" si="0"/>
        <v>0</v>
      </c>
      <c r="M58" s="59">
        <f t="shared" si="3"/>
        <v>0</v>
      </c>
      <c r="N58" s="61" t="str">
        <f>IF(Table2683248[[#This Row],[Fault Type]]="PM",IF(L58&lt;=(D58-C58),"Yes","No"),"")</f>
        <v/>
      </c>
      <c r="O58" s="62" t="str">
        <f t="shared" si="2"/>
        <v/>
      </c>
      <c r="P5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8" s="63"/>
    </row>
    <row r="59" spans="1:17" ht="15.5" x14ac:dyDescent="0.35">
      <c r="A59" s="158"/>
      <c r="B59" s="55"/>
      <c r="C59" s="56"/>
      <c r="D59" s="56"/>
      <c r="E59" s="13"/>
      <c r="F59" s="55"/>
      <c r="G59" s="55"/>
      <c r="H59" s="57"/>
      <c r="I59" s="18"/>
      <c r="J59" s="13"/>
      <c r="K59" s="83"/>
      <c r="L59" s="14">
        <f t="shared" si="0"/>
        <v>0</v>
      </c>
      <c r="M59" s="59">
        <f t="shared" si="3"/>
        <v>0</v>
      </c>
      <c r="N59" s="61" t="str">
        <f>IF(Table2683248[[#This Row],[Fault Type]]="PM",IF(L59&lt;=(D59-C59),"Yes","No"),"")</f>
        <v/>
      </c>
      <c r="O59" s="62" t="str">
        <f t="shared" si="2"/>
        <v/>
      </c>
      <c r="P5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59" s="63"/>
    </row>
    <row r="60" spans="1:17" ht="15.5" x14ac:dyDescent="0.35">
      <c r="A60" s="158"/>
      <c r="B60" s="55"/>
      <c r="C60" s="56"/>
      <c r="D60" s="56"/>
      <c r="E60" s="13"/>
      <c r="F60" s="55"/>
      <c r="G60" s="55"/>
      <c r="H60" s="57"/>
      <c r="I60" s="18"/>
      <c r="J60" s="13"/>
      <c r="K60" s="83"/>
      <c r="L60" s="14">
        <f t="shared" si="0"/>
        <v>0</v>
      </c>
      <c r="M60" s="59">
        <f t="shared" si="3"/>
        <v>0</v>
      </c>
      <c r="N60" s="61" t="str">
        <f>IF(Table2683248[[#This Row],[Fault Type]]="PM",IF(L60&lt;=(D60-C60),"Yes","No"),"")</f>
        <v/>
      </c>
      <c r="O60" s="62" t="str">
        <f t="shared" si="2"/>
        <v/>
      </c>
      <c r="P6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0" s="63"/>
    </row>
    <row r="61" spans="1:17" ht="15.5" x14ac:dyDescent="0.35">
      <c r="A61" s="158"/>
      <c r="B61" s="55"/>
      <c r="C61" s="56"/>
      <c r="D61" s="56"/>
      <c r="E61" s="13"/>
      <c r="F61" s="55"/>
      <c r="G61" s="55"/>
      <c r="H61" s="57"/>
      <c r="I61" s="18"/>
      <c r="J61" s="13"/>
      <c r="K61" s="83"/>
      <c r="L61" s="14">
        <f t="shared" si="0"/>
        <v>0</v>
      </c>
      <c r="M61" s="59">
        <f t="shared" si="3"/>
        <v>0</v>
      </c>
      <c r="N61" s="61" t="str">
        <f>IF(Table2683248[[#This Row],[Fault Type]]="PM",IF(L61&lt;=(D61-C61),"Yes","No"),"")</f>
        <v/>
      </c>
      <c r="O61" s="62" t="str">
        <f t="shared" si="2"/>
        <v/>
      </c>
      <c r="P6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1" s="63"/>
    </row>
    <row r="62" spans="1:17" ht="15.5" x14ac:dyDescent="0.35">
      <c r="A62" s="158"/>
      <c r="B62" s="55"/>
      <c r="C62" s="56"/>
      <c r="D62" s="56"/>
      <c r="E62" s="13"/>
      <c r="F62" s="55"/>
      <c r="G62" s="55"/>
      <c r="H62" s="57"/>
      <c r="I62" s="18"/>
      <c r="J62" s="13"/>
      <c r="K62" s="60"/>
      <c r="L62" s="14">
        <f t="shared" si="0"/>
        <v>0</v>
      </c>
      <c r="M62" s="59">
        <f t="shared" si="3"/>
        <v>0</v>
      </c>
      <c r="N62" s="61" t="str">
        <f>IF(Table2683248[[#This Row],[Fault Type]]="PM",IF(L62&lt;=(D62-C62),"Yes","No"),"")</f>
        <v/>
      </c>
      <c r="O62" s="62" t="str">
        <f t="shared" si="2"/>
        <v/>
      </c>
      <c r="P6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2" s="63"/>
    </row>
    <row r="63" spans="1:17" ht="15.5" x14ac:dyDescent="0.35">
      <c r="A63" s="158"/>
      <c r="B63" s="55"/>
      <c r="C63" s="56"/>
      <c r="D63" s="56"/>
      <c r="E63" s="13"/>
      <c r="F63" s="55"/>
      <c r="G63" s="55"/>
      <c r="H63" s="57"/>
      <c r="I63" s="18"/>
      <c r="J63" s="13"/>
      <c r="K63" s="60"/>
      <c r="L63" s="14">
        <f t="shared" si="0"/>
        <v>0</v>
      </c>
      <c r="M63" s="59">
        <f t="shared" si="3"/>
        <v>0</v>
      </c>
      <c r="N63" s="61" t="str">
        <f>IF(Table2683248[[#This Row],[Fault Type]]="PM",IF(L63&lt;=(D63-C63),"Yes","No"),"")</f>
        <v/>
      </c>
      <c r="O63" s="62" t="str">
        <f t="shared" si="2"/>
        <v/>
      </c>
      <c r="P6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3" s="63"/>
    </row>
    <row r="64" spans="1:17" ht="15.5" x14ac:dyDescent="0.35">
      <c r="A64" s="158"/>
      <c r="B64" s="55"/>
      <c r="C64" s="56"/>
      <c r="D64" s="56"/>
      <c r="E64" s="13"/>
      <c r="F64" s="55"/>
      <c r="G64" s="55"/>
      <c r="H64" s="57"/>
      <c r="I64" s="18"/>
      <c r="J64" s="13"/>
      <c r="K64" s="60"/>
      <c r="L64" s="14">
        <f t="shared" si="0"/>
        <v>0</v>
      </c>
      <c r="M64" s="59">
        <f t="shared" si="3"/>
        <v>0</v>
      </c>
      <c r="N64" s="61" t="str">
        <f>IF(Table2683248[[#This Row],[Fault Type]]="PM",IF(L64&lt;=(D64-C64),"Yes","No"),"")</f>
        <v/>
      </c>
      <c r="O64" s="62" t="str">
        <f t="shared" si="2"/>
        <v/>
      </c>
      <c r="P6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4" s="63"/>
    </row>
    <row r="65" spans="1:17" ht="15.5" x14ac:dyDescent="0.35">
      <c r="A65" s="158"/>
      <c r="B65" s="55"/>
      <c r="C65" s="56"/>
      <c r="D65" s="56"/>
      <c r="E65" s="13"/>
      <c r="F65" s="55"/>
      <c r="G65" s="55"/>
      <c r="H65" s="57"/>
      <c r="I65" s="18"/>
      <c r="J65" s="13"/>
      <c r="K65" s="60"/>
      <c r="L65" s="14">
        <f t="shared" si="0"/>
        <v>0</v>
      </c>
      <c r="M65" s="59">
        <f t="shared" si="3"/>
        <v>0</v>
      </c>
      <c r="N65" s="61" t="str">
        <f>IF(Table2683248[[#This Row],[Fault Type]]="PM",IF(L65&lt;=(D65-C65),"Yes","No"),"")</f>
        <v/>
      </c>
      <c r="O65" s="62" t="str">
        <f t="shared" si="2"/>
        <v/>
      </c>
      <c r="P6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5" s="63"/>
    </row>
    <row r="66" spans="1:17" ht="15.5" x14ac:dyDescent="0.35">
      <c r="A66" s="158"/>
      <c r="B66" s="55"/>
      <c r="C66" s="56"/>
      <c r="D66" s="56"/>
      <c r="E66" s="13"/>
      <c r="F66" s="55"/>
      <c r="G66" s="55"/>
      <c r="H66" s="57"/>
      <c r="I66" s="18"/>
      <c r="J66" s="13"/>
      <c r="K66" s="60"/>
      <c r="L66" s="14">
        <f t="shared" ref="L66:L79" si="4">J66-E66</f>
        <v>0</v>
      </c>
      <c r="M66" s="59">
        <f t="shared" si="3"/>
        <v>0</v>
      </c>
      <c r="N66" s="61" t="str">
        <f>IF(Table2683248[[#This Row],[Fault Type]]="PM",IF(L66&lt;=(D66-C66),"Yes","No"),"")</f>
        <v/>
      </c>
      <c r="O66" s="62" t="str">
        <f t="shared" ref="O66:O79" si="5">IF(N66="No",(L66-(D66-C66)),"")</f>
        <v/>
      </c>
      <c r="P6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IF(Table2683248[[#This Row],[Fault Type]]="PM",IF(L67&lt;=(D67-C67),"Yes","No"),"")</f>
        <v/>
      </c>
      <c r="O67" s="62" t="str">
        <f t="shared" si="5"/>
        <v/>
      </c>
      <c r="P6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IF(Table2683248[[#This Row],[Fault Type]]="PM",IF(L68&lt;=(D68-C68),"Yes","No"),"")</f>
        <v/>
      </c>
      <c r="O68" s="62" t="str">
        <f t="shared" si="5"/>
        <v/>
      </c>
      <c r="P6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IF(Table2683248[[#This Row],[Fault Type]]="PM",IF(L69&lt;=(D69-C69),"Yes","No"),"")</f>
        <v/>
      </c>
      <c r="O69" s="62" t="str">
        <f t="shared" si="5"/>
        <v/>
      </c>
      <c r="P6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IF(Table2683248[[#This Row],[Fault Type]]="PM",IF(L70&lt;=(D70-C70),"Yes","No"),"")</f>
        <v/>
      </c>
      <c r="O70" s="62" t="str">
        <f t="shared" si="5"/>
        <v/>
      </c>
      <c r="P70"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IF(Table2683248[[#This Row],[Fault Type]]="PM",IF(L71&lt;=(D71-C71),"Yes","No"),"")</f>
        <v/>
      </c>
      <c r="O71" s="62" t="str">
        <f t="shared" si="5"/>
        <v/>
      </c>
      <c r="P71"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IF(Table2683248[[#This Row],[Fault Type]]="PM",IF(L72&lt;=(D72-C72),"Yes","No"),"")</f>
        <v/>
      </c>
      <c r="O72" s="62" t="str">
        <f t="shared" si="5"/>
        <v/>
      </c>
      <c r="P72"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IF(Table2683248[[#This Row],[Fault Type]]="PM",IF(L73&lt;=(D73-C73),"Yes","No"),"")</f>
        <v/>
      </c>
      <c r="O73" s="62" t="str">
        <f t="shared" si="5"/>
        <v/>
      </c>
      <c r="P73"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IF(Table2683248[[#This Row],[Fault Type]]="PM",IF(L74&lt;=(D74-C74),"Yes","No"),"")</f>
        <v/>
      </c>
      <c r="O74" s="62" t="str">
        <f t="shared" si="5"/>
        <v/>
      </c>
      <c r="P74"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IF(Table2683248[[#This Row],[Fault Type]]="PM",IF(L75&lt;=(D75-C75),"Yes","No"),"")</f>
        <v/>
      </c>
      <c r="O75" s="62" t="str">
        <f t="shared" si="5"/>
        <v/>
      </c>
      <c r="P75"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IF(Table2683248[[#This Row],[Fault Type]]="PM",IF(L76&lt;=(D76-C76),"Yes","No"),"")</f>
        <v/>
      </c>
      <c r="O76" s="62" t="str">
        <f t="shared" si="5"/>
        <v/>
      </c>
      <c r="P76"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IF(Table2683248[[#This Row],[Fault Type]]="PM",IF(L77&lt;=(D77-C77),"Yes","No"),"")</f>
        <v/>
      </c>
      <c r="O77" s="62" t="str">
        <f t="shared" si="5"/>
        <v/>
      </c>
      <c r="P77"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IF(Table2683248[[#This Row],[Fault Type]]="PM",IF(L78&lt;=(D78-C78),"Yes","No"),"")</f>
        <v/>
      </c>
      <c r="O78" s="62" t="str">
        <f t="shared" si="5"/>
        <v/>
      </c>
      <c r="P78"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IF(Table2683248[[#This Row],[Fault Type]]="PM",IF(L79&lt;=(D79-C79),"Yes","No"),"")</f>
        <v/>
      </c>
      <c r="O79" s="62" t="str">
        <f t="shared" si="5"/>
        <v/>
      </c>
      <c r="P79" s="30" t="str">
        <f>IF(AND(Table2683248[[#This Row],[Name of Feeder]]&lt;&gt;"",OR(Table2683248[[#This Row],[Fault Type]]="TL",Table2683248[[#This Row],[Fault Type]]="TS",Table2683248[[#This Row],[Fault Type]]="UF",Table2683248[[#This Row],[Fault Type]]="SE")),(IF(AND(VLOOKUP(Table2683248[[#This Row],[Name of Feeder]],Main!D:E,2,0)="URBAN",ISNUMBER(SEARCH("33KV",Table2683248[[#This Row],[Name of Feeder]]))),IF(AND(Table2683248[[#This Row],[Outage Duration]]&gt;0,Table2683248[[#This Row],[Outage Duration]]&lt;=0.25),"Yes","No"),IF(AND(VLOOKUP(Table2683248[[#This Row],[Name of Feeder]],Main!D:E,2,0)="RURAL",ISNUMBER(SEARCH("33KV",Table2683248[[#This Row],[Name of Feeder]]))),IF(AND(Table2683248[[#This Row],[Outage Duration]]&gt;0,Table2683248[[#This Row],[Outage Duration]]&lt;=0.33),"Yes","No"),IF(AND(VLOOKUP(Table2683248[[#This Row],[Name of Feeder]],Main!D:E,2,0)="RURAL",ISNUMBER(SEARCH("11KV",Table2683248[[#This Row],[Name of Feeder]]))),IF(AND(Table2683248[[#This Row],[Outage Duration]]&gt;0,Table2683248[[#This Row],[Outage Duration]]&lt;=0.17),"Yes","No"),IF(AND(VLOOKUP(Table2683248[[#This Row],[Name of Feeder]],Main!D:E,2,0)="URBAN",ISNUMBER(SEARCH("11KV",Table2683248[[#This Row],[Name of Feeder]]))),IF(AND(Table2683248[[#This Row],[Outage Duration]]&gt;0,Table2683248[[#This Row],[Outage Duration]]&lt;=0.17),"Yes","No"),""))))),"")</f>
        <v/>
      </c>
      <c r="Q79"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600-000000000000}">
          <x14:formula1>
            <xm:f>Main!$F$226:$F$228</xm:f>
          </x14:formula1>
          <xm:sqref>I2:I79</xm:sqref>
        </x14:dataValidation>
        <x14:dataValidation type="list" allowBlank="1" showInputMessage="1" showErrorMessage="1" xr:uid="{00000000-0002-0000-1600-000001000000}">
          <x14:formula1>
            <xm:f>Main!$D$2:$D$196</xm:f>
          </x14:formula1>
          <xm:sqref>A2:A79</xm:sqref>
        </x14:dataValidation>
        <x14:dataValidation type="list" allowBlank="1" showInputMessage="1" showErrorMessage="1" xr:uid="{00000000-0002-0000-1600-000002000000}">
          <x14:formula1>
            <xm:f>Main!F$222:F$225</xm:f>
          </x14:formula1>
          <xm:sqref>G2:G79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79"/>
  <sheetViews>
    <sheetView topLeftCell="D1" zoomScale="70" zoomScaleNormal="70" workbookViewId="0">
      <selection activeCell="A2" sqref="A2:J27"/>
    </sheetView>
  </sheetViews>
  <sheetFormatPr defaultRowHeight="14.5" x14ac:dyDescent="0.35"/>
  <cols>
    <col min="1" max="1" width="27.26953125" customWidth="1"/>
    <col min="2" max="2" width="8.26953125" customWidth="1"/>
    <col min="3" max="3" width="17.26953125" customWidth="1"/>
    <col min="4" max="4" width="22" customWidth="1"/>
    <col min="5" max="5" width="17.269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5" si="0">J2-E2</f>
        <v>0</v>
      </c>
      <c r="M2" s="31">
        <f t="shared" ref="M2:M22" si="1">L2*F2</f>
        <v>0</v>
      </c>
      <c r="N2" s="15" t="str">
        <f>IF(Table2683247[[#This Row],[Fault Type]]="PM",IF(L2&lt;=(D2-C2),"Yes","No"),"")</f>
        <v/>
      </c>
      <c r="O2" s="16" t="str">
        <f t="shared" ref="O2:O65" si="2">IF(N2="No",(L2-(D2-C2)),"")</f>
        <v/>
      </c>
      <c r="P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IF(Table2683247[[#This Row],[Fault Type]]="PM",IF(L3&lt;=(D3-C3),"Yes","No"),"")</f>
        <v/>
      </c>
      <c r="O3" s="16" t="str">
        <f t="shared" si="2"/>
        <v/>
      </c>
      <c r="P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IF(Table2683247[[#This Row],[Fault Type]]="PM",IF(L4&lt;=(D4-C4),"Yes","No"),"")</f>
        <v/>
      </c>
      <c r="O4" s="16" t="str">
        <f t="shared" si="2"/>
        <v/>
      </c>
      <c r="P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IF(Table2683247[[#This Row],[Fault Type]]="PM",IF(L5&lt;=(D5-C5),"Yes","No"),"")</f>
        <v/>
      </c>
      <c r="O5" s="16" t="str">
        <f t="shared" si="2"/>
        <v/>
      </c>
      <c r="P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IF(Table2683247[[#This Row],[Fault Type]]="PM",IF(L6&lt;=(D6-C6),"Yes","No"),"")</f>
        <v/>
      </c>
      <c r="O6" s="16" t="str">
        <f t="shared" si="2"/>
        <v/>
      </c>
      <c r="P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IF(Table2683247[[#This Row],[Fault Type]]="PM",IF(L7&lt;=(D7-C7),"Yes","No"),"")</f>
        <v/>
      </c>
      <c r="O7" s="16" t="str">
        <f t="shared" si="2"/>
        <v/>
      </c>
      <c r="P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IF(Table2683247[[#This Row],[Fault Type]]="PM",IF(L8&lt;=(D8-C8),"Yes","No"),"")</f>
        <v/>
      </c>
      <c r="O8" s="16" t="str">
        <f t="shared" si="2"/>
        <v/>
      </c>
      <c r="P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IF(Table2683247[[#This Row],[Fault Type]]="PM",IF(L9&lt;=(D9-C9),"Yes","No"),"")</f>
        <v/>
      </c>
      <c r="O9" s="16" t="str">
        <f t="shared" si="2"/>
        <v/>
      </c>
      <c r="P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IF(Table2683247[[#This Row],[Fault Type]]="PM",IF(L10&lt;=(D10-C10),"Yes","No"),"")</f>
        <v/>
      </c>
      <c r="O10" s="16" t="str">
        <f t="shared" si="2"/>
        <v/>
      </c>
      <c r="P1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IF(Table2683247[[#This Row],[Fault Type]]="PM",IF(L11&lt;=(D11-C11),"Yes","No"),"")</f>
        <v/>
      </c>
      <c r="O11" s="16" t="str">
        <f t="shared" si="2"/>
        <v/>
      </c>
      <c r="P1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IF(Table2683247[[#This Row],[Fault Type]]="PM",IF(L12&lt;=(D12-C12),"Yes","No"),"")</f>
        <v/>
      </c>
      <c r="O12" s="16" t="str">
        <f t="shared" si="2"/>
        <v/>
      </c>
      <c r="P1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2" s="17"/>
    </row>
    <row r="13" spans="1:17" ht="15.5" x14ac:dyDescent="0.35">
      <c r="A13" s="4"/>
      <c r="B13" s="12"/>
      <c r="C13" s="13"/>
      <c r="D13" s="13"/>
      <c r="E13" s="13"/>
      <c r="F13" s="12"/>
      <c r="G13" s="12"/>
      <c r="H13" s="12"/>
      <c r="I13" s="12"/>
      <c r="J13" s="13"/>
      <c r="K13" s="32"/>
      <c r="L13" s="14">
        <f t="shared" si="0"/>
        <v>0</v>
      </c>
      <c r="M13" s="31">
        <f t="shared" si="1"/>
        <v>0</v>
      </c>
      <c r="N13" s="15" t="str">
        <f>IF(Table2683247[[#This Row],[Fault Type]]="PM",IF(L13&lt;=(D13-C13),"Yes","No"),"")</f>
        <v/>
      </c>
      <c r="O13" s="16" t="str">
        <f t="shared" si="2"/>
        <v/>
      </c>
      <c r="P1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3" s="17"/>
    </row>
    <row r="14" spans="1:17" ht="15.5" x14ac:dyDescent="0.35">
      <c r="A14" s="4"/>
      <c r="B14" s="12"/>
      <c r="C14" s="13"/>
      <c r="D14" s="13"/>
      <c r="E14" s="13"/>
      <c r="F14" s="12"/>
      <c r="G14" s="12"/>
      <c r="H14" s="12"/>
      <c r="I14" s="12"/>
      <c r="J14" s="13"/>
      <c r="K14" s="32"/>
      <c r="L14" s="14">
        <f t="shared" si="0"/>
        <v>0</v>
      </c>
      <c r="M14" s="31">
        <f t="shared" si="1"/>
        <v>0</v>
      </c>
      <c r="N14" s="15" t="str">
        <f>IF(Table2683247[[#This Row],[Fault Type]]="PM",IF(L14&lt;=(D14-C14),"Yes","No"),"")</f>
        <v/>
      </c>
      <c r="O14" s="16" t="str">
        <f t="shared" si="2"/>
        <v/>
      </c>
      <c r="P1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4" s="17"/>
    </row>
    <row r="15" spans="1:17" ht="15.5" x14ac:dyDescent="0.35">
      <c r="A15" s="4"/>
      <c r="B15" s="12"/>
      <c r="C15" s="13"/>
      <c r="D15" s="13"/>
      <c r="E15" s="13"/>
      <c r="F15" s="12"/>
      <c r="G15" s="12"/>
      <c r="H15" s="12"/>
      <c r="I15" s="12"/>
      <c r="J15" s="13"/>
      <c r="K15" s="32"/>
      <c r="L15" s="14">
        <f t="shared" si="0"/>
        <v>0</v>
      </c>
      <c r="M15" s="31">
        <f t="shared" si="1"/>
        <v>0</v>
      </c>
      <c r="N15" s="15" t="str">
        <f>IF(Table2683247[[#This Row],[Fault Type]]="PM",IF(L15&lt;=(D15-C15),"Yes","No"),"")</f>
        <v/>
      </c>
      <c r="O15" s="16" t="str">
        <f t="shared" si="2"/>
        <v/>
      </c>
      <c r="P1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5" s="17"/>
    </row>
    <row r="16" spans="1:17" ht="15.5" x14ac:dyDescent="0.35">
      <c r="A16" s="4"/>
      <c r="B16" s="12"/>
      <c r="C16" s="13"/>
      <c r="D16" s="160"/>
      <c r="E16" s="13"/>
      <c r="F16" s="18"/>
      <c r="G16" s="12"/>
      <c r="H16" s="18"/>
      <c r="I16" s="18"/>
      <c r="J16" s="13"/>
      <c r="K16" s="32"/>
      <c r="L16" s="14">
        <f t="shared" si="0"/>
        <v>0</v>
      </c>
      <c r="M16" s="31">
        <f t="shared" si="1"/>
        <v>0</v>
      </c>
      <c r="N16" s="15" t="str">
        <f>IF(Table2683247[[#This Row],[Fault Type]]="PM",IF(L16&lt;=(D16-C16),"Yes","No"),"")</f>
        <v/>
      </c>
      <c r="O16" s="16" t="str">
        <f t="shared" si="2"/>
        <v/>
      </c>
      <c r="P1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6" s="17"/>
    </row>
    <row r="17" spans="1:17" ht="15.5" x14ac:dyDescent="0.35">
      <c r="A17" s="4"/>
      <c r="B17" s="12"/>
      <c r="C17" s="13"/>
      <c r="D17" s="13"/>
      <c r="E17" s="13"/>
      <c r="F17" s="12"/>
      <c r="G17" s="12"/>
      <c r="H17" s="12"/>
      <c r="I17" s="12"/>
      <c r="J17" s="13"/>
      <c r="K17" s="32"/>
      <c r="L17" s="14">
        <f t="shared" si="0"/>
        <v>0</v>
      </c>
      <c r="M17" s="31">
        <f t="shared" si="1"/>
        <v>0</v>
      </c>
      <c r="N17" s="15" t="str">
        <f>IF(Table2683247[[#This Row],[Fault Type]]="PM",IF(L17&lt;=(D17-C17),"Yes","No"),"")</f>
        <v/>
      </c>
      <c r="O17" s="16" t="str">
        <f t="shared" si="2"/>
        <v/>
      </c>
      <c r="P1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7" s="17"/>
    </row>
    <row r="18" spans="1:17" ht="15.5" x14ac:dyDescent="0.35">
      <c r="A18" s="4"/>
      <c r="B18" s="12"/>
      <c r="C18" s="13"/>
      <c r="D18" s="13"/>
      <c r="E18" s="13"/>
      <c r="F18" s="18"/>
      <c r="G18" s="12"/>
      <c r="H18" s="18"/>
      <c r="I18" s="18"/>
      <c r="J18" s="13"/>
      <c r="K18" s="32"/>
      <c r="L18" s="14">
        <f t="shared" si="0"/>
        <v>0</v>
      </c>
      <c r="M18" s="31">
        <f t="shared" si="1"/>
        <v>0</v>
      </c>
      <c r="N18" s="15" t="str">
        <f>IF(Table2683247[[#This Row],[Fault Type]]="PM",IF(L18&lt;=(D18-C18),"Yes","No"),"")</f>
        <v/>
      </c>
      <c r="O18" s="16" t="str">
        <f t="shared" si="2"/>
        <v/>
      </c>
      <c r="P1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8" s="144"/>
    </row>
    <row r="19" spans="1:17" ht="15.5" x14ac:dyDescent="0.35">
      <c r="A19" s="4"/>
      <c r="B19" s="12"/>
      <c r="C19" s="13"/>
      <c r="D19" s="13"/>
      <c r="E19" s="13"/>
      <c r="F19" s="18"/>
      <c r="G19" s="12"/>
      <c r="H19" s="18"/>
      <c r="I19" s="18"/>
      <c r="J19" s="13"/>
      <c r="K19" s="32"/>
      <c r="L19" s="14">
        <f t="shared" si="0"/>
        <v>0</v>
      </c>
      <c r="M19" s="31">
        <f t="shared" si="1"/>
        <v>0</v>
      </c>
      <c r="N19" s="15" t="str">
        <f>IF(Table2683247[[#This Row],[Fault Type]]="PM",IF(L19&lt;=(D19-C19),"Yes","No"),"")</f>
        <v/>
      </c>
      <c r="O19" s="16" t="str">
        <f t="shared" si="2"/>
        <v/>
      </c>
      <c r="P1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19" s="144"/>
    </row>
    <row r="20" spans="1:17" ht="15.5" x14ac:dyDescent="0.35">
      <c r="A20" s="4"/>
      <c r="B20" s="12"/>
      <c r="C20" s="13"/>
      <c r="D20" s="13"/>
      <c r="E20" s="13"/>
      <c r="G20" s="159"/>
      <c r="H20" s="54"/>
      <c r="I20" s="54"/>
      <c r="J20" s="13"/>
      <c r="K20" s="32"/>
      <c r="L20" s="14">
        <f t="shared" si="0"/>
        <v>0</v>
      </c>
      <c r="M20" s="31">
        <f t="shared" si="1"/>
        <v>0</v>
      </c>
      <c r="N20" s="15" t="str">
        <f>IF(Table2683247[[#This Row],[Fault Type]]="PM",IF(L20&lt;=(D20-C20),"Yes","No"),"")</f>
        <v/>
      </c>
      <c r="O20" s="16" t="str">
        <f t="shared" si="2"/>
        <v/>
      </c>
      <c r="P2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0" s="144"/>
    </row>
    <row r="21" spans="1:17" ht="15.5" x14ac:dyDescent="0.35">
      <c r="A21" s="4"/>
      <c r="B21" s="12"/>
      <c r="C21" s="13"/>
      <c r="D21" s="13"/>
      <c r="E21" s="13"/>
      <c r="F21" s="18"/>
      <c r="G21" s="12"/>
      <c r="H21" s="18"/>
      <c r="I21" s="18"/>
      <c r="J21" s="13"/>
      <c r="K21" s="32"/>
      <c r="L21" s="14">
        <f t="shared" si="0"/>
        <v>0</v>
      </c>
      <c r="M21" s="31">
        <f t="shared" si="1"/>
        <v>0</v>
      </c>
      <c r="N21" s="15" t="str">
        <f>IF(Table2683247[[#This Row],[Fault Type]]="PM",IF(L21&lt;=(D21-C21),"Yes","No"),"")</f>
        <v/>
      </c>
      <c r="O21" s="16" t="str">
        <f t="shared" si="2"/>
        <v/>
      </c>
      <c r="P2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IF(Table2683247[[#This Row],[Fault Type]]="PM",IF(L22&lt;=(D22-C22),"Yes","No"),"")</f>
        <v/>
      </c>
      <c r="O22" s="16" t="str">
        <f t="shared" si="2"/>
        <v/>
      </c>
      <c r="P2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2" s="144"/>
    </row>
    <row r="23" spans="1:17" ht="15.5" x14ac:dyDescent="0.35">
      <c r="A23" s="4"/>
      <c r="B23" s="12"/>
      <c r="C23" s="13"/>
      <c r="D23" s="13"/>
      <c r="E23" s="13"/>
      <c r="F23" s="18"/>
      <c r="G23" s="12"/>
      <c r="H23" s="18"/>
      <c r="I23" s="18"/>
      <c r="J23" s="13"/>
      <c r="K23" s="32"/>
      <c r="L23" s="14">
        <f t="shared" si="0"/>
        <v>0</v>
      </c>
      <c r="M23" s="31">
        <f t="shared" ref="M23:M79" si="3">L23*F23</f>
        <v>0</v>
      </c>
      <c r="N23" s="15" t="str">
        <f>IF(Table2683247[[#This Row],[Fault Type]]="PM",IF(L23&lt;=(D23-C23),"Yes","No"),"")</f>
        <v/>
      </c>
      <c r="O23" s="16" t="str">
        <f t="shared" si="2"/>
        <v/>
      </c>
      <c r="P2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3" s="144"/>
    </row>
    <row r="24" spans="1:17" ht="15.5" x14ac:dyDescent="0.35">
      <c r="A24" s="4"/>
      <c r="B24" s="12"/>
      <c r="C24" s="13"/>
      <c r="D24" s="13"/>
      <c r="E24" s="13"/>
      <c r="F24" s="18"/>
      <c r="G24" s="12"/>
      <c r="H24" s="18"/>
      <c r="I24" s="18"/>
      <c r="J24" s="13"/>
      <c r="K24" s="32"/>
      <c r="L24" s="14">
        <f t="shared" si="0"/>
        <v>0</v>
      </c>
      <c r="M24" s="31">
        <f t="shared" si="3"/>
        <v>0</v>
      </c>
      <c r="N24" s="15" t="str">
        <f>IF(Table2683247[[#This Row],[Fault Type]]="PM",IF(L24&lt;=(D24-C24),"Yes","No"),"")</f>
        <v/>
      </c>
      <c r="O24" s="16" t="str">
        <f t="shared" si="2"/>
        <v/>
      </c>
      <c r="P2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4" s="144"/>
    </row>
    <row r="25" spans="1:17" ht="15.5" x14ac:dyDescent="0.35">
      <c r="A25" s="4"/>
      <c r="B25" s="12"/>
      <c r="C25" s="13"/>
      <c r="D25" s="13"/>
      <c r="E25" s="13"/>
      <c r="F25" s="18"/>
      <c r="G25" s="12"/>
      <c r="H25" s="18"/>
      <c r="I25" s="18"/>
      <c r="J25" s="13"/>
      <c r="K25" s="32"/>
      <c r="L25" s="14">
        <f t="shared" si="0"/>
        <v>0</v>
      </c>
      <c r="M25" s="31">
        <f t="shared" si="3"/>
        <v>0</v>
      </c>
      <c r="N25" s="15" t="str">
        <f>IF(Table2683247[[#This Row],[Fault Type]]="PM",IF(L25&lt;=(D25-C25),"Yes","No"),"")</f>
        <v/>
      </c>
      <c r="O25" s="16" t="str">
        <f t="shared" si="2"/>
        <v/>
      </c>
      <c r="P2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5" s="144"/>
    </row>
    <row r="26" spans="1:17" ht="15.5" x14ac:dyDescent="0.35">
      <c r="A26" s="4"/>
      <c r="B26" s="12"/>
      <c r="C26" s="13"/>
      <c r="D26" s="13"/>
      <c r="E26" s="13"/>
      <c r="F26" s="12"/>
      <c r="G26" s="12"/>
      <c r="H26" s="12"/>
      <c r="I26" s="12"/>
      <c r="J26" s="13"/>
      <c r="K26" s="32"/>
      <c r="L26" s="14">
        <f t="shared" si="0"/>
        <v>0</v>
      </c>
      <c r="M26" s="31">
        <f t="shared" si="3"/>
        <v>0</v>
      </c>
      <c r="N26" s="15" t="str">
        <f>IF(Table2683247[[#This Row],[Fault Type]]="PM",IF(L26&lt;=(D26-C26),"Yes","No"),"")</f>
        <v/>
      </c>
      <c r="O26" s="16" t="str">
        <f t="shared" si="2"/>
        <v/>
      </c>
      <c r="P2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6" s="144"/>
    </row>
    <row r="27" spans="1:17" ht="15.5" x14ac:dyDescent="0.35">
      <c r="A27" s="4"/>
      <c r="B27" s="12"/>
      <c r="C27" s="13"/>
      <c r="D27" s="13"/>
      <c r="E27" s="13"/>
      <c r="F27" s="18"/>
      <c r="G27" s="12"/>
      <c r="H27" s="18"/>
      <c r="I27" s="18"/>
      <c r="J27" s="13"/>
      <c r="K27" s="32"/>
      <c r="L27" s="14">
        <f t="shared" si="0"/>
        <v>0</v>
      </c>
      <c r="M27" s="31">
        <f t="shared" si="3"/>
        <v>0</v>
      </c>
      <c r="N27" s="15" t="str">
        <f>IF(Table2683247[[#This Row],[Fault Type]]="PM",IF(L27&lt;=(D27-C27),"Yes","No"),"")</f>
        <v/>
      </c>
      <c r="O27" s="16" t="str">
        <f t="shared" si="2"/>
        <v/>
      </c>
      <c r="P2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7" s="144"/>
    </row>
    <row r="28" spans="1:17" ht="15.5" x14ac:dyDescent="0.35">
      <c r="A28" s="4"/>
      <c r="B28" s="12"/>
      <c r="C28" s="13"/>
      <c r="D28" s="13"/>
      <c r="E28" s="13"/>
      <c r="F28" s="18"/>
      <c r="G28" s="12"/>
      <c r="H28" s="18"/>
      <c r="I28" s="18"/>
      <c r="J28" s="13"/>
      <c r="K28" s="32"/>
      <c r="L28" s="14">
        <f t="shared" si="0"/>
        <v>0</v>
      </c>
      <c r="M28" s="31">
        <f t="shared" si="3"/>
        <v>0</v>
      </c>
      <c r="N28" s="15" t="str">
        <f>IF(Table2683247[[#This Row],[Fault Type]]="PM",IF(L28&lt;=(D28-C28),"Yes","No"),"")</f>
        <v/>
      </c>
      <c r="O28" s="16" t="str">
        <f t="shared" si="2"/>
        <v/>
      </c>
      <c r="P2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8" s="144"/>
    </row>
    <row r="29" spans="1:17" ht="15.5" x14ac:dyDescent="0.35">
      <c r="A29" s="4"/>
      <c r="B29" s="12"/>
      <c r="C29" s="13"/>
      <c r="D29" s="13"/>
      <c r="E29" s="13"/>
      <c r="F29" s="12"/>
      <c r="G29" s="12"/>
      <c r="H29" s="12"/>
      <c r="I29" s="12"/>
      <c r="J29" s="13"/>
      <c r="K29" s="32"/>
      <c r="L29" s="14">
        <f t="shared" si="0"/>
        <v>0</v>
      </c>
      <c r="M29" s="31">
        <f t="shared" si="3"/>
        <v>0</v>
      </c>
      <c r="N29" s="15" t="str">
        <f>IF(Table2683247[[#This Row],[Fault Type]]="PM",IF(L29&lt;=(D29-C29),"Yes","No"),"")</f>
        <v/>
      </c>
      <c r="O29" s="16" t="str">
        <f t="shared" si="2"/>
        <v/>
      </c>
      <c r="P2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29" s="144"/>
    </row>
    <row r="30" spans="1:17" ht="15.5" x14ac:dyDescent="0.35">
      <c r="A30" s="4"/>
      <c r="B30" s="12"/>
      <c r="C30" s="13"/>
      <c r="D30" s="13"/>
      <c r="E30" s="13"/>
      <c r="F30" s="18"/>
      <c r="G30" s="12"/>
      <c r="H30" s="18"/>
      <c r="I30" s="18"/>
      <c r="J30" s="13"/>
      <c r="K30" s="32"/>
      <c r="L30" s="14">
        <f t="shared" si="0"/>
        <v>0</v>
      </c>
      <c r="M30" s="31">
        <f t="shared" si="3"/>
        <v>0</v>
      </c>
      <c r="N30" s="15" t="str">
        <f>IF(Table2683247[[#This Row],[Fault Type]]="PM",IF(L30&lt;=(D30-C30),"Yes","No"),"")</f>
        <v/>
      </c>
      <c r="O30" s="16" t="str">
        <f t="shared" si="2"/>
        <v/>
      </c>
      <c r="P3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0" s="17"/>
    </row>
    <row r="31" spans="1:17" ht="15.5" x14ac:dyDescent="0.35">
      <c r="A31" s="4"/>
      <c r="B31" s="12"/>
      <c r="C31" s="13"/>
      <c r="D31" s="13"/>
      <c r="E31" s="13"/>
      <c r="F31" s="18"/>
      <c r="G31" s="12"/>
      <c r="H31" s="18"/>
      <c r="I31" s="18"/>
      <c r="J31" s="13"/>
      <c r="K31" s="32"/>
      <c r="L31" s="14">
        <f t="shared" si="0"/>
        <v>0</v>
      </c>
      <c r="M31" s="31">
        <f t="shared" si="3"/>
        <v>0</v>
      </c>
      <c r="N31" s="15" t="str">
        <f>IF(Table2683247[[#This Row],[Fault Type]]="PM",IF(L31&lt;=(D31-C31),"Yes","No"),"")</f>
        <v/>
      </c>
      <c r="O31" s="16" t="str">
        <f t="shared" si="2"/>
        <v/>
      </c>
      <c r="P3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IF(Table2683247[[#This Row],[Fault Type]]="PM",IF(L32&lt;=(D32-C32),"Yes","No"),"")</f>
        <v/>
      </c>
      <c r="O32" s="16" t="str">
        <f t="shared" si="2"/>
        <v/>
      </c>
      <c r="P3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IF(Table2683247[[#This Row],[Fault Type]]="PM",IF(L33&lt;=(D33-C33),"Yes","No"),"")</f>
        <v/>
      </c>
      <c r="O33" s="16" t="str">
        <f t="shared" si="2"/>
        <v/>
      </c>
      <c r="P3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IF(Table2683247[[#This Row],[Fault Type]]="PM",IF(L34&lt;=(D34-C34),"Yes","No"),"")</f>
        <v/>
      </c>
      <c r="O34" s="16" t="str">
        <f t="shared" si="2"/>
        <v/>
      </c>
      <c r="P3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IF(Table2683247[[#This Row],[Fault Type]]="PM",IF(L35&lt;=(D35-C35),"Yes","No"),"")</f>
        <v/>
      </c>
      <c r="O35" s="16" t="str">
        <f t="shared" si="2"/>
        <v/>
      </c>
      <c r="P3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IF(Table2683247[[#This Row],[Fault Type]]="PM",IF(L36&lt;=(D36-C36),"Yes","No"),"")</f>
        <v/>
      </c>
      <c r="O36" s="16" t="str">
        <f t="shared" si="2"/>
        <v/>
      </c>
      <c r="P3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IF(Table2683247[[#This Row],[Fault Type]]="PM",IF(L37&lt;=(D37-C37),"Yes","No"),"")</f>
        <v/>
      </c>
      <c r="O37" s="16" t="str">
        <f t="shared" si="2"/>
        <v/>
      </c>
      <c r="P3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IF(Table2683247[[#This Row],[Fault Type]]="PM",IF(L38&lt;=(D38-C38),"Yes","No"),"")</f>
        <v/>
      </c>
      <c r="O38" s="16" t="str">
        <f t="shared" si="2"/>
        <v/>
      </c>
      <c r="P3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IF(Table2683247[[#This Row],[Fault Type]]="PM",IF(L39&lt;=(D39-C39),"Yes","No"),"")</f>
        <v/>
      </c>
      <c r="O39" s="16" t="str">
        <f t="shared" si="2"/>
        <v/>
      </c>
      <c r="P3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IF(Table2683247[[#This Row],[Fault Type]]="PM",IF(L40&lt;=(D40-C40),"Yes","No"),"")</f>
        <v/>
      </c>
      <c r="O40" s="16" t="str">
        <f t="shared" si="2"/>
        <v/>
      </c>
      <c r="P4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IF(Table2683247[[#This Row],[Fault Type]]="PM",IF(L41&lt;=(D41-C41),"Yes","No"),"")</f>
        <v/>
      </c>
      <c r="O41" s="16" t="str">
        <f t="shared" si="2"/>
        <v/>
      </c>
      <c r="P4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IF(Table2683247[[#This Row],[Fault Type]]="PM",IF(L42&lt;=(D42-C42),"Yes","No"),"")</f>
        <v/>
      </c>
      <c r="O42" s="16" t="str">
        <f t="shared" si="2"/>
        <v/>
      </c>
      <c r="P4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IF(Table2683247[[#This Row],[Fault Type]]="PM",IF(L43&lt;=(D43-C43),"Yes","No"),"")</f>
        <v/>
      </c>
      <c r="O43" s="16" t="str">
        <f t="shared" si="2"/>
        <v/>
      </c>
      <c r="P4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IF(Table2683247[[#This Row],[Fault Type]]="PM",IF(L44&lt;=(D44-C44),"Yes","No"),"")</f>
        <v/>
      </c>
      <c r="O44" s="16" t="str">
        <f t="shared" si="2"/>
        <v/>
      </c>
      <c r="P4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4" s="17"/>
    </row>
    <row r="45" spans="1:17" ht="15.75" customHeight="1" x14ac:dyDescent="0.35">
      <c r="A45" s="4"/>
      <c r="B45" s="12"/>
      <c r="C45" s="13"/>
      <c r="D45" s="13"/>
      <c r="E45" s="13"/>
      <c r="F45" s="12"/>
      <c r="G45" s="12"/>
      <c r="H45" s="12"/>
      <c r="I45" s="12"/>
      <c r="J45" s="13"/>
      <c r="K45" s="32"/>
      <c r="L45" s="14">
        <f t="shared" si="0"/>
        <v>0</v>
      </c>
      <c r="M45" s="31">
        <f t="shared" si="3"/>
        <v>0</v>
      </c>
      <c r="N45" s="15" t="str">
        <f>IF(Table2683247[[#This Row],[Fault Type]]="PM",IF(L45&lt;=(D45-C45),"Yes","No"),"")</f>
        <v/>
      </c>
      <c r="O45" s="16" t="str">
        <f t="shared" si="2"/>
        <v/>
      </c>
      <c r="P4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5" s="17"/>
    </row>
    <row r="46" spans="1:17" ht="15.5" x14ac:dyDescent="0.35">
      <c r="A46" s="4"/>
      <c r="B46" s="12"/>
      <c r="C46" s="13"/>
      <c r="D46" s="13"/>
      <c r="E46" s="13"/>
      <c r="F46" s="18"/>
      <c r="G46" s="12"/>
      <c r="H46" s="18"/>
      <c r="I46" s="18"/>
      <c r="J46" s="13"/>
      <c r="K46" s="32"/>
      <c r="L46" s="14">
        <f t="shared" si="0"/>
        <v>0</v>
      </c>
      <c r="M46" s="31">
        <f t="shared" si="3"/>
        <v>0</v>
      </c>
      <c r="N46" s="15" t="str">
        <f>IF(Table2683247[[#This Row],[Fault Type]]="PM",IF(L46&lt;=(D46-C46),"Yes","No"),"")</f>
        <v/>
      </c>
      <c r="O46" s="16" t="str">
        <f t="shared" si="2"/>
        <v/>
      </c>
      <c r="P4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6" s="17"/>
    </row>
    <row r="47" spans="1:17" ht="15.5" x14ac:dyDescent="0.35">
      <c r="A47" s="4"/>
      <c r="B47" s="49"/>
      <c r="C47" s="49"/>
      <c r="D47" s="49"/>
      <c r="E47" s="13"/>
      <c r="F47" s="64"/>
      <c r="G47" s="159"/>
      <c r="H47" s="54"/>
      <c r="I47" s="54"/>
      <c r="J47" s="13"/>
      <c r="K47" s="32"/>
      <c r="L47" s="14">
        <f t="shared" si="0"/>
        <v>0</v>
      </c>
      <c r="M47" s="53">
        <f t="shared" si="3"/>
        <v>0</v>
      </c>
      <c r="N47" s="50" t="str">
        <f>IF(Table2683247[[#This Row],[Fault Type]]="PM",IF(L47&lt;=(D47-C47),"Yes","No"),"")</f>
        <v/>
      </c>
      <c r="O47" s="51" t="str">
        <f t="shared" si="2"/>
        <v/>
      </c>
      <c r="P4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row>
    <row r="48" spans="1:17" ht="15.5" x14ac:dyDescent="0.35">
      <c r="A48" s="58"/>
      <c r="B48" s="55"/>
      <c r="C48" s="56"/>
      <c r="D48" s="56"/>
      <c r="E48" s="13"/>
      <c r="F48" s="55"/>
      <c r="G48" s="55"/>
      <c r="H48" s="57"/>
      <c r="I48" s="18"/>
      <c r="J48" s="13"/>
      <c r="K48" s="32"/>
      <c r="L48" s="14">
        <f t="shared" si="0"/>
        <v>0</v>
      </c>
      <c r="M48" s="59">
        <f t="shared" si="3"/>
        <v>0</v>
      </c>
      <c r="N48" s="61" t="str">
        <f>IF(Table2683247[[#This Row],[Fault Type]]="PM",IF(L48&lt;=(D48-C48),"Yes","No"),"")</f>
        <v/>
      </c>
      <c r="O48" s="62" t="str">
        <f t="shared" si="2"/>
        <v/>
      </c>
      <c r="P4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8" s="63"/>
    </row>
    <row r="49" spans="1:17" ht="15.5" x14ac:dyDescent="0.35">
      <c r="A49" s="58"/>
      <c r="B49" s="55"/>
      <c r="C49" s="56"/>
      <c r="D49" s="56"/>
      <c r="E49" s="13"/>
      <c r="F49" s="55"/>
      <c r="G49" s="55"/>
      <c r="H49" s="57"/>
      <c r="I49" s="18"/>
      <c r="J49" s="13"/>
      <c r="K49" s="32"/>
      <c r="L49" s="14">
        <f t="shared" si="0"/>
        <v>0</v>
      </c>
      <c r="M49" s="59">
        <f t="shared" si="3"/>
        <v>0</v>
      </c>
      <c r="N49" s="61" t="str">
        <f>IF(Table2683247[[#This Row],[Fault Type]]="PM",IF(L49&lt;=(D49-C49),"Yes","No"),"")</f>
        <v/>
      </c>
      <c r="O49" s="62" t="str">
        <f t="shared" si="2"/>
        <v/>
      </c>
      <c r="P4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IF(Table2683247[[#This Row],[Fault Type]]="PM",IF(L50&lt;=(D50-C50),"Yes","No"),"")</f>
        <v/>
      </c>
      <c r="O50" s="62" t="str">
        <f t="shared" si="2"/>
        <v/>
      </c>
      <c r="P5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0" s="63"/>
    </row>
    <row r="51" spans="1:17" ht="15.5" x14ac:dyDescent="0.35">
      <c r="A51" s="58"/>
      <c r="B51" s="55"/>
      <c r="C51" s="56"/>
      <c r="D51" s="56"/>
      <c r="E51" s="13"/>
      <c r="F51" s="55"/>
      <c r="G51" s="55"/>
      <c r="H51" s="57"/>
      <c r="I51" s="18"/>
      <c r="J51" s="13"/>
      <c r="K51" s="83"/>
      <c r="L51" s="14">
        <f t="shared" si="0"/>
        <v>0</v>
      </c>
      <c r="M51" s="59">
        <f t="shared" si="3"/>
        <v>0</v>
      </c>
      <c r="N51" s="61" t="str">
        <f>IF(Table2683247[[#This Row],[Fault Type]]="PM",IF(L51&lt;=(D51-C51),"Yes","No"),"")</f>
        <v/>
      </c>
      <c r="O51" s="62" t="str">
        <f t="shared" si="2"/>
        <v/>
      </c>
      <c r="P5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IF(Table2683247[[#This Row],[Fault Type]]="PM",IF(L52&lt;=(D52-C52),"Yes","No"),"")</f>
        <v/>
      </c>
      <c r="O52" s="62" t="str">
        <f t="shared" si="2"/>
        <v/>
      </c>
      <c r="P5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IF(Table2683247[[#This Row],[Fault Type]]="PM",IF(L53&lt;=(D53-C53),"Yes","No"),"")</f>
        <v/>
      </c>
      <c r="O53" s="62" t="str">
        <f t="shared" si="2"/>
        <v/>
      </c>
      <c r="P5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3" s="17"/>
    </row>
    <row r="54" spans="1:17" ht="15.5" x14ac:dyDescent="0.35">
      <c r="A54" s="58"/>
      <c r="B54" s="55"/>
      <c r="C54" s="56"/>
      <c r="D54" s="56"/>
      <c r="E54" s="13"/>
      <c r="F54" s="55"/>
      <c r="G54" s="55"/>
      <c r="H54" s="57"/>
      <c r="I54" s="18"/>
      <c r="J54" s="13"/>
      <c r="K54" s="83"/>
      <c r="L54" s="14">
        <f t="shared" si="0"/>
        <v>0</v>
      </c>
      <c r="M54" s="59">
        <f t="shared" si="3"/>
        <v>0</v>
      </c>
      <c r="N54" s="61" t="str">
        <f>IF(Table2683247[[#This Row],[Fault Type]]="PM",IF(L54&lt;=(D54-C54),"Yes","No"),"")</f>
        <v/>
      </c>
      <c r="O54" s="62" t="str">
        <f t="shared" si="2"/>
        <v/>
      </c>
      <c r="P5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IF(Table2683247[[#This Row],[Fault Type]]="PM",IF(L55&lt;=(D55-C55),"Yes","No"),"")</f>
        <v/>
      </c>
      <c r="O55" s="62" t="str">
        <f t="shared" si="2"/>
        <v/>
      </c>
      <c r="P5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IF(Table2683247[[#This Row],[Fault Type]]="PM",IF(L56&lt;=(D56-C56),"Yes","No"),"")</f>
        <v/>
      </c>
      <c r="O56" s="62" t="str">
        <f t="shared" si="2"/>
        <v/>
      </c>
      <c r="P5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6" s="63"/>
    </row>
    <row r="57" spans="1:17" ht="15.5" x14ac:dyDescent="0.35">
      <c r="A57" s="58"/>
      <c r="B57" s="55"/>
      <c r="C57" s="56"/>
      <c r="D57" s="56"/>
      <c r="E57" s="13"/>
      <c r="F57" s="55"/>
      <c r="G57" s="55"/>
      <c r="H57" s="57"/>
      <c r="I57" s="18"/>
      <c r="J57" s="13"/>
      <c r="K57" s="83"/>
      <c r="L57" s="14">
        <f t="shared" si="0"/>
        <v>0</v>
      </c>
      <c r="M57" s="59">
        <f t="shared" si="3"/>
        <v>0</v>
      </c>
      <c r="N57" s="61" t="str">
        <f>IF(Table2683247[[#This Row],[Fault Type]]="PM",IF(L57&lt;=(D57-C57),"Yes","No"),"")</f>
        <v/>
      </c>
      <c r="O57" s="62" t="str">
        <f t="shared" si="2"/>
        <v/>
      </c>
      <c r="P5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7" s="63"/>
    </row>
    <row r="58" spans="1:17" ht="15.5" x14ac:dyDescent="0.35">
      <c r="A58" s="58"/>
      <c r="B58" s="55"/>
      <c r="C58" s="56"/>
      <c r="D58" s="56"/>
      <c r="E58" s="13"/>
      <c r="F58" s="55"/>
      <c r="G58" s="55"/>
      <c r="H58" s="57"/>
      <c r="I58" s="18"/>
      <c r="J58" s="13"/>
      <c r="K58" s="83"/>
      <c r="L58" s="14">
        <f t="shared" si="0"/>
        <v>0</v>
      </c>
      <c r="M58" s="59">
        <f t="shared" si="3"/>
        <v>0</v>
      </c>
      <c r="N58" s="61" t="str">
        <f>IF(Table2683247[[#This Row],[Fault Type]]="PM",IF(L58&lt;=(D58-C58),"Yes","No"),"")</f>
        <v/>
      </c>
      <c r="O58" s="62" t="str">
        <f t="shared" si="2"/>
        <v/>
      </c>
      <c r="P5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8" s="63"/>
    </row>
    <row r="59" spans="1:17" ht="15.5" x14ac:dyDescent="0.35">
      <c r="A59" s="58"/>
      <c r="B59" s="55"/>
      <c r="C59" s="56"/>
      <c r="D59" s="56"/>
      <c r="E59" s="13"/>
      <c r="F59" s="55"/>
      <c r="G59" s="55"/>
      <c r="H59" s="57"/>
      <c r="I59" s="18"/>
      <c r="J59" s="13"/>
      <c r="K59" s="83"/>
      <c r="L59" s="14">
        <f t="shared" si="0"/>
        <v>0</v>
      </c>
      <c r="M59" s="59">
        <f t="shared" si="3"/>
        <v>0</v>
      </c>
      <c r="N59" s="61" t="str">
        <f>IF(Table2683247[[#This Row],[Fault Type]]="PM",IF(L59&lt;=(D59-C59),"Yes","No"),"")</f>
        <v/>
      </c>
      <c r="O59" s="62" t="str">
        <f t="shared" si="2"/>
        <v/>
      </c>
      <c r="P5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59" s="63"/>
    </row>
    <row r="60" spans="1:17" ht="15.5" x14ac:dyDescent="0.35">
      <c r="A60" s="58"/>
      <c r="B60" s="55"/>
      <c r="C60" s="56"/>
      <c r="D60" s="56"/>
      <c r="E60" s="13"/>
      <c r="F60" s="55"/>
      <c r="G60" s="55"/>
      <c r="H60" s="57"/>
      <c r="I60" s="18"/>
      <c r="J60" s="13"/>
      <c r="K60" s="83"/>
      <c r="L60" s="14">
        <f t="shared" si="0"/>
        <v>0</v>
      </c>
      <c r="M60" s="59">
        <f t="shared" si="3"/>
        <v>0</v>
      </c>
      <c r="N60" s="61" t="str">
        <f>IF(Table2683247[[#This Row],[Fault Type]]="PM",IF(L60&lt;=(D60-C60),"Yes","No"),"")</f>
        <v/>
      </c>
      <c r="O60" s="62" t="str">
        <f t="shared" si="2"/>
        <v/>
      </c>
      <c r="P6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0" s="63"/>
    </row>
    <row r="61" spans="1:17" ht="15.5" x14ac:dyDescent="0.35">
      <c r="A61" s="58"/>
      <c r="B61" s="55"/>
      <c r="C61" s="56"/>
      <c r="D61" s="56"/>
      <c r="E61" s="13"/>
      <c r="F61" s="55"/>
      <c r="G61" s="55"/>
      <c r="H61" s="57"/>
      <c r="I61" s="18"/>
      <c r="J61" s="13"/>
      <c r="K61" s="83"/>
      <c r="L61" s="14">
        <f t="shared" si="0"/>
        <v>0</v>
      </c>
      <c r="M61" s="59">
        <f t="shared" si="3"/>
        <v>0</v>
      </c>
      <c r="N61" s="61" t="str">
        <f>IF(Table2683247[[#This Row],[Fault Type]]="PM",IF(L61&lt;=(D61-C61),"Yes","No"),"")</f>
        <v/>
      </c>
      <c r="O61" s="62" t="str">
        <f t="shared" si="2"/>
        <v/>
      </c>
      <c r="P6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1" s="63"/>
    </row>
    <row r="62" spans="1:17" ht="15.5" x14ac:dyDescent="0.35">
      <c r="A62" s="58"/>
      <c r="B62" s="55"/>
      <c r="C62" s="56"/>
      <c r="D62" s="56"/>
      <c r="E62" s="13"/>
      <c r="F62" s="55"/>
      <c r="G62" s="55"/>
      <c r="H62" s="57"/>
      <c r="I62" s="18"/>
      <c r="J62" s="13"/>
      <c r="K62" s="83"/>
      <c r="L62" s="14">
        <f t="shared" si="0"/>
        <v>0</v>
      </c>
      <c r="M62" s="59">
        <f t="shared" si="3"/>
        <v>0</v>
      </c>
      <c r="N62" s="61" t="str">
        <f>IF(Table2683247[[#This Row],[Fault Type]]="PM",IF(L62&lt;=(D62-C62),"Yes","No"),"")</f>
        <v/>
      </c>
      <c r="O62" s="62" t="str">
        <f t="shared" si="2"/>
        <v/>
      </c>
      <c r="P6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2" s="63"/>
    </row>
    <row r="63" spans="1:17" ht="15.5" x14ac:dyDescent="0.35">
      <c r="A63" s="58"/>
      <c r="B63" s="55"/>
      <c r="C63" s="56"/>
      <c r="D63" s="56"/>
      <c r="E63" s="13"/>
      <c r="F63" s="55"/>
      <c r="G63" s="55"/>
      <c r="H63" s="57"/>
      <c r="I63" s="18"/>
      <c r="J63" s="13"/>
      <c r="K63" s="83"/>
      <c r="L63" s="14">
        <f t="shared" si="0"/>
        <v>0</v>
      </c>
      <c r="M63" s="59">
        <f t="shared" si="3"/>
        <v>0</v>
      </c>
      <c r="N63" s="61" t="str">
        <f>IF(Table2683247[[#This Row],[Fault Type]]="PM",IF(L63&lt;=(D63-C63),"Yes","No"),"")</f>
        <v/>
      </c>
      <c r="O63" s="62" t="str">
        <f t="shared" si="2"/>
        <v/>
      </c>
      <c r="P6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IF(Table2683247[[#This Row],[Fault Type]]="PM",IF(L64&lt;=(D64-C64),"Yes","No"),"")</f>
        <v/>
      </c>
      <c r="O64" s="62" t="str">
        <f t="shared" si="2"/>
        <v/>
      </c>
      <c r="P6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IF(Table2683247[[#This Row],[Fault Type]]="PM",IF(L65&lt;=(D65-C65),"Yes","No"),"")</f>
        <v/>
      </c>
      <c r="O65" s="62" t="str">
        <f t="shared" si="2"/>
        <v/>
      </c>
      <c r="P6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5" s="63"/>
    </row>
    <row r="66" spans="1:17" ht="15.5" x14ac:dyDescent="0.35">
      <c r="A66" s="58"/>
      <c r="B66" s="55"/>
      <c r="C66" s="56"/>
      <c r="D66" s="56"/>
      <c r="E66" s="13"/>
      <c r="F66" s="55"/>
      <c r="G66" s="55"/>
      <c r="H66" s="57"/>
      <c r="I66" s="18"/>
      <c r="J66" s="13"/>
      <c r="K66" s="60"/>
      <c r="L66" s="14">
        <f t="shared" ref="L66:L79" si="4">J66-E66</f>
        <v>0</v>
      </c>
      <c r="M66" s="59">
        <f t="shared" si="3"/>
        <v>0</v>
      </c>
      <c r="N66" s="61" t="str">
        <f>IF(Table2683247[[#This Row],[Fault Type]]="PM",IF(L66&lt;=(D66-C66),"Yes","No"),"")</f>
        <v/>
      </c>
      <c r="O66" s="62" t="str">
        <f t="shared" ref="O66:O79" si="5">IF(N66="No",(L66-(D66-C66)),"")</f>
        <v/>
      </c>
      <c r="P6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IF(Table2683247[[#This Row],[Fault Type]]="PM",IF(L67&lt;=(D67-C67),"Yes","No"),"")</f>
        <v/>
      </c>
      <c r="O67" s="62" t="str">
        <f t="shared" si="5"/>
        <v/>
      </c>
      <c r="P6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IF(Table2683247[[#This Row],[Fault Type]]="PM",IF(L68&lt;=(D68-C68),"Yes","No"),"")</f>
        <v/>
      </c>
      <c r="O68" s="62" t="str">
        <f t="shared" si="5"/>
        <v/>
      </c>
      <c r="P6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IF(Table2683247[[#This Row],[Fault Type]]="PM",IF(L69&lt;=(D69-C69),"Yes","No"),"")</f>
        <v/>
      </c>
      <c r="O69" s="62" t="str">
        <f t="shared" si="5"/>
        <v/>
      </c>
      <c r="P6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IF(Table2683247[[#This Row],[Fault Type]]="PM",IF(L70&lt;=(D70-C70),"Yes","No"),"")</f>
        <v/>
      </c>
      <c r="O70" s="62" t="str">
        <f t="shared" si="5"/>
        <v/>
      </c>
      <c r="P70"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IF(Table2683247[[#This Row],[Fault Type]]="PM",IF(L71&lt;=(D71-C71),"Yes","No"),"")</f>
        <v/>
      </c>
      <c r="O71" s="62" t="str">
        <f t="shared" si="5"/>
        <v/>
      </c>
      <c r="P71"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IF(Table2683247[[#This Row],[Fault Type]]="PM",IF(L72&lt;=(D72-C72),"Yes","No"),"")</f>
        <v/>
      </c>
      <c r="O72" s="62" t="str">
        <f t="shared" si="5"/>
        <v/>
      </c>
      <c r="P72"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IF(Table2683247[[#This Row],[Fault Type]]="PM",IF(L73&lt;=(D73-C73),"Yes","No"),"")</f>
        <v/>
      </c>
      <c r="O73" s="62" t="str">
        <f t="shared" si="5"/>
        <v/>
      </c>
      <c r="P73"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IF(Table2683247[[#This Row],[Fault Type]]="PM",IF(L74&lt;=(D74-C74),"Yes","No"),"")</f>
        <v/>
      </c>
      <c r="O74" s="62" t="str">
        <f t="shared" si="5"/>
        <v/>
      </c>
      <c r="P74"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IF(Table2683247[[#This Row],[Fault Type]]="PM",IF(L75&lt;=(D75-C75),"Yes","No"),"")</f>
        <v/>
      </c>
      <c r="O75" s="62" t="str">
        <f t="shared" si="5"/>
        <v/>
      </c>
      <c r="P75"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IF(Table2683247[[#This Row],[Fault Type]]="PM",IF(L76&lt;=(D76-C76),"Yes","No"),"")</f>
        <v/>
      </c>
      <c r="O76" s="62" t="str">
        <f t="shared" si="5"/>
        <v/>
      </c>
      <c r="P76"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IF(Table2683247[[#This Row],[Fault Type]]="PM",IF(L77&lt;=(D77-C77),"Yes","No"),"")</f>
        <v/>
      </c>
      <c r="O77" s="62" t="str">
        <f t="shared" si="5"/>
        <v/>
      </c>
      <c r="P77"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IF(Table2683247[[#This Row],[Fault Type]]="PM",IF(L78&lt;=(D78-C78),"Yes","No"),"")</f>
        <v/>
      </c>
      <c r="O78" s="62" t="str">
        <f t="shared" si="5"/>
        <v/>
      </c>
      <c r="P78"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IF(Table2683247[[#This Row],[Fault Type]]="PM",IF(L79&lt;=(D79-C79),"Yes","No"),"")</f>
        <v/>
      </c>
      <c r="O79" s="62" t="str">
        <f t="shared" si="5"/>
        <v/>
      </c>
      <c r="P79" s="30" t="str">
        <f>IF(AND(Table2683247[[#This Row],[Name of Feeder]]&lt;&gt;"",OR(Table2683247[[#This Row],[Fault Type]]="TL",Table2683247[[#This Row],[Fault Type]]="TS",Table2683247[[#This Row],[Fault Type]]="UF",Table2683247[[#This Row],[Fault Type]]="SE")),(IF(AND(VLOOKUP(Table2683247[[#This Row],[Name of Feeder]],Main!D:E,2,0)="URBAN",ISNUMBER(SEARCH("33KV",Table2683247[[#This Row],[Name of Feeder]]))),IF(AND(Table2683247[[#This Row],[Outage Duration]]&gt;0,Table2683247[[#This Row],[Outage Duration]]&lt;=0.25),"Yes","No"),IF(AND(VLOOKUP(Table2683247[[#This Row],[Name of Feeder]],Main!D:E,2,0)="RURAL",ISNUMBER(SEARCH("33KV",Table2683247[[#This Row],[Name of Feeder]]))),IF(AND(Table2683247[[#This Row],[Outage Duration]]&gt;0,Table2683247[[#This Row],[Outage Duration]]&lt;=0.33),"Yes","No"),IF(AND(VLOOKUP(Table2683247[[#This Row],[Name of Feeder]],Main!D:E,2,0)="RURAL",ISNUMBER(SEARCH("11KV",Table2683247[[#This Row],[Name of Feeder]]))),IF(AND(Table2683247[[#This Row],[Outage Duration]]&gt;0,Table2683247[[#This Row],[Outage Duration]]&lt;=0.17),"Yes","No"),IF(AND(VLOOKUP(Table2683247[[#This Row],[Name of Feeder]],Main!D:E,2,0)="URBAN",ISNUMBER(SEARCH("11KV",Table2683247[[#This Row],[Name of Feeder]]))),IF(AND(Table2683247[[#This Row],[Outage Duration]]&gt;0,Table2683247[[#This Row],[Outage Duration]]&lt;=0.17),"Yes","No"),""))))),"")</f>
        <v/>
      </c>
      <c r="Q79"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700-000000000000}">
          <x14:formula1>
            <xm:f>Main!$F$226:$F$228</xm:f>
          </x14:formula1>
          <xm:sqref>I2:I79</xm:sqref>
        </x14:dataValidation>
        <x14:dataValidation type="list" allowBlank="1" showInputMessage="1" showErrorMessage="1" xr:uid="{00000000-0002-0000-1700-000001000000}">
          <x14:formula1>
            <xm:f>Main!$D$2:$D$196</xm:f>
          </x14:formula1>
          <xm:sqref>A2:A79</xm:sqref>
        </x14:dataValidation>
        <x14:dataValidation type="list" allowBlank="1" showInputMessage="1" showErrorMessage="1" xr:uid="{00000000-0002-0000-1700-000002000000}">
          <x14:formula1>
            <xm:f>Main!F$222:F$225</xm:f>
          </x14:formula1>
          <xm:sqref>G2:G79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76"/>
  <sheetViews>
    <sheetView topLeftCell="C1" zoomScale="70" zoomScaleNormal="70" workbookViewId="0">
      <pane ySplit="1" topLeftCell="A62" activePane="bottomLeft" state="frozen"/>
      <selection pane="bottomLeft" activeCell="Q6" sqref="Q6:Q25"/>
    </sheetView>
  </sheetViews>
  <sheetFormatPr defaultRowHeight="14.5" x14ac:dyDescent="0.35"/>
  <cols>
    <col min="1" max="1" width="27.26953125" customWidth="1"/>
    <col min="2" max="2" width="8.26953125" customWidth="1"/>
    <col min="3" max="3" width="17.26953125" customWidth="1"/>
    <col min="4" max="4" width="18.54296875" customWidth="1"/>
    <col min="5" max="5" width="19.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2" si="0">J2-E2</f>
        <v>0</v>
      </c>
      <c r="M2" s="31">
        <f t="shared" ref="M2:M21" si="1">L2*F2</f>
        <v>0</v>
      </c>
      <c r="N2" s="15" t="str">
        <f>IF(Table2683246[[#This Row],[Fault Type]]="PM",IF(L2&lt;=(D2-C2),"Yes","No"),"")</f>
        <v/>
      </c>
      <c r="O2" s="16" t="str">
        <f t="shared" ref="O2:O62" si="2">IF(N2="No",(L2-(D2-C2)),"")</f>
        <v/>
      </c>
      <c r="P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 s="17"/>
    </row>
    <row r="3" spans="1:17" ht="15.5" x14ac:dyDescent="0.35">
      <c r="A3" s="4"/>
      <c r="B3" s="12"/>
      <c r="C3" s="13"/>
      <c r="D3" s="13"/>
      <c r="E3" s="13"/>
      <c r="F3" s="12"/>
      <c r="G3" s="159"/>
      <c r="H3" s="27"/>
      <c r="I3" s="27"/>
      <c r="J3" s="13"/>
      <c r="K3" s="32"/>
      <c r="L3" s="14">
        <f t="shared" si="0"/>
        <v>0</v>
      </c>
      <c r="M3" s="31">
        <f t="shared" si="1"/>
        <v>0</v>
      </c>
      <c r="N3" s="15" t="str">
        <f>IF(Table2683246[[#This Row],[Fault Type]]="PM",IF(L3&lt;=(D3-C3),"Yes","No"),"")</f>
        <v/>
      </c>
      <c r="O3" s="16" t="str">
        <f t="shared" si="2"/>
        <v/>
      </c>
      <c r="P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 s="17"/>
    </row>
    <row r="4" spans="1:17" ht="15.5" x14ac:dyDescent="0.35">
      <c r="A4" s="4"/>
      <c r="B4" s="12"/>
      <c r="C4" s="13"/>
      <c r="D4" s="13"/>
      <c r="E4" s="13"/>
      <c r="F4" s="12"/>
      <c r="G4" s="159"/>
      <c r="H4" s="12"/>
      <c r="I4" s="12"/>
      <c r="J4" s="13"/>
      <c r="K4" s="32"/>
      <c r="L4" s="14">
        <f t="shared" si="0"/>
        <v>0</v>
      </c>
      <c r="M4" s="31">
        <f t="shared" si="1"/>
        <v>0</v>
      </c>
      <c r="N4" s="15" t="str">
        <f>IF(Table2683246[[#This Row],[Fault Type]]="PM",IF(L4&lt;=(D4-C4),"Yes","No"),"")</f>
        <v/>
      </c>
      <c r="O4" s="16" t="str">
        <f t="shared" si="2"/>
        <v/>
      </c>
      <c r="P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 s="17"/>
    </row>
    <row r="5" spans="1:17" ht="15.5" x14ac:dyDescent="0.35">
      <c r="A5" s="4"/>
      <c r="B5" s="12"/>
      <c r="C5" s="13"/>
      <c r="D5" s="13"/>
      <c r="E5" s="13"/>
      <c r="F5" s="12"/>
      <c r="G5" s="159"/>
      <c r="H5" s="12"/>
      <c r="I5" s="12"/>
      <c r="J5" s="13"/>
      <c r="K5" s="32"/>
      <c r="L5" s="14">
        <f t="shared" si="0"/>
        <v>0</v>
      </c>
      <c r="M5" s="31">
        <f t="shared" si="1"/>
        <v>0</v>
      </c>
      <c r="N5" s="15" t="str">
        <f>IF(Table2683246[[#This Row],[Fault Type]]="PM",IF(L5&lt;=(D5-C5),"Yes","No"),"")</f>
        <v/>
      </c>
      <c r="O5" s="16" t="str">
        <f t="shared" si="2"/>
        <v/>
      </c>
      <c r="P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 s="17"/>
    </row>
    <row r="6" spans="1:17" ht="15.5" x14ac:dyDescent="0.35">
      <c r="A6" s="4"/>
      <c r="B6" s="12"/>
      <c r="C6" s="13"/>
      <c r="D6" s="13"/>
      <c r="E6" s="13"/>
      <c r="F6" s="12"/>
      <c r="G6" s="159"/>
      <c r="H6" s="12"/>
      <c r="I6" s="12"/>
      <c r="J6" s="13"/>
      <c r="K6" s="32"/>
      <c r="L6" s="14">
        <f t="shared" si="0"/>
        <v>0</v>
      </c>
      <c r="M6" s="31">
        <f t="shared" si="1"/>
        <v>0</v>
      </c>
      <c r="N6" s="15" t="str">
        <f>IF(Table2683246[[#This Row],[Fault Type]]="PM",IF(L6&lt;=(D6-C6),"Yes","No"),"")</f>
        <v/>
      </c>
      <c r="O6" s="16" t="str">
        <f t="shared" si="2"/>
        <v/>
      </c>
      <c r="P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 s="17"/>
    </row>
    <row r="7" spans="1:17" ht="15.5" x14ac:dyDescent="0.35">
      <c r="A7" s="4"/>
      <c r="B7" s="12"/>
      <c r="C7" s="13"/>
      <c r="D7" s="13"/>
      <c r="E7" s="13"/>
      <c r="F7" s="12"/>
      <c r="G7" s="159"/>
      <c r="H7" s="12"/>
      <c r="I7" s="12"/>
      <c r="J7" s="13"/>
      <c r="K7" s="32"/>
      <c r="L7" s="14">
        <f t="shared" si="0"/>
        <v>0</v>
      </c>
      <c r="M7" s="31">
        <f t="shared" si="1"/>
        <v>0</v>
      </c>
      <c r="N7" s="15" t="str">
        <f>IF(Table2683246[[#This Row],[Fault Type]]="PM",IF(L7&lt;=(D7-C7),"Yes","No"),"")</f>
        <v/>
      </c>
      <c r="O7" s="16" t="str">
        <f t="shared" si="2"/>
        <v/>
      </c>
      <c r="P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 s="17"/>
    </row>
    <row r="8" spans="1:17" ht="15.5" x14ac:dyDescent="0.35">
      <c r="A8" s="4"/>
      <c r="B8" s="12"/>
      <c r="C8" s="13"/>
      <c r="D8" s="13"/>
      <c r="E8" s="13"/>
      <c r="F8" s="12"/>
      <c r="G8" s="159"/>
      <c r="H8" s="12"/>
      <c r="I8" s="12"/>
      <c r="J8" s="13"/>
      <c r="K8" s="32"/>
      <c r="L8" s="14">
        <f t="shared" si="0"/>
        <v>0</v>
      </c>
      <c r="M8" s="31">
        <f t="shared" si="1"/>
        <v>0</v>
      </c>
      <c r="N8" s="15" t="str">
        <f>IF(Table2683246[[#This Row],[Fault Type]]="PM",IF(L8&lt;=(D8-C8),"Yes","No"),"")</f>
        <v/>
      </c>
      <c r="O8" s="16" t="str">
        <f t="shared" si="2"/>
        <v/>
      </c>
      <c r="P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8" s="17"/>
    </row>
    <row r="9" spans="1:17" ht="15.5" x14ac:dyDescent="0.35">
      <c r="A9" s="4"/>
      <c r="B9" s="12"/>
      <c r="C9" s="13"/>
      <c r="D9" s="13"/>
      <c r="E9" s="13"/>
      <c r="F9" s="12"/>
      <c r="G9" s="159"/>
      <c r="H9" s="12"/>
      <c r="I9" s="12"/>
      <c r="J9" s="13"/>
      <c r="K9" s="32"/>
      <c r="L9" s="14">
        <f t="shared" si="0"/>
        <v>0</v>
      </c>
      <c r="M9" s="31">
        <f t="shared" si="1"/>
        <v>0</v>
      </c>
      <c r="N9" s="15" t="str">
        <f>IF(Table2683246[[#This Row],[Fault Type]]="PM",IF(L9&lt;=(D9-C9),"Yes","No"),"")</f>
        <v/>
      </c>
      <c r="O9" s="16" t="str">
        <f t="shared" si="2"/>
        <v/>
      </c>
      <c r="P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9" s="144"/>
    </row>
    <row r="10" spans="1:17" ht="15.5" x14ac:dyDescent="0.35">
      <c r="A10" s="4"/>
      <c r="B10" s="12"/>
      <c r="C10" s="13"/>
      <c r="D10" s="13"/>
      <c r="E10" s="13"/>
      <c r="F10" s="12"/>
      <c r="G10" s="159"/>
      <c r="H10" s="12"/>
      <c r="I10" s="12"/>
      <c r="J10" s="13"/>
      <c r="K10" s="32"/>
      <c r="L10" s="14">
        <f t="shared" si="0"/>
        <v>0</v>
      </c>
      <c r="M10" s="31">
        <f t="shared" si="1"/>
        <v>0</v>
      </c>
      <c r="N10" s="15" t="str">
        <f>IF(Table2683246[[#This Row],[Fault Type]]="PM",IF(L10&lt;=(D10-C10),"Yes","No"),"")</f>
        <v/>
      </c>
      <c r="O10" s="16" t="str">
        <f t="shared" si="2"/>
        <v/>
      </c>
      <c r="P1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0" s="144"/>
    </row>
    <row r="11" spans="1:17" ht="15.5" x14ac:dyDescent="0.35">
      <c r="A11" s="4"/>
      <c r="B11" s="12"/>
      <c r="C11" s="13"/>
      <c r="D11" s="13"/>
      <c r="E11" s="13"/>
      <c r="F11" s="12"/>
      <c r="G11" s="159"/>
      <c r="H11" s="12"/>
      <c r="I11" s="12"/>
      <c r="J11" s="13"/>
      <c r="K11" s="32"/>
      <c r="L11" s="14">
        <f t="shared" si="0"/>
        <v>0</v>
      </c>
      <c r="M11" s="31">
        <f t="shared" si="1"/>
        <v>0</v>
      </c>
      <c r="N11" s="15" t="str">
        <f>IF(Table2683246[[#This Row],[Fault Type]]="PM",IF(L11&lt;=(D11-C11),"Yes","No"),"")</f>
        <v/>
      </c>
      <c r="O11" s="16" t="str">
        <f t="shared" si="2"/>
        <v/>
      </c>
      <c r="P1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1" s="144"/>
    </row>
    <row r="12" spans="1:17" ht="15.5" x14ac:dyDescent="0.35">
      <c r="A12" s="4"/>
      <c r="B12" s="12"/>
      <c r="C12" s="13"/>
      <c r="D12" s="13"/>
      <c r="E12" s="13"/>
      <c r="F12" s="12"/>
      <c r="G12" s="159"/>
      <c r="H12" s="12"/>
      <c r="I12" s="12"/>
      <c r="J12" s="160"/>
      <c r="K12" s="32"/>
      <c r="L12" s="14">
        <f t="shared" si="0"/>
        <v>0</v>
      </c>
      <c r="M12" s="31">
        <f t="shared" si="1"/>
        <v>0</v>
      </c>
      <c r="N12" s="15" t="str">
        <f>IF(Table2683246[[#This Row],[Fault Type]]="PM",IF(L12&lt;=(D12-C12),"Yes","No"),"")</f>
        <v/>
      </c>
      <c r="O12" s="16" t="str">
        <f t="shared" si="2"/>
        <v/>
      </c>
      <c r="P1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2" s="144"/>
    </row>
    <row r="13" spans="1:17" ht="15.5" x14ac:dyDescent="0.35">
      <c r="A13" s="4"/>
      <c r="B13" s="12"/>
      <c r="C13" s="13"/>
      <c r="D13" s="13"/>
      <c r="E13" s="13"/>
      <c r="F13" s="12"/>
      <c r="G13" s="159"/>
      <c r="H13" s="12"/>
      <c r="I13" s="12"/>
      <c r="J13" s="13"/>
      <c r="K13" s="32"/>
      <c r="L13" s="14">
        <f t="shared" si="0"/>
        <v>0</v>
      </c>
      <c r="M13" s="31">
        <f t="shared" si="1"/>
        <v>0</v>
      </c>
      <c r="N13" s="15" t="str">
        <f>IF(Table2683246[[#This Row],[Fault Type]]="PM",IF(L13&lt;=(D13-C13),"Yes","No"),"")</f>
        <v/>
      </c>
      <c r="O13" s="16" t="str">
        <f t="shared" si="2"/>
        <v/>
      </c>
      <c r="P1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3" s="144"/>
    </row>
    <row r="14" spans="1:17" ht="15.5" x14ac:dyDescent="0.35">
      <c r="A14" s="4"/>
      <c r="B14" s="12"/>
      <c r="C14" s="13"/>
      <c r="D14" s="13"/>
      <c r="E14" s="13"/>
      <c r="F14" s="18"/>
      <c r="G14" s="159"/>
      <c r="H14" s="18"/>
      <c r="I14" s="18"/>
      <c r="J14" s="13"/>
      <c r="K14" s="32"/>
      <c r="L14" s="14">
        <f t="shared" si="0"/>
        <v>0</v>
      </c>
      <c r="M14" s="31">
        <f t="shared" si="1"/>
        <v>0</v>
      </c>
      <c r="N14" s="15" t="str">
        <f>IF(Table2683246[[#This Row],[Fault Type]]="PM",IF(L14&lt;=(D14-C14),"Yes","No"),"")</f>
        <v/>
      </c>
      <c r="O14" s="16" t="str">
        <f t="shared" si="2"/>
        <v/>
      </c>
      <c r="P1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4" s="144"/>
    </row>
    <row r="15" spans="1:17" ht="15.5" x14ac:dyDescent="0.35">
      <c r="A15" s="4"/>
      <c r="B15" s="12"/>
      <c r="C15" s="13"/>
      <c r="D15" s="13"/>
      <c r="E15" s="13"/>
      <c r="F15" s="12"/>
      <c r="G15" s="159"/>
      <c r="H15" s="12"/>
      <c r="I15" s="12"/>
      <c r="J15" s="13"/>
      <c r="K15" s="32"/>
      <c r="L15" s="14">
        <f t="shared" si="0"/>
        <v>0</v>
      </c>
      <c r="M15" s="31">
        <f t="shared" si="1"/>
        <v>0</v>
      </c>
      <c r="N15" s="15" t="str">
        <f>IF(Table2683246[[#This Row],[Fault Type]]="PM",IF(L15&lt;=(D15-C15),"Yes","No"),"")</f>
        <v/>
      </c>
      <c r="O15" s="16" t="str">
        <f t="shared" si="2"/>
        <v/>
      </c>
      <c r="P1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5" s="144"/>
    </row>
    <row r="16" spans="1:17" ht="15.5" x14ac:dyDescent="0.35">
      <c r="A16" s="4"/>
      <c r="B16" s="12"/>
      <c r="C16" s="13"/>
      <c r="D16" s="13"/>
      <c r="E16" s="13"/>
      <c r="F16" s="18"/>
      <c r="G16" s="159"/>
      <c r="H16" s="18"/>
      <c r="I16" s="18"/>
      <c r="J16" s="13"/>
      <c r="K16" s="32"/>
      <c r="L16" s="14">
        <f t="shared" si="0"/>
        <v>0</v>
      </c>
      <c r="M16" s="31">
        <f t="shared" si="1"/>
        <v>0</v>
      </c>
      <c r="N16" s="15" t="str">
        <f>IF(Table2683246[[#This Row],[Fault Type]]="PM",IF(L16&lt;=(D16-C16),"Yes","No"),"")</f>
        <v/>
      </c>
      <c r="O16" s="16" t="str">
        <f t="shared" si="2"/>
        <v/>
      </c>
      <c r="P1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6" s="144"/>
    </row>
    <row r="17" spans="1:17" ht="15.5" x14ac:dyDescent="0.35">
      <c r="A17" s="4"/>
      <c r="B17" s="12"/>
      <c r="C17" s="13"/>
      <c r="D17" s="13"/>
      <c r="E17" s="13"/>
      <c r="F17" s="18"/>
      <c r="G17" s="159"/>
      <c r="H17" s="18"/>
      <c r="I17" s="18"/>
      <c r="J17" s="13"/>
      <c r="K17" s="32"/>
      <c r="L17" s="14">
        <f t="shared" si="0"/>
        <v>0</v>
      </c>
      <c r="M17" s="31">
        <f t="shared" si="1"/>
        <v>0</v>
      </c>
      <c r="N17" s="15" t="str">
        <f>IF(Table2683246[[#This Row],[Fault Type]]="PM",IF(L17&lt;=(D17-C17),"Yes","No"),"")</f>
        <v/>
      </c>
      <c r="O17" s="16" t="str">
        <f t="shared" si="2"/>
        <v/>
      </c>
      <c r="P1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7" s="144"/>
    </row>
    <row r="18" spans="1:17" ht="15.5" x14ac:dyDescent="0.35">
      <c r="A18" s="4"/>
      <c r="B18" s="12"/>
      <c r="C18" s="13"/>
      <c r="D18" s="13"/>
      <c r="E18" s="13"/>
      <c r="F18" s="165"/>
      <c r="G18" s="159"/>
      <c r="H18" s="54"/>
      <c r="I18" s="54"/>
      <c r="J18" s="13"/>
      <c r="K18" s="32"/>
      <c r="L18" s="14">
        <f t="shared" si="0"/>
        <v>0</v>
      </c>
      <c r="M18" s="31">
        <f t="shared" si="1"/>
        <v>0</v>
      </c>
      <c r="N18" s="15" t="str">
        <f>IF(Table2683246[[#This Row],[Fault Type]]="PM",IF(L18&lt;=(D18-C18),"Yes","No"),"")</f>
        <v/>
      </c>
      <c r="O18" s="16" t="str">
        <f t="shared" si="2"/>
        <v/>
      </c>
      <c r="P1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8" s="144"/>
    </row>
    <row r="19" spans="1:17" ht="15.5" x14ac:dyDescent="0.35">
      <c r="A19" s="4"/>
      <c r="B19" s="12"/>
      <c r="C19" s="13"/>
      <c r="D19" s="13"/>
      <c r="E19" s="13"/>
      <c r="F19" s="18"/>
      <c r="G19" s="159"/>
      <c r="H19" s="18"/>
      <c r="I19" s="18"/>
      <c r="J19" s="13"/>
      <c r="K19" s="32"/>
      <c r="L19" s="14">
        <f t="shared" si="0"/>
        <v>0</v>
      </c>
      <c r="M19" s="31">
        <f t="shared" si="1"/>
        <v>0</v>
      </c>
      <c r="N19" s="15" t="str">
        <f>IF(Table2683246[[#This Row],[Fault Type]]="PM",IF(L19&lt;=(D19-C19),"Yes","No"),"")</f>
        <v/>
      </c>
      <c r="O19" s="16" t="str">
        <f t="shared" si="2"/>
        <v/>
      </c>
      <c r="P1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19" s="144"/>
    </row>
    <row r="20" spans="1:17" ht="15.5" x14ac:dyDescent="0.35">
      <c r="A20" s="4"/>
      <c r="B20" s="12"/>
      <c r="C20" s="13"/>
      <c r="D20" s="13"/>
      <c r="E20" s="13"/>
      <c r="F20" s="18"/>
      <c r="G20" s="159"/>
      <c r="H20" s="18"/>
      <c r="I20" s="18"/>
      <c r="J20" s="13"/>
      <c r="K20" s="32"/>
      <c r="L20" s="14">
        <f t="shared" si="0"/>
        <v>0</v>
      </c>
      <c r="M20" s="31">
        <f t="shared" si="1"/>
        <v>0</v>
      </c>
      <c r="N20" s="15" t="str">
        <f>IF(Table2683246[[#This Row],[Fault Type]]="PM",IF(L20&lt;=(D20-C20),"Yes","No"),"")</f>
        <v/>
      </c>
      <c r="O20" s="16" t="str">
        <f t="shared" si="2"/>
        <v/>
      </c>
      <c r="P2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0" s="144"/>
    </row>
    <row r="21" spans="1:17" ht="15.5" x14ac:dyDescent="0.35">
      <c r="A21" s="4"/>
      <c r="B21" s="12"/>
      <c r="C21" s="13"/>
      <c r="D21" s="13"/>
      <c r="E21" s="13"/>
      <c r="F21" s="18"/>
      <c r="G21" s="159"/>
      <c r="H21" s="18"/>
      <c r="I21" s="18"/>
      <c r="J21" s="13"/>
      <c r="K21" s="32"/>
      <c r="L21" s="14">
        <f t="shared" si="0"/>
        <v>0</v>
      </c>
      <c r="M21" s="31">
        <f t="shared" si="1"/>
        <v>0</v>
      </c>
      <c r="N21" s="15" t="str">
        <f>IF(Table2683246[[#This Row],[Fault Type]]="PM",IF(L21&lt;=(D21-C21),"Yes","No"),"")</f>
        <v/>
      </c>
      <c r="O21" s="16" t="str">
        <f t="shared" si="2"/>
        <v/>
      </c>
      <c r="P2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1" s="119"/>
    </row>
    <row r="22" spans="1:17" ht="15.5" x14ac:dyDescent="0.35">
      <c r="A22" s="4"/>
      <c r="B22" s="12"/>
      <c r="C22" s="13"/>
      <c r="D22" s="13"/>
      <c r="E22" s="13"/>
      <c r="F22" s="18"/>
      <c r="G22" s="159"/>
      <c r="H22" s="18"/>
      <c r="I22" s="18"/>
      <c r="J22" s="13"/>
      <c r="K22" s="32"/>
      <c r="L22" s="14">
        <f t="shared" si="0"/>
        <v>0</v>
      </c>
      <c r="M22" s="31">
        <f t="shared" ref="M22:M76" si="3">L22*F22</f>
        <v>0</v>
      </c>
      <c r="N22" s="15" t="str">
        <f>IF(Table2683246[[#This Row],[Fault Type]]="PM",IF(L22&lt;=(D22-C22),"Yes","No"),"")</f>
        <v/>
      </c>
      <c r="O22" s="16" t="str">
        <f t="shared" si="2"/>
        <v/>
      </c>
      <c r="P2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2" s="119"/>
    </row>
    <row r="23" spans="1:17" ht="15.5" x14ac:dyDescent="0.35">
      <c r="A23" s="4"/>
      <c r="B23" s="12"/>
      <c r="C23" s="13"/>
      <c r="D23" s="13"/>
      <c r="E23" s="13"/>
      <c r="F23" s="18"/>
      <c r="G23" s="159"/>
      <c r="H23" s="18"/>
      <c r="I23" s="18"/>
      <c r="J23" s="13"/>
      <c r="K23" s="32"/>
      <c r="L23" s="14">
        <f t="shared" si="0"/>
        <v>0</v>
      </c>
      <c r="M23" s="31">
        <f t="shared" si="3"/>
        <v>0</v>
      </c>
      <c r="N23" s="15" t="str">
        <f>IF(Table2683246[[#This Row],[Fault Type]]="PM",IF(L23&lt;=(D23-C23),"Yes","No"),"")</f>
        <v/>
      </c>
      <c r="O23" s="16" t="str">
        <f t="shared" si="2"/>
        <v/>
      </c>
      <c r="P2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3" s="119"/>
    </row>
    <row r="24" spans="1:17" ht="15.5" x14ac:dyDescent="0.35">
      <c r="A24" s="4"/>
      <c r="B24" s="12"/>
      <c r="C24" s="13"/>
      <c r="D24" s="13"/>
      <c r="E24" s="13"/>
      <c r="F24" s="12"/>
      <c r="G24" s="159"/>
      <c r="H24" s="12"/>
      <c r="I24" s="12"/>
      <c r="J24" s="13"/>
      <c r="K24" s="32"/>
      <c r="L24" s="14">
        <f t="shared" si="0"/>
        <v>0</v>
      </c>
      <c r="M24" s="31">
        <f t="shared" si="3"/>
        <v>0</v>
      </c>
      <c r="N24" s="15" t="str">
        <f>IF(Table2683246[[#This Row],[Fault Type]]="PM",IF(L24&lt;=(D24-C24),"Yes","No"),"")</f>
        <v/>
      </c>
      <c r="O24" s="16" t="str">
        <f t="shared" si="2"/>
        <v/>
      </c>
      <c r="P2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4" s="119"/>
    </row>
    <row r="25" spans="1:17" ht="15.5" x14ac:dyDescent="0.35">
      <c r="A25" s="4"/>
      <c r="B25" s="12"/>
      <c r="C25" s="13"/>
      <c r="D25" s="13"/>
      <c r="E25" s="13"/>
      <c r="F25" s="18"/>
      <c r="G25" s="159"/>
      <c r="H25" s="18"/>
      <c r="I25" s="18"/>
      <c r="J25" s="13"/>
      <c r="K25" s="32"/>
      <c r="L25" s="14">
        <f t="shared" si="0"/>
        <v>0</v>
      </c>
      <c r="M25" s="31">
        <f t="shared" si="3"/>
        <v>0</v>
      </c>
      <c r="N25" s="15" t="str">
        <f>IF(Table2683246[[#This Row],[Fault Type]]="PM",IF(L25&lt;=(D25-C25),"Yes","No"),"")</f>
        <v/>
      </c>
      <c r="O25" s="16" t="str">
        <f t="shared" si="2"/>
        <v/>
      </c>
      <c r="P2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5" s="119"/>
    </row>
    <row r="26" spans="1:17" ht="15.5" x14ac:dyDescent="0.35">
      <c r="A26" s="4"/>
      <c r="B26" s="12"/>
      <c r="C26" s="13"/>
      <c r="D26" s="13"/>
      <c r="E26" s="13"/>
      <c r="F26" s="18"/>
      <c r="G26" s="159"/>
      <c r="H26" s="18"/>
      <c r="I26" s="18"/>
      <c r="J26" s="13"/>
      <c r="K26" s="32"/>
      <c r="L26" s="14">
        <f t="shared" si="0"/>
        <v>0</v>
      </c>
      <c r="M26" s="31">
        <f t="shared" si="3"/>
        <v>0</v>
      </c>
      <c r="N26" s="15" t="str">
        <f>IF(Table2683246[[#This Row],[Fault Type]]="PM",IF(L26&lt;=(D26-C26),"Yes","No"),"")</f>
        <v/>
      </c>
      <c r="O26" s="16" t="str">
        <f t="shared" si="2"/>
        <v/>
      </c>
      <c r="P2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6" s="119"/>
    </row>
    <row r="27" spans="1:17" ht="15.5" x14ac:dyDescent="0.35">
      <c r="A27" s="4"/>
      <c r="B27" s="12"/>
      <c r="C27" s="13"/>
      <c r="D27" s="13"/>
      <c r="E27" s="13"/>
      <c r="F27" s="12"/>
      <c r="G27" s="159"/>
      <c r="H27" s="12"/>
      <c r="I27" s="12"/>
      <c r="J27" s="13"/>
      <c r="K27" s="32"/>
      <c r="L27" s="14">
        <f t="shared" si="0"/>
        <v>0</v>
      </c>
      <c r="M27" s="31">
        <f t="shared" si="3"/>
        <v>0</v>
      </c>
      <c r="N27" s="15" t="str">
        <f>IF(Table2683246[[#This Row],[Fault Type]]="PM",IF(L27&lt;=(D27-C27),"Yes","No"),"")</f>
        <v/>
      </c>
      <c r="O27" s="16" t="str">
        <f t="shared" si="2"/>
        <v/>
      </c>
      <c r="P2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7" s="119"/>
    </row>
    <row r="28" spans="1:17" ht="15.5" x14ac:dyDescent="0.35">
      <c r="A28" s="4"/>
      <c r="B28" s="12"/>
      <c r="C28" s="13"/>
      <c r="D28" s="13"/>
      <c r="E28" s="13"/>
      <c r="F28" s="18"/>
      <c r="G28" s="159"/>
      <c r="H28" s="18"/>
      <c r="I28" s="18"/>
      <c r="J28" s="13"/>
      <c r="K28" s="32"/>
      <c r="L28" s="14">
        <f t="shared" si="0"/>
        <v>0</v>
      </c>
      <c r="M28" s="31">
        <f t="shared" si="3"/>
        <v>0</v>
      </c>
      <c r="N28" s="15" t="str">
        <f>IF(Table2683246[[#This Row],[Fault Type]]="PM",IF(L28&lt;=(D28-C28),"Yes","No"),"")</f>
        <v/>
      </c>
      <c r="O28" s="16" t="str">
        <f t="shared" si="2"/>
        <v/>
      </c>
      <c r="P2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8" s="119"/>
    </row>
    <row r="29" spans="1:17" ht="15.5" x14ac:dyDescent="0.35">
      <c r="A29" s="4"/>
      <c r="B29" s="12"/>
      <c r="C29" s="13"/>
      <c r="D29" s="13"/>
      <c r="E29" s="13"/>
      <c r="F29" s="18"/>
      <c r="G29" s="159"/>
      <c r="H29" s="18"/>
      <c r="I29" s="18"/>
      <c r="J29" s="13"/>
      <c r="K29" s="32"/>
      <c r="L29" s="14">
        <f t="shared" si="0"/>
        <v>0</v>
      </c>
      <c r="M29" s="31">
        <f t="shared" si="3"/>
        <v>0</v>
      </c>
      <c r="N29" s="15" t="str">
        <f>IF(Table2683246[[#This Row],[Fault Type]]="PM",IF(L29&lt;=(D29-C29),"Yes","No"),"")</f>
        <v/>
      </c>
      <c r="O29" s="16" t="str">
        <f t="shared" si="2"/>
        <v/>
      </c>
      <c r="P2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29" s="119"/>
    </row>
    <row r="30" spans="1:17" ht="15.5" x14ac:dyDescent="0.35">
      <c r="A30" s="4"/>
      <c r="B30" s="12"/>
      <c r="C30" s="13"/>
      <c r="D30" s="13"/>
      <c r="E30" s="13"/>
      <c r="F30" s="18"/>
      <c r="G30" s="159"/>
      <c r="H30" s="18"/>
      <c r="I30" s="18"/>
      <c r="J30" s="13"/>
      <c r="K30" s="32"/>
      <c r="L30" s="14">
        <f t="shared" si="0"/>
        <v>0</v>
      </c>
      <c r="M30" s="31">
        <f t="shared" si="3"/>
        <v>0</v>
      </c>
      <c r="N30" s="15" t="str">
        <f>IF(Table2683246[[#This Row],[Fault Type]]="PM",IF(L30&lt;=(D30-C30),"Yes","No"),"")</f>
        <v/>
      </c>
      <c r="O30" s="16" t="str">
        <f t="shared" si="2"/>
        <v/>
      </c>
      <c r="P3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0" s="119"/>
    </row>
    <row r="31" spans="1:17" ht="15.5" x14ac:dyDescent="0.35">
      <c r="A31" s="4"/>
      <c r="B31" s="12"/>
      <c r="C31" s="13"/>
      <c r="D31" s="13"/>
      <c r="E31" s="13"/>
      <c r="F31" s="18"/>
      <c r="G31" s="159"/>
      <c r="H31" s="18"/>
      <c r="I31" s="18"/>
      <c r="J31" s="13"/>
      <c r="K31" s="32"/>
      <c r="L31" s="14">
        <f t="shared" si="0"/>
        <v>0</v>
      </c>
      <c r="M31" s="31">
        <f t="shared" si="3"/>
        <v>0</v>
      </c>
      <c r="N31" s="15" t="str">
        <f>IF(Table2683246[[#This Row],[Fault Type]]="PM",IF(L31&lt;=(D31-C31),"Yes","No"),"")</f>
        <v/>
      </c>
      <c r="O31" s="16" t="str">
        <f t="shared" si="2"/>
        <v/>
      </c>
      <c r="P3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1" s="119"/>
    </row>
    <row r="32" spans="1:17" ht="15.5" x14ac:dyDescent="0.35">
      <c r="A32" s="4"/>
      <c r="B32" s="12"/>
      <c r="C32" s="13"/>
      <c r="D32" s="13"/>
      <c r="E32" s="13"/>
      <c r="F32" s="18"/>
      <c r="G32" s="159"/>
      <c r="H32" s="18"/>
      <c r="I32" s="18"/>
      <c r="J32" s="13"/>
      <c r="K32" s="32"/>
      <c r="L32" s="14">
        <f t="shared" si="0"/>
        <v>0</v>
      </c>
      <c r="M32" s="31">
        <f t="shared" si="3"/>
        <v>0</v>
      </c>
      <c r="N32" s="15" t="str">
        <f>IF(Table2683246[[#This Row],[Fault Type]]="PM",IF(L32&lt;=(D32-C32),"Yes","No"),"")</f>
        <v/>
      </c>
      <c r="O32" s="16" t="str">
        <f t="shared" si="2"/>
        <v/>
      </c>
      <c r="P3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2" s="119"/>
    </row>
    <row r="33" spans="1:17" ht="15.5" x14ac:dyDescent="0.35">
      <c r="A33" s="4"/>
      <c r="B33" s="12"/>
      <c r="C33" s="13"/>
      <c r="D33" s="13"/>
      <c r="E33" s="13"/>
      <c r="F33" s="18"/>
      <c r="G33" s="159"/>
      <c r="H33" s="18"/>
      <c r="I33" s="18"/>
      <c r="J33" s="13"/>
      <c r="K33" s="32"/>
      <c r="L33" s="14">
        <f t="shared" si="0"/>
        <v>0</v>
      </c>
      <c r="M33" s="31">
        <f t="shared" si="3"/>
        <v>0</v>
      </c>
      <c r="N33" s="15" t="str">
        <f>IF(Table2683246[[#This Row],[Fault Type]]="PM",IF(L33&lt;=(D33-C33),"Yes","No"),"")</f>
        <v/>
      </c>
      <c r="O33" s="16" t="str">
        <f t="shared" si="2"/>
        <v/>
      </c>
      <c r="P3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3" s="119"/>
    </row>
    <row r="34" spans="1:17" ht="15.5" x14ac:dyDescent="0.35">
      <c r="A34" s="4"/>
      <c r="B34" s="12"/>
      <c r="C34" s="13"/>
      <c r="D34" s="13"/>
      <c r="E34" s="13"/>
      <c r="F34" s="18"/>
      <c r="G34" s="159"/>
      <c r="H34" s="18"/>
      <c r="I34" s="18"/>
      <c r="J34" s="13"/>
      <c r="K34" s="32"/>
      <c r="L34" s="14">
        <f t="shared" si="0"/>
        <v>0</v>
      </c>
      <c r="M34" s="31">
        <f t="shared" si="3"/>
        <v>0</v>
      </c>
      <c r="N34" s="15" t="str">
        <f>IF(Table2683246[[#This Row],[Fault Type]]="PM",IF(L34&lt;=(D34-C34),"Yes","No"),"")</f>
        <v/>
      </c>
      <c r="O34" s="16" t="str">
        <f t="shared" si="2"/>
        <v/>
      </c>
      <c r="P3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4" s="119"/>
    </row>
    <row r="35" spans="1:17" ht="15.5" x14ac:dyDescent="0.35">
      <c r="A35" s="4"/>
      <c r="B35" s="12"/>
      <c r="C35" s="13"/>
      <c r="D35" s="13"/>
      <c r="E35" s="13"/>
      <c r="F35" s="18"/>
      <c r="G35" s="159"/>
      <c r="H35" s="18"/>
      <c r="I35" s="18"/>
      <c r="J35" s="13"/>
      <c r="K35" s="32"/>
      <c r="L35" s="14">
        <f t="shared" si="0"/>
        <v>0</v>
      </c>
      <c r="M35" s="31">
        <f t="shared" si="3"/>
        <v>0</v>
      </c>
      <c r="N35" s="15" t="str">
        <f>IF(Table2683246[[#This Row],[Fault Type]]="PM",IF(L35&lt;=(D35-C35),"Yes","No"),"")</f>
        <v/>
      </c>
      <c r="O35" s="16" t="str">
        <f t="shared" si="2"/>
        <v/>
      </c>
      <c r="P3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5" s="119"/>
    </row>
    <row r="36" spans="1:17" ht="15.5" x14ac:dyDescent="0.35">
      <c r="A36" s="4"/>
      <c r="B36" s="12"/>
      <c r="C36" s="13"/>
      <c r="D36" s="13"/>
      <c r="E36" s="13"/>
      <c r="F36" s="18"/>
      <c r="G36" s="159"/>
      <c r="H36" s="18"/>
      <c r="I36" s="18"/>
      <c r="J36" s="13"/>
      <c r="K36" s="32"/>
      <c r="L36" s="14">
        <f t="shared" si="0"/>
        <v>0</v>
      </c>
      <c r="M36" s="31">
        <f t="shared" si="3"/>
        <v>0</v>
      </c>
      <c r="N36" s="15" t="str">
        <f>IF(Table2683246[[#This Row],[Fault Type]]="PM",IF(L36&lt;=(D36-C36),"Yes","No"),"")</f>
        <v/>
      </c>
      <c r="O36" s="16" t="str">
        <f t="shared" si="2"/>
        <v/>
      </c>
      <c r="P3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6" s="119"/>
    </row>
    <row r="37" spans="1:17" ht="15.5" x14ac:dyDescent="0.35">
      <c r="A37" s="4"/>
      <c r="B37" s="12"/>
      <c r="C37" s="13"/>
      <c r="D37" s="13"/>
      <c r="E37" s="13"/>
      <c r="F37" s="18"/>
      <c r="G37" s="159"/>
      <c r="H37" s="18"/>
      <c r="I37" s="18"/>
      <c r="J37" s="13"/>
      <c r="K37" s="32"/>
      <c r="L37" s="14">
        <f t="shared" si="0"/>
        <v>0</v>
      </c>
      <c r="M37" s="31">
        <f t="shared" si="3"/>
        <v>0</v>
      </c>
      <c r="N37" s="15" t="str">
        <f>IF(Table2683246[[#This Row],[Fault Type]]="PM",IF(L37&lt;=(D37-C37),"Yes","No"),"")</f>
        <v/>
      </c>
      <c r="O37" s="16" t="str">
        <f t="shared" si="2"/>
        <v/>
      </c>
      <c r="P3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7" s="119"/>
    </row>
    <row r="38" spans="1:17" ht="15.5" x14ac:dyDescent="0.35">
      <c r="A38" s="4"/>
      <c r="B38" s="12"/>
      <c r="C38" s="13"/>
      <c r="D38" s="13"/>
      <c r="E38" s="13"/>
      <c r="F38" s="18"/>
      <c r="G38" s="159"/>
      <c r="H38" s="18"/>
      <c r="I38" s="18"/>
      <c r="J38" s="13"/>
      <c r="K38" s="32"/>
      <c r="L38" s="14">
        <f t="shared" si="0"/>
        <v>0</v>
      </c>
      <c r="M38" s="31">
        <f t="shared" si="3"/>
        <v>0</v>
      </c>
      <c r="N38" s="15" t="str">
        <f>IF(Table2683246[[#This Row],[Fault Type]]="PM",IF(L38&lt;=(D38-C38),"Yes","No"),"")</f>
        <v/>
      </c>
      <c r="O38" s="16" t="str">
        <f t="shared" si="2"/>
        <v/>
      </c>
      <c r="P3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8" s="119"/>
    </row>
    <row r="39" spans="1:17" ht="15.5" x14ac:dyDescent="0.35">
      <c r="A39" s="4"/>
      <c r="B39" s="12"/>
      <c r="C39" s="13"/>
      <c r="D39" s="13"/>
      <c r="E39" s="13"/>
      <c r="F39" s="18"/>
      <c r="G39" s="159"/>
      <c r="H39" s="18"/>
      <c r="I39" s="18"/>
      <c r="J39" s="13"/>
      <c r="K39" s="32"/>
      <c r="L39" s="14">
        <f t="shared" si="0"/>
        <v>0</v>
      </c>
      <c r="M39" s="31">
        <f t="shared" si="3"/>
        <v>0</v>
      </c>
      <c r="N39" s="15" t="str">
        <f>IF(Table2683246[[#This Row],[Fault Type]]="PM",IF(L39&lt;=(D39-C39),"Yes","No"),"")</f>
        <v/>
      </c>
      <c r="O39" s="16" t="str">
        <f t="shared" si="2"/>
        <v/>
      </c>
      <c r="P3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IF(Table2683246[[#This Row],[Fault Type]]="PM",IF(L40&lt;=(D40-C40),"Yes","No"),"")</f>
        <v/>
      </c>
      <c r="O40" s="16" t="str">
        <f t="shared" si="2"/>
        <v/>
      </c>
      <c r="P4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IF(Table2683246[[#This Row],[Fault Type]]="PM",IF(L41&lt;=(D41-C41),"Yes","No"),"")</f>
        <v/>
      </c>
      <c r="O41" s="16" t="str">
        <f t="shared" si="2"/>
        <v/>
      </c>
      <c r="P4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1" s="17"/>
    </row>
    <row r="42" spans="1:17" ht="15.75" customHeight="1" x14ac:dyDescent="0.35">
      <c r="A42" s="4"/>
      <c r="B42" s="12"/>
      <c r="C42" s="13"/>
      <c r="D42" s="13"/>
      <c r="E42" s="13"/>
      <c r="F42" s="12"/>
      <c r="G42" s="159"/>
      <c r="H42" s="12"/>
      <c r="I42" s="12"/>
      <c r="J42" s="118"/>
      <c r="K42" s="32"/>
      <c r="L42" s="14">
        <f t="shared" si="0"/>
        <v>0</v>
      </c>
      <c r="M42" s="31">
        <f t="shared" si="3"/>
        <v>0</v>
      </c>
      <c r="N42" s="15" t="str">
        <f>IF(Table2683246[[#This Row],[Fault Type]]="PM",IF(L42&lt;=(D42-C42),"Yes","No"),"")</f>
        <v/>
      </c>
      <c r="O42" s="16" t="str">
        <f t="shared" si="2"/>
        <v/>
      </c>
      <c r="P4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2" s="17"/>
    </row>
    <row r="43" spans="1:17" ht="15.5" x14ac:dyDescent="0.35">
      <c r="A43" s="4"/>
      <c r="B43" s="12"/>
      <c r="C43" s="13"/>
      <c r="D43" s="13"/>
      <c r="E43" s="13"/>
      <c r="F43" s="18"/>
      <c r="G43" s="159"/>
      <c r="H43" s="18"/>
      <c r="I43" s="18"/>
      <c r="J43" s="13"/>
      <c r="K43" s="32"/>
      <c r="L43" s="14">
        <f t="shared" si="0"/>
        <v>0</v>
      </c>
      <c r="M43" s="31">
        <f t="shared" si="3"/>
        <v>0</v>
      </c>
      <c r="N43" s="15" t="str">
        <f>IF(Table2683246[[#This Row],[Fault Type]]="PM",IF(L43&lt;=(D43-C43),"Yes","No"),"")</f>
        <v/>
      </c>
      <c r="O43" s="16" t="str">
        <f t="shared" si="2"/>
        <v/>
      </c>
      <c r="P4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3" s="17"/>
    </row>
    <row r="44" spans="1:17" ht="15.5" x14ac:dyDescent="0.35">
      <c r="A44" s="4"/>
      <c r="B44" s="49"/>
      <c r="C44" s="49"/>
      <c r="D44" s="49"/>
      <c r="E44" s="13"/>
      <c r="F44" s="64"/>
      <c r="G44" s="159"/>
      <c r="H44" s="54"/>
      <c r="I44" s="54"/>
      <c r="J44" s="13"/>
      <c r="K44" s="32"/>
      <c r="L44" s="14">
        <f t="shared" si="0"/>
        <v>0</v>
      </c>
      <c r="M44" s="53">
        <f t="shared" si="3"/>
        <v>0</v>
      </c>
      <c r="N44" s="50" t="str">
        <f>IF(Table2683246[[#This Row],[Fault Type]]="PM",IF(L44&lt;=(D44-C44),"Yes","No"),"")</f>
        <v/>
      </c>
      <c r="O44" s="51" t="str">
        <f t="shared" si="2"/>
        <v/>
      </c>
      <c r="P4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row>
    <row r="45" spans="1:17" ht="15.5" x14ac:dyDescent="0.35">
      <c r="A45" s="58"/>
      <c r="B45" s="55"/>
      <c r="C45" s="56"/>
      <c r="D45" s="56"/>
      <c r="E45" s="13"/>
      <c r="F45" s="55"/>
      <c r="G45" s="159"/>
      <c r="H45" s="57"/>
      <c r="I45" s="18"/>
      <c r="J45" s="13"/>
      <c r="K45" s="32"/>
      <c r="L45" s="14">
        <f t="shared" si="0"/>
        <v>0</v>
      </c>
      <c r="M45" s="59">
        <f t="shared" si="3"/>
        <v>0</v>
      </c>
      <c r="N45" s="61" t="str">
        <f>IF(Table2683246[[#This Row],[Fault Type]]="PM",IF(L45&lt;=(D45-C45),"Yes","No"),"")</f>
        <v/>
      </c>
      <c r="O45" s="62" t="str">
        <f t="shared" si="2"/>
        <v/>
      </c>
      <c r="P4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5" s="63"/>
    </row>
    <row r="46" spans="1:17" ht="15.5" x14ac:dyDescent="0.35">
      <c r="A46" s="58"/>
      <c r="B46" s="55"/>
      <c r="C46" s="56"/>
      <c r="D46" s="56"/>
      <c r="E46" s="13"/>
      <c r="F46" s="55"/>
      <c r="G46" s="159"/>
      <c r="H46" s="57"/>
      <c r="I46" s="18"/>
      <c r="J46" s="13"/>
      <c r="K46" s="32"/>
      <c r="L46" s="14">
        <f t="shared" si="0"/>
        <v>0</v>
      </c>
      <c r="M46" s="59">
        <f t="shared" si="3"/>
        <v>0</v>
      </c>
      <c r="N46" s="61" t="str">
        <f>IF(Table2683246[[#This Row],[Fault Type]]="PM",IF(L46&lt;=(D46-C46),"Yes","No"),"")</f>
        <v/>
      </c>
      <c r="O46" s="62" t="str">
        <f t="shared" si="2"/>
        <v/>
      </c>
      <c r="P4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6" s="63"/>
    </row>
    <row r="47" spans="1:17" ht="15.5" x14ac:dyDescent="0.35">
      <c r="A47" s="58"/>
      <c r="B47" s="55"/>
      <c r="C47" s="56"/>
      <c r="D47" s="56"/>
      <c r="E47" s="13"/>
      <c r="F47" s="55"/>
      <c r="G47" s="159"/>
      <c r="H47" s="57"/>
      <c r="I47" s="18"/>
      <c r="J47" s="13"/>
      <c r="K47" s="32"/>
      <c r="L47" s="14">
        <f t="shared" si="0"/>
        <v>0</v>
      </c>
      <c r="M47" s="59">
        <f t="shared" si="3"/>
        <v>0</v>
      </c>
      <c r="N47" s="61" t="str">
        <f>IF(Table2683246[[#This Row],[Fault Type]]="PM",IF(L47&lt;=(D47-C47),"Yes","No"),"")</f>
        <v/>
      </c>
      <c r="O47" s="62" t="str">
        <f t="shared" si="2"/>
        <v/>
      </c>
      <c r="P4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7" s="63"/>
    </row>
    <row r="48" spans="1:17" ht="15.5" x14ac:dyDescent="0.35">
      <c r="A48" s="58"/>
      <c r="B48" s="55"/>
      <c r="C48" s="56"/>
      <c r="D48" s="56"/>
      <c r="E48" s="13"/>
      <c r="F48" s="55"/>
      <c r="G48" s="159"/>
      <c r="H48" s="57"/>
      <c r="I48" s="18"/>
      <c r="J48" s="13"/>
      <c r="K48" s="83"/>
      <c r="L48" s="14">
        <f t="shared" si="0"/>
        <v>0</v>
      </c>
      <c r="M48" s="59">
        <f t="shared" si="3"/>
        <v>0</v>
      </c>
      <c r="N48" s="61" t="str">
        <f>IF(Table2683246[[#This Row],[Fault Type]]="PM",IF(L48&lt;=(D48-C48),"Yes","No"),"")</f>
        <v/>
      </c>
      <c r="O48" s="62" t="str">
        <f t="shared" si="2"/>
        <v/>
      </c>
      <c r="P4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8" s="63"/>
    </row>
    <row r="49" spans="1:17" ht="15.5" x14ac:dyDescent="0.35">
      <c r="A49" s="58"/>
      <c r="B49" s="55"/>
      <c r="C49" s="56"/>
      <c r="D49" s="56"/>
      <c r="E49" s="13"/>
      <c r="F49" s="55"/>
      <c r="G49" s="159"/>
      <c r="H49" s="57"/>
      <c r="I49" s="18"/>
      <c r="J49" s="13"/>
      <c r="K49" s="83"/>
      <c r="L49" s="14">
        <f t="shared" si="0"/>
        <v>0</v>
      </c>
      <c r="M49" s="59">
        <f t="shared" si="3"/>
        <v>0</v>
      </c>
      <c r="N49" s="61" t="str">
        <f>IF(Table2683246[[#This Row],[Fault Type]]="PM",IF(L49&lt;=(D49-C49),"Yes","No"),"")</f>
        <v/>
      </c>
      <c r="O49" s="62" t="str">
        <f t="shared" si="2"/>
        <v/>
      </c>
      <c r="P4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49" s="63"/>
    </row>
    <row r="50" spans="1:17" ht="15.5" x14ac:dyDescent="0.35">
      <c r="A50" s="58"/>
      <c r="B50" s="55"/>
      <c r="C50" s="56"/>
      <c r="D50" s="56"/>
      <c r="E50" s="13"/>
      <c r="F50" s="55"/>
      <c r="G50" s="159"/>
      <c r="H50" s="57"/>
      <c r="I50" s="18"/>
      <c r="J50" s="13"/>
      <c r="K50" s="83"/>
      <c r="L50" s="14">
        <f t="shared" si="0"/>
        <v>0</v>
      </c>
      <c r="M50" s="59">
        <f t="shared" si="3"/>
        <v>0</v>
      </c>
      <c r="N50" s="61" t="str">
        <f>IF(Table2683246[[#This Row],[Fault Type]]="PM",IF(L50&lt;=(D50-C50),"Yes","No"),"")</f>
        <v/>
      </c>
      <c r="O50" s="62" t="str">
        <f t="shared" si="2"/>
        <v/>
      </c>
      <c r="P5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0" s="63"/>
    </row>
    <row r="51" spans="1:17" ht="15.5" x14ac:dyDescent="0.35">
      <c r="A51" s="58"/>
      <c r="B51" s="55"/>
      <c r="C51" s="56"/>
      <c r="D51" s="56"/>
      <c r="E51" s="13"/>
      <c r="F51" s="55"/>
      <c r="G51" s="159"/>
      <c r="H51" s="57"/>
      <c r="I51" s="18"/>
      <c r="J51" s="13"/>
      <c r="K51" s="83"/>
      <c r="L51" s="14">
        <f t="shared" si="0"/>
        <v>0</v>
      </c>
      <c r="M51" s="59">
        <f t="shared" si="3"/>
        <v>0</v>
      </c>
      <c r="N51" s="61" t="str">
        <f>IF(Table2683246[[#This Row],[Fault Type]]="PM",IF(L51&lt;=(D51-C51),"Yes","No"),"")</f>
        <v/>
      </c>
      <c r="O51" s="62" t="str">
        <f t="shared" si="2"/>
        <v/>
      </c>
      <c r="P5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1" s="63"/>
    </row>
    <row r="52" spans="1:17" ht="15.5" x14ac:dyDescent="0.35">
      <c r="A52" s="58"/>
      <c r="B52" s="55"/>
      <c r="C52" s="56"/>
      <c r="D52" s="56"/>
      <c r="E52" s="13"/>
      <c r="F52" s="55"/>
      <c r="G52" s="159"/>
      <c r="H52" s="57"/>
      <c r="I52" s="18"/>
      <c r="J52" s="13"/>
      <c r="K52" s="83"/>
      <c r="L52" s="14">
        <f t="shared" si="0"/>
        <v>0</v>
      </c>
      <c r="M52" s="59">
        <f t="shared" si="3"/>
        <v>0</v>
      </c>
      <c r="N52" s="61" t="str">
        <f>IF(Table2683246[[#This Row],[Fault Type]]="PM",IF(L52&lt;=(D52-C52),"Yes","No"),"")</f>
        <v/>
      </c>
      <c r="O52" s="62" t="str">
        <f t="shared" si="2"/>
        <v/>
      </c>
      <c r="P5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2" s="63"/>
    </row>
    <row r="53" spans="1:17" ht="15.5" x14ac:dyDescent="0.35">
      <c r="A53" s="58"/>
      <c r="B53" s="55"/>
      <c r="C53" s="56"/>
      <c r="D53" s="56"/>
      <c r="E53" s="13"/>
      <c r="F53" s="55"/>
      <c r="G53" s="159"/>
      <c r="H53" s="57"/>
      <c r="I53" s="18"/>
      <c r="J53" s="13"/>
      <c r="K53" s="83"/>
      <c r="L53" s="14">
        <f t="shared" si="0"/>
        <v>0</v>
      </c>
      <c r="M53" s="59">
        <f t="shared" si="3"/>
        <v>0</v>
      </c>
      <c r="N53" s="61" t="str">
        <f>IF(Table2683246[[#This Row],[Fault Type]]="PM",IF(L53&lt;=(D53-C53),"Yes","No"),"")</f>
        <v/>
      </c>
      <c r="O53" s="62" t="str">
        <f t="shared" si="2"/>
        <v/>
      </c>
      <c r="P5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3" s="63"/>
    </row>
    <row r="54" spans="1:17" ht="15.5" x14ac:dyDescent="0.35">
      <c r="A54" s="58"/>
      <c r="B54" s="55"/>
      <c r="C54" s="56"/>
      <c r="D54" s="56"/>
      <c r="E54" s="13"/>
      <c r="F54" s="55"/>
      <c r="G54" s="159"/>
      <c r="H54" s="57"/>
      <c r="I54" s="18"/>
      <c r="J54" s="13"/>
      <c r="K54" s="83"/>
      <c r="L54" s="14">
        <f t="shared" si="0"/>
        <v>0</v>
      </c>
      <c r="M54" s="59">
        <f t="shared" si="3"/>
        <v>0</v>
      </c>
      <c r="N54" s="61" t="str">
        <f>IF(Table2683246[[#This Row],[Fault Type]]="PM",IF(L54&lt;=(D54-C54),"Yes","No"),"")</f>
        <v/>
      </c>
      <c r="O54" s="62" t="str">
        <f t="shared" si="2"/>
        <v/>
      </c>
      <c r="P5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4" s="63"/>
    </row>
    <row r="55" spans="1:17" ht="15.5" x14ac:dyDescent="0.35">
      <c r="A55" s="58"/>
      <c r="B55" s="55"/>
      <c r="C55" s="56"/>
      <c r="D55" s="56"/>
      <c r="E55" s="13"/>
      <c r="F55" s="55"/>
      <c r="G55" s="159"/>
      <c r="H55" s="57"/>
      <c r="I55" s="18"/>
      <c r="J55" s="13"/>
      <c r="K55" s="83"/>
      <c r="L55" s="14">
        <f t="shared" si="0"/>
        <v>0</v>
      </c>
      <c r="M55" s="59">
        <f t="shared" si="3"/>
        <v>0</v>
      </c>
      <c r="N55" s="61" t="str">
        <f>IF(Table2683246[[#This Row],[Fault Type]]="PM",IF(L55&lt;=(D55-C55),"Yes","No"),"")</f>
        <v/>
      </c>
      <c r="O55" s="62" t="str">
        <f t="shared" si="2"/>
        <v/>
      </c>
      <c r="P5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5" s="63"/>
    </row>
    <row r="56" spans="1:17" ht="15.5" x14ac:dyDescent="0.35">
      <c r="A56" s="58"/>
      <c r="B56" s="55"/>
      <c r="C56" s="56"/>
      <c r="D56" s="56"/>
      <c r="E56" s="13"/>
      <c r="F56" s="55"/>
      <c r="G56" s="159"/>
      <c r="H56" s="57"/>
      <c r="I56" s="18"/>
      <c r="J56" s="13"/>
      <c r="K56" s="83"/>
      <c r="L56" s="14">
        <f t="shared" si="0"/>
        <v>0</v>
      </c>
      <c r="M56" s="59">
        <f t="shared" si="3"/>
        <v>0</v>
      </c>
      <c r="N56" s="61" t="str">
        <f>IF(Table2683246[[#This Row],[Fault Type]]="PM",IF(L56&lt;=(D56-C56),"Yes","No"),"")</f>
        <v/>
      </c>
      <c r="O56" s="62" t="str">
        <f t="shared" si="2"/>
        <v/>
      </c>
      <c r="P5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61" t="str">
        <f>IF(Table2683246[[#This Row],[Fault Type]]="PM",IF(L57&lt;=(D57-C57),"Yes","No"),"")</f>
        <v/>
      </c>
      <c r="O57" s="62" t="str">
        <f t="shared" si="2"/>
        <v/>
      </c>
      <c r="P5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61" t="str">
        <f>IF(Table2683246[[#This Row],[Fault Type]]="PM",IF(L58&lt;=(D58-C58),"Yes","No"),"")</f>
        <v/>
      </c>
      <c r="O58" s="62" t="str">
        <f t="shared" si="2"/>
        <v/>
      </c>
      <c r="P5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61" t="str">
        <f>IF(Table2683246[[#This Row],[Fault Type]]="PM",IF(L59&lt;=(D59-C59),"Yes","No"),"")</f>
        <v/>
      </c>
      <c r="O59" s="62" t="str">
        <f t="shared" si="2"/>
        <v/>
      </c>
      <c r="P5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59" s="63"/>
    </row>
    <row r="60" spans="1:17" ht="15.5" x14ac:dyDescent="0.35">
      <c r="A60" s="58"/>
      <c r="B60" s="55"/>
      <c r="C60" s="56"/>
      <c r="D60" s="56"/>
      <c r="E60" s="13"/>
      <c r="F60" s="55"/>
      <c r="G60" s="159"/>
      <c r="H60" s="57"/>
      <c r="I60" s="18"/>
      <c r="J60" s="13"/>
      <c r="K60" s="83"/>
      <c r="L60" s="14">
        <f t="shared" si="0"/>
        <v>0</v>
      </c>
      <c r="M60" s="59">
        <f t="shared" si="3"/>
        <v>0</v>
      </c>
      <c r="N60" s="61" t="str">
        <f>IF(Table2683246[[#This Row],[Fault Type]]="PM",IF(L60&lt;=(D60-C60),"Yes","No"),"")</f>
        <v/>
      </c>
      <c r="O60" s="62" t="str">
        <f t="shared" si="2"/>
        <v/>
      </c>
      <c r="P6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0" s="63"/>
    </row>
    <row r="61" spans="1:17" ht="15.5" x14ac:dyDescent="0.35">
      <c r="A61" s="58"/>
      <c r="B61" s="55"/>
      <c r="C61" s="56"/>
      <c r="D61" s="56"/>
      <c r="E61" s="13"/>
      <c r="F61" s="55"/>
      <c r="G61" s="159"/>
      <c r="H61" s="57"/>
      <c r="I61" s="18"/>
      <c r="J61" s="13"/>
      <c r="K61" s="83"/>
      <c r="L61" s="14">
        <f t="shared" si="0"/>
        <v>0</v>
      </c>
      <c r="M61" s="59">
        <f t="shared" si="3"/>
        <v>0</v>
      </c>
      <c r="N61" s="61" t="str">
        <f>IF(Table2683246[[#This Row],[Fault Type]]="PM",IF(L61&lt;=(D61-C61),"Yes","No"),"")</f>
        <v/>
      </c>
      <c r="O61" s="62" t="str">
        <f t="shared" si="2"/>
        <v/>
      </c>
      <c r="P6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1" s="63"/>
    </row>
    <row r="62" spans="1:17" ht="15.5" x14ac:dyDescent="0.35">
      <c r="A62" s="58"/>
      <c r="B62" s="55"/>
      <c r="C62" s="56"/>
      <c r="D62" s="56"/>
      <c r="E62" s="13"/>
      <c r="F62" s="55"/>
      <c r="G62" s="159"/>
      <c r="H62" s="57"/>
      <c r="I62" s="18"/>
      <c r="J62" s="13"/>
      <c r="K62" s="83"/>
      <c r="L62" s="14">
        <f t="shared" si="0"/>
        <v>0</v>
      </c>
      <c r="M62" s="59">
        <f t="shared" si="3"/>
        <v>0</v>
      </c>
      <c r="N62" s="61" t="str">
        <f>IF(Table2683246[[#This Row],[Fault Type]]="PM",IF(L62&lt;=(D62-C62),"Yes","No"),"")</f>
        <v/>
      </c>
      <c r="O62" s="62" t="str">
        <f t="shared" si="2"/>
        <v/>
      </c>
      <c r="P6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2" s="63"/>
    </row>
    <row r="63" spans="1:17" ht="15.5" x14ac:dyDescent="0.35">
      <c r="A63" s="58"/>
      <c r="B63" s="55"/>
      <c r="C63" s="56"/>
      <c r="D63" s="56"/>
      <c r="E63" s="13"/>
      <c r="F63" s="55"/>
      <c r="G63" s="159"/>
      <c r="H63" s="57"/>
      <c r="I63" s="18"/>
      <c r="J63" s="13"/>
      <c r="K63" s="83"/>
      <c r="L63" s="14">
        <f t="shared" ref="L63:L76" si="4">J63-E63</f>
        <v>0</v>
      </c>
      <c r="M63" s="59">
        <f t="shared" si="3"/>
        <v>0</v>
      </c>
      <c r="N63" s="61" t="str">
        <f>IF(Table2683246[[#This Row],[Fault Type]]="PM",IF(L63&lt;=(D63-C63),"Yes","No"),"")</f>
        <v/>
      </c>
      <c r="O63" s="62" t="str">
        <f t="shared" ref="O63:O76" si="5">IF(N63="No",(L63-(D63-C63)),"")</f>
        <v/>
      </c>
      <c r="P6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3" s="63"/>
    </row>
    <row r="64" spans="1:17" ht="15.5" x14ac:dyDescent="0.35">
      <c r="A64" s="58"/>
      <c r="B64" s="55"/>
      <c r="C64" s="56"/>
      <c r="D64" s="56"/>
      <c r="E64" s="13"/>
      <c r="F64" s="55"/>
      <c r="G64" s="159"/>
      <c r="H64" s="57"/>
      <c r="I64" s="18"/>
      <c r="J64" s="13"/>
      <c r="K64" s="83"/>
      <c r="L64" s="14">
        <f t="shared" si="4"/>
        <v>0</v>
      </c>
      <c r="M64" s="59">
        <f t="shared" si="3"/>
        <v>0</v>
      </c>
      <c r="N64" s="61" t="str">
        <f>IF(Table2683246[[#This Row],[Fault Type]]="PM",IF(L64&lt;=(D64-C64),"Yes","No"),"")</f>
        <v/>
      </c>
      <c r="O64" s="62" t="str">
        <f t="shared" si="5"/>
        <v/>
      </c>
      <c r="P6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4" s="63"/>
    </row>
    <row r="65" spans="1:17" ht="15.5" x14ac:dyDescent="0.35">
      <c r="A65" s="58"/>
      <c r="B65" s="55"/>
      <c r="C65" s="56"/>
      <c r="D65" s="56"/>
      <c r="E65" s="13"/>
      <c r="F65" s="55"/>
      <c r="G65" s="159"/>
      <c r="H65" s="57"/>
      <c r="I65" s="18"/>
      <c r="J65" s="13"/>
      <c r="K65" s="83"/>
      <c r="L65" s="14">
        <f t="shared" si="4"/>
        <v>0</v>
      </c>
      <c r="M65" s="59">
        <f t="shared" si="3"/>
        <v>0</v>
      </c>
      <c r="N65" s="61" t="str">
        <f>IF(Table2683246[[#This Row],[Fault Type]]="PM",IF(L65&lt;=(D65-C65),"Yes","No"),"")</f>
        <v/>
      </c>
      <c r="O65" s="62" t="str">
        <f t="shared" si="5"/>
        <v/>
      </c>
      <c r="P6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5" s="63"/>
    </row>
    <row r="66" spans="1:17" ht="15.5" x14ac:dyDescent="0.35">
      <c r="A66" s="58"/>
      <c r="B66" s="55"/>
      <c r="C66" s="56"/>
      <c r="D66" s="56"/>
      <c r="E66" s="13"/>
      <c r="F66" s="55"/>
      <c r="G66" s="159"/>
      <c r="H66" s="57"/>
      <c r="I66" s="18"/>
      <c r="J66" s="13"/>
      <c r="K66" s="83"/>
      <c r="L66" s="14">
        <f t="shared" si="4"/>
        <v>0</v>
      </c>
      <c r="M66" s="59">
        <f t="shared" si="3"/>
        <v>0</v>
      </c>
      <c r="N66" s="61" t="str">
        <f>IF(Table2683246[[#This Row],[Fault Type]]="PM",IF(L66&lt;=(D66-C66),"Yes","No"),"")</f>
        <v/>
      </c>
      <c r="O66" s="62" t="str">
        <f t="shared" si="5"/>
        <v/>
      </c>
      <c r="P6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6" s="63"/>
    </row>
    <row r="67" spans="1:17" ht="15.5" x14ac:dyDescent="0.35">
      <c r="A67" s="58"/>
      <c r="B67" s="55"/>
      <c r="C67" s="56"/>
      <c r="D67" s="56"/>
      <c r="E67" s="13"/>
      <c r="F67" s="55"/>
      <c r="G67" s="159"/>
      <c r="H67" s="57"/>
      <c r="I67" s="18"/>
      <c r="J67" s="13"/>
      <c r="K67" s="83"/>
      <c r="L67" s="14">
        <f t="shared" si="4"/>
        <v>0</v>
      </c>
      <c r="M67" s="59">
        <f t="shared" si="3"/>
        <v>0</v>
      </c>
      <c r="N67" s="61" t="str">
        <f>IF(Table2683246[[#This Row],[Fault Type]]="PM",IF(L67&lt;=(D67-C67),"Yes","No"),"")</f>
        <v/>
      </c>
      <c r="O67" s="62" t="str">
        <f t="shared" si="5"/>
        <v/>
      </c>
      <c r="P67"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7" s="63"/>
    </row>
    <row r="68" spans="1:17" ht="15.5" x14ac:dyDescent="0.35">
      <c r="A68" s="58"/>
      <c r="B68" s="55"/>
      <c r="C68" s="56"/>
      <c r="D68" s="56"/>
      <c r="E68" s="13"/>
      <c r="F68" s="55"/>
      <c r="G68" s="159"/>
      <c r="H68" s="57"/>
      <c r="I68" s="18"/>
      <c r="J68" s="13"/>
      <c r="K68" s="83"/>
      <c r="L68" s="14">
        <f t="shared" si="4"/>
        <v>0</v>
      </c>
      <c r="M68" s="59">
        <f t="shared" si="3"/>
        <v>0</v>
      </c>
      <c r="N68" s="61" t="str">
        <f>IF(Table2683246[[#This Row],[Fault Type]]="PM",IF(L68&lt;=(D68-C68),"Yes","No"),"")</f>
        <v/>
      </c>
      <c r="O68" s="62" t="str">
        <f t="shared" si="5"/>
        <v/>
      </c>
      <c r="P68"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8" s="63"/>
    </row>
    <row r="69" spans="1:17" ht="15.5" x14ac:dyDescent="0.35">
      <c r="A69" s="58"/>
      <c r="B69" s="55"/>
      <c r="C69" s="56"/>
      <c r="D69" s="56"/>
      <c r="E69" s="13"/>
      <c r="F69" s="55"/>
      <c r="G69" s="159"/>
      <c r="H69" s="57"/>
      <c r="I69" s="18"/>
      <c r="J69" s="13"/>
      <c r="K69" s="83"/>
      <c r="L69" s="14">
        <f t="shared" si="4"/>
        <v>0</v>
      </c>
      <c r="M69" s="59">
        <f t="shared" si="3"/>
        <v>0</v>
      </c>
      <c r="N69" s="61" t="str">
        <f>IF(Table2683246[[#This Row],[Fault Type]]="PM",IF(L69&lt;=(D69-C69),"Yes","No"),"")</f>
        <v/>
      </c>
      <c r="O69" s="62" t="str">
        <f t="shared" si="5"/>
        <v/>
      </c>
      <c r="P69"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69" s="63"/>
    </row>
    <row r="70" spans="1:17" ht="15.5" x14ac:dyDescent="0.35">
      <c r="A70" s="58"/>
      <c r="B70" s="55"/>
      <c r="C70" s="56"/>
      <c r="D70" s="56"/>
      <c r="E70" s="13"/>
      <c r="F70" s="55"/>
      <c r="G70" s="159"/>
      <c r="H70" s="57"/>
      <c r="I70" s="18"/>
      <c r="J70" s="13"/>
      <c r="K70" s="83"/>
      <c r="L70" s="14">
        <f t="shared" si="4"/>
        <v>0</v>
      </c>
      <c r="M70" s="59">
        <f t="shared" si="3"/>
        <v>0</v>
      </c>
      <c r="N70" s="61" t="str">
        <f>IF(Table2683246[[#This Row],[Fault Type]]="PM",IF(L70&lt;=(D70-C70),"Yes","No"),"")</f>
        <v/>
      </c>
      <c r="O70" s="62" t="str">
        <f t="shared" si="5"/>
        <v/>
      </c>
      <c r="P70"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0" s="63"/>
    </row>
    <row r="71" spans="1:17" ht="15.5" x14ac:dyDescent="0.35">
      <c r="A71" s="58"/>
      <c r="B71" s="55"/>
      <c r="C71" s="56"/>
      <c r="D71" s="56"/>
      <c r="E71" s="13"/>
      <c r="F71" s="55"/>
      <c r="G71" s="159"/>
      <c r="H71" s="57"/>
      <c r="I71" s="18"/>
      <c r="J71" s="13"/>
      <c r="K71" s="83"/>
      <c r="L71" s="14">
        <f t="shared" si="4"/>
        <v>0</v>
      </c>
      <c r="M71" s="59">
        <f t="shared" si="3"/>
        <v>0</v>
      </c>
      <c r="N71" s="61" t="str">
        <f>IF(Table2683246[[#This Row],[Fault Type]]="PM",IF(L71&lt;=(D71-C71),"Yes","No"),"")</f>
        <v/>
      </c>
      <c r="O71" s="62" t="str">
        <f t="shared" si="5"/>
        <v/>
      </c>
      <c r="P71"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1" s="63"/>
    </row>
    <row r="72" spans="1:17" ht="15.5" x14ac:dyDescent="0.35">
      <c r="A72" s="58"/>
      <c r="B72" s="55"/>
      <c r="C72" s="56"/>
      <c r="D72" s="56"/>
      <c r="E72" s="13"/>
      <c r="F72" s="55"/>
      <c r="G72" s="159"/>
      <c r="H72" s="57"/>
      <c r="I72" s="18"/>
      <c r="J72" s="13"/>
      <c r="K72" s="83"/>
      <c r="L72" s="14">
        <f t="shared" si="4"/>
        <v>0</v>
      </c>
      <c r="M72" s="59">
        <f t="shared" si="3"/>
        <v>0</v>
      </c>
      <c r="N72" s="61" t="str">
        <f>IF(Table2683246[[#This Row],[Fault Type]]="PM",IF(L72&lt;=(D72-C72),"Yes","No"),"")</f>
        <v/>
      </c>
      <c r="O72" s="62" t="str">
        <f t="shared" si="5"/>
        <v/>
      </c>
      <c r="P72"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2" s="63"/>
    </row>
    <row r="73" spans="1:17" ht="15.5" x14ac:dyDescent="0.35">
      <c r="A73" s="58"/>
      <c r="B73" s="55"/>
      <c r="C73" s="56"/>
      <c r="D73" s="56"/>
      <c r="E73" s="13"/>
      <c r="F73" s="55"/>
      <c r="G73" s="159"/>
      <c r="H73" s="57"/>
      <c r="I73" s="18"/>
      <c r="J73" s="13"/>
      <c r="K73" s="83"/>
      <c r="L73" s="14">
        <f t="shared" si="4"/>
        <v>0</v>
      </c>
      <c r="M73" s="59">
        <f t="shared" si="3"/>
        <v>0</v>
      </c>
      <c r="N73" s="61" t="str">
        <f>IF(Table2683246[[#This Row],[Fault Type]]="PM",IF(L73&lt;=(D73-C73),"Yes","No"),"")</f>
        <v/>
      </c>
      <c r="O73" s="62" t="str">
        <f t="shared" si="5"/>
        <v/>
      </c>
      <c r="P73"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3" s="63"/>
    </row>
    <row r="74" spans="1:17" ht="15.5" x14ac:dyDescent="0.35">
      <c r="A74" s="58"/>
      <c r="B74" s="55"/>
      <c r="C74" s="56"/>
      <c r="D74" s="56"/>
      <c r="E74" s="13"/>
      <c r="F74" s="55"/>
      <c r="G74" s="159"/>
      <c r="H74" s="57"/>
      <c r="I74" s="18"/>
      <c r="J74" s="13"/>
      <c r="K74" s="83"/>
      <c r="L74" s="14">
        <f t="shared" si="4"/>
        <v>0</v>
      </c>
      <c r="M74" s="59">
        <f t="shared" si="3"/>
        <v>0</v>
      </c>
      <c r="N74" s="61" t="str">
        <f>IF(Table2683246[[#This Row],[Fault Type]]="PM",IF(L74&lt;=(D74-C74),"Yes","No"),"")</f>
        <v/>
      </c>
      <c r="O74" s="62" t="str">
        <f t="shared" si="5"/>
        <v/>
      </c>
      <c r="P74"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IF(Table2683246[[#This Row],[Fault Type]]="PM",IF(L75&lt;=(D75-C75),"Yes","No"),"")</f>
        <v/>
      </c>
      <c r="O75" s="62" t="str">
        <f t="shared" si="5"/>
        <v/>
      </c>
      <c r="P75"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IF(Table2683246[[#This Row],[Fault Type]]="PM",IF(L76&lt;=(D76-C76),"Yes","No"),"")</f>
        <v/>
      </c>
      <c r="O76" s="62" t="str">
        <f t="shared" si="5"/>
        <v/>
      </c>
      <c r="P76" s="30" t="str">
        <f>IF(AND(Table2683246[[#This Row],[Name of Feeder]]&lt;&gt;"",OR(Table2683246[[#This Row],[Fault Type]]="TL",Table2683246[[#This Row],[Fault Type]]="TS",Table2683246[[#This Row],[Fault Type]]="UF",Table2683246[[#This Row],[Fault Type]]="SE")),(IF(AND(VLOOKUP(Table2683246[[#This Row],[Name of Feeder]],Main!D:E,2,0)="URBAN",ISNUMBER(SEARCH("33KV",Table2683246[[#This Row],[Name of Feeder]]))),IF(AND(Table2683246[[#This Row],[Outage Duration]]&gt;0,Table2683246[[#This Row],[Outage Duration]]&lt;=0.25),"Yes","No"),IF(AND(VLOOKUP(Table2683246[[#This Row],[Name of Feeder]],Main!D:E,2,0)="RURAL",ISNUMBER(SEARCH("33KV",Table2683246[[#This Row],[Name of Feeder]]))),IF(AND(Table2683246[[#This Row],[Outage Duration]]&gt;0,Table2683246[[#This Row],[Outage Duration]]&lt;=0.33),"Yes","No"),IF(AND(VLOOKUP(Table2683246[[#This Row],[Name of Feeder]],Main!D:E,2,0)="RURAL",ISNUMBER(SEARCH("11KV",Table2683246[[#This Row],[Name of Feeder]]))),IF(AND(Table2683246[[#This Row],[Outage Duration]]&gt;0,Table2683246[[#This Row],[Outage Duration]]&lt;=0.17),"Yes","No"),IF(AND(VLOOKUP(Table2683246[[#This Row],[Name of Feeder]],Main!D:E,2,0)="URBAN",ISNUMBER(SEARCH("11KV",Table2683246[[#This Row],[Name of Feeder]]))),IF(AND(Table2683246[[#This Row],[Outage Duration]]&gt;0,Table2683246[[#This Row],[Outage Duration]]&lt;=0.17),"Yes","No"),""))))),"")</f>
        <v/>
      </c>
      <c r="Q76"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800-000000000000}">
          <x14:formula1>
            <xm:f>Main!$F$226:$F$228</xm:f>
          </x14:formula1>
          <xm:sqref>I2:I76</xm:sqref>
        </x14:dataValidation>
        <x14:dataValidation type="list" allowBlank="1" showInputMessage="1" showErrorMessage="1" xr:uid="{00000000-0002-0000-1800-000001000000}">
          <x14:formula1>
            <xm:f>Main!$D$2:$D$196</xm:f>
          </x14:formula1>
          <xm:sqref>A2:A76</xm:sqref>
        </x14:dataValidation>
        <x14:dataValidation type="list" allowBlank="1" showInputMessage="1" showErrorMessage="1" xr:uid="{00000000-0002-0000-1800-000002000000}">
          <x14:formula1>
            <xm:f>Main!F$222:F$225</xm:f>
          </x14:formula1>
          <xm:sqref>G2:G76</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79"/>
  <sheetViews>
    <sheetView topLeftCell="C1" zoomScale="70" zoomScaleNormal="70" workbookViewId="0">
      <pane ySplit="1" topLeftCell="A10" activePane="bottomLeft" state="frozen"/>
      <selection pane="bottomLeft" activeCell="Q15" sqref="Q15:Q20"/>
    </sheetView>
  </sheetViews>
  <sheetFormatPr defaultRowHeight="14.5" x14ac:dyDescent="0.35"/>
  <cols>
    <col min="1" max="1" width="27.26953125" customWidth="1"/>
    <col min="2" max="2" width="8.26953125" customWidth="1"/>
    <col min="3" max="3" width="17.26953125" customWidth="1"/>
    <col min="4" max="4" width="16.81640625" customWidth="1"/>
    <col min="5" max="5" width="18.72656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5" si="0">J2-E2</f>
        <v>0</v>
      </c>
      <c r="M2" s="31">
        <f t="shared" ref="M2:M22" si="1">L2*F2</f>
        <v>0</v>
      </c>
      <c r="N2" s="15" t="str">
        <f>IF(Table2683245[[#This Row],[Fault Type]]="PM",IF(L2&lt;=(D2-C2),"Yes","No"),"")</f>
        <v/>
      </c>
      <c r="O2" s="16" t="str">
        <f t="shared" ref="O2:O65" si="2">IF(N2="No",(L2-(D2-C2)),"")</f>
        <v/>
      </c>
      <c r="P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IF(Table2683245[[#This Row],[Fault Type]]="PM",IF(L3&lt;=(D3-C3),"Yes","No"),"")</f>
        <v/>
      </c>
      <c r="O3" s="16" t="str">
        <f t="shared" si="2"/>
        <v/>
      </c>
      <c r="P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IF(Table2683245[[#This Row],[Fault Type]]="PM",IF(L4&lt;=(D4-C4),"Yes","No"),"")</f>
        <v/>
      </c>
      <c r="O4" s="16" t="str">
        <f t="shared" si="2"/>
        <v/>
      </c>
      <c r="P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IF(Table2683245[[#This Row],[Fault Type]]="PM",IF(L5&lt;=(D5-C5),"Yes","No"),"")</f>
        <v/>
      </c>
      <c r="O5" s="16" t="str">
        <f t="shared" si="2"/>
        <v/>
      </c>
      <c r="P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IF(Table2683245[[#This Row],[Fault Type]]="PM",IF(L6&lt;=(D6-C6),"Yes","No"),"")</f>
        <v/>
      </c>
      <c r="O6" s="16" t="str">
        <f t="shared" si="2"/>
        <v/>
      </c>
      <c r="P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IF(Table2683245[[#This Row],[Fault Type]]="PM",IF(L7&lt;=(D7-C7),"Yes","No"),"")</f>
        <v/>
      </c>
      <c r="O7" s="16" t="str">
        <f t="shared" si="2"/>
        <v/>
      </c>
      <c r="P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IF(Table2683245[[#This Row],[Fault Type]]="PM",IF(L8&lt;=(D8-C8),"Yes","No"),"")</f>
        <v/>
      </c>
      <c r="O8" s="16" t="str">
        <f t="shared" si="2"/>
        <v/>
      </c>
      <c r="P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8" s="144" t="s">
        <v>496</v>
      </c>
    </row>
    <row r="9" spans="1:17" ht="15.5" x14ac:dyDescent="0.35">
      <c r="A9" s="4"/>
      <c r="B9" s="12"/>
      <c r="C9" s="13"/>
      <c r="D9" s="13"/>
      <c r="E9" s="13"/>
      <c r="F9" s="12"/>
      <c r="G9" s="12"/>
      <c r="H9" s="12"/>
      <c r="I9" s="12"/>
      <c r="J9" s="13"/>
      <c r="K9" s="32"/>
      <c r="L9" s="14">
        <f t="shared" si="0"/>
        <v>0</v>
      </c>
      <c r="M9" s="31">
        <f t="shared" si="1"/>
        <v>0</v>
      </c>
      <c r="N9" s="15" t="str">
        <f>IF(Table2683245[[#This Row],[Fault Type]]="PM",IF(L9&lt;=(D9-C9),"Yes","No"),"")</f>
        <v/>
      </c>
      <c r="O9" s="16" t="str">
        <f t="shared" si="2"/>
        <v/>
      </c>
      <c r="P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9" s="144" t="s">
        <v>497</v>
      </c>
    </row>
    <row r="10" spans="1:17" ht="15.5" x14ac:dyDescent="0.35">
      <c r="A10" s="4"/>
      <c r="B10" s="12"/>
      <c r="C10" s="13"/>
      <c r="D10" s="13"/>
      <c r="E10" s="13"/>
      <c r="F10" s="12"/>
      <c r="G10" s="12"/>
      <c r="H10" s="12"/>
      <c r="I10" s="12"/>
      <c r="J10" s="13"/>
      <c r="K10" s="32"/>
      <c r="L10" s="14">
        <f t="shared" si="0"/>
        <v>0</v>
      </c>
      <c r="M10" s="31">
        <f t="shared" si="1"/>
        <v>0</v>
      </c>
      <c r="N10" s="15" t="str">
        <f>IF(Table2683245[[#This Row],[Fault Type]]="PM",IF(L10&lt;=(D10-C10),"Yes","No"),"")</f>
        <v/>
      </c>
      <c r="O10" s="16" t="str">
        <f t="shared" si="2"/>
        <v/>
      </c>
      <c r="P1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0" s="144"/>
    </row>
    <row r="11" spans="1:17" ht="15.5" x14ac:dyDescent="0.35">
      <c r="A11" s="4"/>
      <c r="B11" s="12"/>
      <c r="C11" s="13"/>
      <c r="D11" s="13"/>
      <c r="E11" s="13"/>
      <c r="F11" s="12"/>
      <c r="G11" s="12"/>
      <c r="H11" s="12"/>
      <c r="I11" s="12"/>
      <c r="J11" s="13"/>
      <c r="K11" s="32"/>
      <c r="L11" s="14">
        <f t="shared" si="0"/>
        <v>0</v>
      </c>
      <c r="M11" s="31">
        <f t="shared" si="1"/>
        <v>0</v>
      </c>
      <c r="N11" s="15" t="str">
        <f>IF(Table2683245[[#This Row],[Fault Type]]="PM",IF(L11&lt;=(D11-C11),"Yes","No"),"")</f>
        <v/>
      </c>
      <c r="O11" s="16" t="str">
        <f t="shared" si="2"/>
        <v/>
      </c>
      <c r="P1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1" s="144"/>
    </row>
    <row r="12" spans="1:17" ht="15.5" x14ac:dyDescent="0.35">
      <c r="A12" s="4"/>
      <c r="B12" s="12"/>
      <c r="C12" s="13"/>
      <c r="D12" s="13"/>
      <c r="E12" s="13"/>
      <c r="F12" s="12"/>
      <c r="G12" s="12"/>
      <c r="H12" s="12"/>
      <c r="I12" s="12"/>
      <c r="J12" s="13"/>
      <c r="K12" s="32"/>
      <c r="L12" s="14">
        <f t="shared" si="0"/>
        <v>0</v>
      </c>
      <c r="M12" s="31">
        <f t="shared" si="1"/>
        <v>0</v>
      </c>
      <c r="N12" s="15" t="str">
        <f>IF(Table2683245[[#This Row],[Fault Type]]="PM",IF(L12&lt;=(D12-C12),"Yes","No"),"")</f>
        <v/>
      </c>
      <c r="O12" s="16" t="str">
        <f t="shared" si="2"/>
        <v/>
      </c>
      <c r="P1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2" s="144"/>
    </row>
    <row r="13" spans="1:17" ht="15.5" x14ac:dyDescent="0.35">
      <c r="A13" s="4"/>
      <c r="B13" s="12"/>
      <c r="C13" s="13"/>
      <c r="D13" s="13"/>
      <c r="E13" s="13"/>
      <c r="F13" s="12"/>
      <c r="G13" s="12"/>
      <c r="H13" s="12"/>
      <c r="I13" s="12"/>
      <c r="J13" s="13"/>
      <c r="K13" s="32"/>
      <c r="L13" s="14">
        <f t="shared" si="0"/>
        <v>0</v>
      </c>
      <c r="M13" s="31">
        <f t="shared" si="1"/>
        <v>0</v>
      </c>
      <c r="N13" s="15" t="str">
        <f>IF(Table2683245[[#This Row],[Fault Type]]="PM",IF(L13&lt;=(D13-C13),"Yes","No"),"")</f>
        <v/>
      </c>
      <c r="O13" s="16" t="str">
        <f t="shared" si="2"/>
        <v/>
      </c>
      <c r="P1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3" s="144"/>
    </row>
    <row r="14" spans="1:17" ht="15.5" x14ac:dyDescent="0.35">
      <c r="A14" s="4"/>
      <c r="B14" s="12"/>
      <c r="C14" s="13"/>
      <c r="D14" s="13"/>
      <c r="E14" s="13"/>
      <c r="F14" s="12"/>
      <c r="G14" s="12"/>
      <c r="H14" s="12"/>
      <c r="I14" s="12"/>
      <c r="J14" s="13"/>
      <c r="K14" s="32"/>
      <c r="L14" s="14">
        <f t="shared" si="0"/>
        <v>0</v>
      </c>
      <c r="M14" s="31">
        <f t="shared" si="1"/>
        <v>0</v>
      </c>
      <c r="N14" s="15" t="str">
        <f>IF(Table2683245[[#This Row],[Fault Type]]="PM",IF(L14&lt;=(D14-C14),"Yes","No"),"")</f>
        <v/>
      </c>
      <c r="O14" s="16" t="str">
        <f t="shared" si="2"/>
        <v/>
      </c>
      <c r="P1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4" s="144"/>
    </row>
    <row r="15" spans="1:17" ht="15.5" x14ac:dyDescent="0.35">
      <c r="A15" s="4"/>
      <c r="B15" s="12"/>
      <c r="C15" s="13"/>
      <c r="D15" s="13"/>
      <c r="E15" s="13"/>
      <c r="F15" s="18"/>
      <c r="G15" s="12"/>
      <c r="H15" s="18"/>
      <c r="I15" s="18"/>
      <c r="J15" s="13"/>
      <c r="K15" s="32"/>
      <c r="L15" s="14">
        <f t="shared" si="0"/>
        <v>0</v>
      </c>
      <c r="M15" s="31">
        <f t="shared" si="1"/>
        <v>0</v>
      </c>
      <c r="N15" s="15" t="str">
        <f>IF(Table2683245[[#This Row],[Fault Type]]="PM",IF(L15&lt;=(D15-C15),"Yes","No"),"")</f>
        <v/>
      </c>
      <c r="O15" s="16" t="str">
        <f t="shared" si="2"/>
        <v/>
      </c>
      <c r="P1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5" s="144"/>
    </row>
    <row r="16" spans="1:17" ht="15.5" x14ac:dyDescent="0.35">
      <c r="A16" s="4"/>
      <c r="B16" s="12"/>
      <c r="C16" s="13"/>
      <c r="D16" s="13"/>
      <c r="E16" s="13"/>
      <c r="F16" s="12"/>
      <c r="G16" s="12"/>
      <c r="H16" s="12"/>
      <c r="I16" s="12"/>
      <c r="J16" s="13"/>
      <c r="K16" s="32"/>
      <c r="L16" s="14">
        <f t="shared" si="0"/>
        <v>0</v>
      </c>
      <c r="M16" s="31">
        <f t="shared" si="1"/>
        <v>0</v>
      </c>
      <c r="N16" s="15" t="str">
        <f>IF(Table2683245[[#This Row],[Fault Type]]="PM",IF(L16&lt;=(D16-C16),"Yes","No"),"")</f>
        <v/>
      </c>
      <c r="O16" s="16" t="str">
        <f t="shared" si="2"/>
        <v/>
      </c>
      <c r="P1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6" s="144"/>
    </row>
    <row r="17" spans="1:17" ht="15.5" x14ac:dyDescent="0.35">
      <c r="A17" s="4"/>
      <c r="B17" s="12"/>
      <c r="C17" s="13"/>
      <c r="D17" s="13"/>
      <c r="E17" s="13"/>
      <c r="F17" s="18"/>
      <c r="G17" s="12"/>
      <c r="H17" s="18"/>
      <c r="I17" s="18"/>
      <c r="J17" s="13"/>
      <c r="K17" s="32"/>
      <c r="L17" s="14">
        <f t="shared" si="0"/>
        <v>0</v>
      </c>
      <c r="M17" s="31">
        <f t="shared" si="1"/>
        <v>0</v>
      </c>
      <c r="N17" s="15" t="str">
        <f>IF(Table2683245[[#This Row],[Fault Type]]="PM",IF(L17&lt;=(D17-C17),"Yes","No"),"")</f>
        <v/>
      </c>
      <c r="O17" s="16" t="str">
        <f t="shared" si="2"/>
        <v/>
      </c>
      <c r="P1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7" s="144"/>
    </row>
    <row r="18" spans="1:17" ht="15.5" x14ac:dyDescent="0.35">
      <c r="A18" s="4"/>
      <c r="B18" s="12"/>
      <c r="C18" s="13"/>
      <c r="D18" s="13"/>
      <c r="E18" s="13"/>
      <c r="F18" s="18"/>
      <c r="G18" s="12"/>
      <c r="H18" s="18"/>
      <c r="I18" s="18"/>
      <c r="J18" s="13"/>
      <c r="K18" s="32"/>
      <c r="L18" s="14">
        <f t="shared" si="0"/>
        <v>0</v>
      </c>
      <c r="M18" s="31">
        <f t="shared" si="1"/>
        <v>0</v>
      </c>
      <c r="N18" s="15" t="str">
        <f>IF(Table2683245[[#This Row],[Fault Type]]="PM",IF(L18&lt;=(D18-C18),"Yes","No"),"")</f>
        <v/>
      </c>
      <c r="O18" s="16" t="str">
        <f t="shared" si="2"/>
        <v/>
      </c>
      <c r="P1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8" s="144"/>
    </row>
    <row r="19" spans="1:17" ht="15.5" x14ac:dyDescent="0.35">
      <c r="A19" s="4"/>
      <c r="B19" s="12"/>
      <c r="C19" s="13"/>
      <c r="D19" s="13"/>
      <c r="E19" s="13"/>
      <c r="G19" s="159"/>
      <c r="H19" s="54"/>
      <c r="I19" s="54"/>
      <c r="J19" s="13"/>
      <c r="K19" s="32"/>
      <c r="L19" s="14">
        <f t="shared" si="0"/>
        <v>0</v>
      </c>
      <c r="M19" s="31">
        <f t="shared" si="1"/>
        <v>0</v>
      </c>
      <c r="N19" s="15" t="str">
        <f>IF(Table2683245[[#This Row],[Fault Type]]="PM",IF(L19&lt;=(D19-C19),"Yes","No"),"")</f>
        <v/>
      </c>
      <c r="O19" s="16" t="str">
        <f t="shared" si="2"/>
        <v/>
      </c>
      <c r="P1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19" s="144"/>
    </row>
    <row r="20" spans="1:17" ht="15.5" x14ac:dyDescent="0.35">
      <c r="A20" s="4"/>
      <c r="B20" s="12"/>
      <c r="C20" s="13"/>
      <c r="D20" s="13"/>
      <c r="E20" s="13"/>
      <c r="F20" s="18"/>
      <c r="G20" s="12"/>
      <c r="H20" s="18"/>
      <c r="I20" s="18"/>
      <c r="J20" s="13"/>
      <c r="K20" s="32"/>
      <c r="L20" s="14">
        <f t="shared" si="0"/>
        <v>0</v>
      </c>
      <c r="M20" s="31">
        <f t="shared" si="1"/>
        <v>0</v>
      </c>
      <c r="N20" s="15" t="str">
        <f>IF(Table2683245[[#This Row],[Fault Type]]="PM",IF(L20&lt;=(D20-C20),"Yes","No"),"")</f>
        <v/>
      </c>
      <c r="O20" s="16" t="str">
        <f t="shared" si="2"/>
        <v/>
      </c>
      <c r="P2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0" s="119"/>
    </row>
    <row r="21" spans="1:17" ht="15.5" x14ac:dyDescent="0.35">
      <c r="A21" s="4"/>
      <c r="B21" s="12"/>
      <c r="C21" s="13"/>
      <c r="D21" s="13"/>
      <c r="E21" s="13"/>
      <c r="F21" s="18"/>
      <c r="G21" s="12"/>
      <c r="H21" s="18"/>
      <c r="I21" s="18"/>
      <c r="J21" s="13"/>
      <c r="K21" s="32"/>
      <c r="L21" s="14">
        <f t="shared" si="0"/>
        <v>0</v>
      </c>
      <c r="M21" s="31">
        <f t="shared" si="1"/>
        <v>0</v>
      </c>
      <c r="N21" s="15" t="str">
        <f>IF(Table2683245[[#This Row],[Fault Type]]="PM",IF(L21&lt;=(D21-C21),"Yes","No"),"")</f>
        <v/>
      </c>
      <c r="O21" s="16" t="str">
        <f t="shared" si="2"/>
        <v/>
      </c>
      <c r="P2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1" s="119"/>
    </row>
    <row r="22" spans="1:17" ht="15.5" x14ac:dyDescent="0.35">
      <c r="A22" s="4"/>
      <c r="B22" s="12"/>
      <c r="C22" s="13"/>
      <c r="D22" s="13"/>
      <c r="E22" s="13"/>
      <c r="F22" s="18"/>
      <c r="G22" s="12"/>
      <c r="H22" s="18"/>
      <c r="I22" s="18"/>
      <c r="J22" s="13"/>
      <c r="K22" s="32"/>
      <c r="L22" s="14">
        <f t="shared" si="0"/>
        <v>0</v>
      </c>
      <c r="M22" s="31">
        <f t="shared" si="1"/>
        <v>0</v>
      </c>
      <c r="N22" s="15" t="str">
        <f>IF(Table2683245[[#This Row],[Fault Type]]="PM",IF(L22&lt;=(D22-C22),"Yes","No"),"")</f>
        <v/>
      </c>
      <c r="O22" s="16" t="str">
        <f t="shared" si="2"/>
        <v/>
      </c>
      <c r="P2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2" s="119"/>
    </row>
    <row r="23" spans="1:17" ht="15.5" x14ac:dyDescent="0.35">
      <c r="A23" s="4"/>
      <c r="B23" s="12"/>
      <c r="C23" s="13"/>
      <c r="D23" s="13"/>
      <c r="E23" s="13"/>
      <c r="F23" s="18"/>
      <c r="G23" s="12"/>
      <c r="H23" s="18"/>
      <c r="I23" s="18"/>
      <c r="J23" s="13"/>
      <c r="K23" s="32"/>
      <c r="L23" s="14">
        <f t="shared" si="0"/>
        <v>0</v>
      </c>
      <c r="M23" s="31">
        <f t="shared" ref="M23:M79" si="3">L23*F23</f>
        <v>0</v>
      </c>
      <c r="N23" s="15" t="str">
        <f>IF(Table2683245[[#This Row],[Fault Type]]="PM",IF(L23&lt;=(D23-C23),"Yes","No"),"")</f>
        <v/>
      </c>
      <c r="O23" s="16" t="str">
        <f t="shared" si="2"/>
        <v/>
      </c>
      <c r="P2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3" s="119"/>
    </row>
    <row r="24" spans="1:17" ht="15.5" x14ac:dyDescent="0.35">
      <c r="A24" s="4"/>
      <c r="B24" s="12"/>
      <c r="C24" s="13"/>
      <c r="D24" s="13"/>
      <c r="E24" s="13"/>
      <c r="F24" s="18"/>
      <c r="G24" s="12"/>
      <c r="H24" s="18"/>
      <c r="I24" s="18"/>
      <c r="J24" s="13"/>
      <c r="K24" s="32"/>
      <c r="L24" s="14">
        <f t="shared" si="0"/>
        <v>0</v>
      </c>
      <c r="M24" s="31">
        <f t="shared" si="3"/>
        <v>0</v>
      </c>
      <c r="N24" s="15" t="str">
        <f>IF(Table2683245[[#This Row],[Fault Type]]="PM",IF(L24&lt;=(D24-C24),"Yes","No"),"")</f>
        <v/>
      </c>
      <c r="O24" s="16" t="str">
        <f t="shared" si="2"/>
        <v/>
      </c>
      <c r="P2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4" s="119"/>
    </row>
    <row r="25" spans="1:17" ht="15.5" x14ac:dyDescent="0.35">
      <c r="A25" s="4"/>
      <c r="B25" s="12"/>
      <c r="C25" s="13"/>
      <c r="D25" s="13"/>
      <c r="E25" s="13"/>
      <c r="F25" s="12"/>
      <c r="G25" s="12"/>
      <c r="H25" s="12"/>
      <c r="I25" s="12"/>
      <c r="J25" s="13"/>
      <c r="K25" s="32"/>
      <c r="L25" s="14">
        <f t="shared" si="0"/>
        <v>0</v>
      </c>
      <c r="M25" s="31">
        <f t="shared" si="3"/>
        <v>0</v>
      </c>
      <c r="N25" s="15" t="str">
        <f>IF(Table2683245[[#This Row],[Fault Type]]="PM",IF(L25&lt;=(D25-C25),"Yes","No"),"")</f>
        <v/>
      </c>
      <c r="O25" s="16" t="str">
        <f t="shared" si="2"/>
        <v/>
      </c>
      <c r="P2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5" s="119"/>
    </row>
    <row r="26" spans="1:17" ht="15.5" x14ac:dyDescent="0.35">
      <c r="A26" s="4"/>
      <c r="B26" s="12"/>
      <c r="C26" s="13"/>
      <c r="D26" s="13"/>
      <c r="E26" s="13"/>
      <c r="F26" s="18"/>
      <c r="G26" s="12"/>
      <c r="H26" s="18"/>
      <c r="I26" s="18"/>
      <c r="J26" s="13"/>
      <c r="K26" s="32"/>
      <c r="L26" s="14">
        <f t="shared" si="0"/>
        <v>0</v>
      </c>
      <c r="M26" s="31">
        <f t="shared" si="3"/>
        <v>0</v>
      </c>
      <c r="N26" s="15" t="str">
        <f>IF(Table2683245[[#This Row],[Fault Type]]="PM",IF(L26&lt;=(D26-C26),"Yes","No"),"")</f>
        <v/>
      </c>
      <c r="O26" s="16" t="str">
        <f t="shared" si="2"/>
        <v/>
      </c>
      <c r="P2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6" s="119"/>
    </row>
    <row r="27" spans="1:17" ht="15.5" x14ac:dyDescent="0.35">
      <c r="A27" s="4"/>
      <c r="B27" s="12"/>
      <c r="C27" s="13"/>
      <c r="D27" s="13"/>
      <c r="E27" s="13"/>
      <c r="F27" s="18"/>
      <c r="G27" s="12"/>
      <c r="H27" s="18"/>
      <c r="I27" s="18"/>
      <c r="J27" s="13"/>
      <c r="K27" s="32"/>
      <c r="L27" s="14">
        <f t="shared" si="0"/>
        <v>0</v>
      </c>
      <c r="M27" s="31">
        <f t="shared" si="3"/>
        <v>0</v>
      </c>
      <c r="N27" s="15" t="str">
        <f>IF(Table2683245[[#This Row],[Fault Type]]="PM",IF(L27&lt;=(D27-C27),"Yes","No"),"")</f>
        <v/>
      </c>
      <c r="O27" s="16" t="str">
        <f t="shared" si="2"/>
        <v/>
      </c>
      <c r="P2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7" s="119"/>
    </row>
    <row r="28" spans="1:17" ht="15.5" x14ac:dyDescent="0.35">
      <c r="A28" s="4"/>
      <c r="B28" s="12"/>
      <c r="C28" s="13"/>
      <c r="D28" s="13"/>
      <c r="E28" s="13"/>
      <c r="F28" s="12"/>
      <c r="G28" s="12"/>
      <c r="H28" s="12"/>
      <c r="I28" s="12"/>
      <c r="J28" s="13"/>
      <c r="K28" s="32"/>
      <c r="L28" s="14">
        <f t="shared" si="0"/>
        <v>0</v>
      </c>
      <c r="M28" s="31">
        <f t="shared" si="3"/>
        <v>0</v>
      </c>
      <c r="N28" s="15" t="str">
        <f>IF(Table2683245[[#This Row],[Fault Type]]="PM",IF(L28&lt;=(D28-C28),"Yes","No"),"")</f>
        <v/>
      </c>
      <c r="O28" s="16" t="str">
        <f t="shared" si="2"/>
        <v/>
      </c>
      <c r="P2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8" s="119"/>
    </row>
    <row r="29" spans="1:17" ht="15.5" x14ac:dyDescent="0.35">
      <c r="A29" s="4"/>
      <c r="B29" s="12"/>
      <c r="C29" s="13"/>
      <c r="D29" s="13"/>
      <c r="E29" s="13"/>
      <c r="F29" s="18"/>
      <c r="G29" s="12"/>
      <c r="H29" s="18"/>
      <c r="I29" s="18"/>
      <c r="J29" s="13"/>
      <c r="K29" s="32"/>
      <c r="L29" s="14">
        <f t="shared" si="0"/>
        <v>0</v>
      </c>
      <c r="M29" s="31">
        <f t="shared" si="3"/>
        <v>0</v>
      </c>
      <c r="N29" s="15" t="str">
        <f>IF(Table2683245[[#This Row],[Fault Type]]="PM",IF(L29&lt;=(D29-C29),"Yes","No"),"")</f>
        <v/>
      </c>
      <c r="O29" s="16" t="str">
        <f t="shared" si="2"/>
        <v/>
      </c>
      <c r="P2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29" s="119"/>
    </row>
    <row r="30" spans="1:17" s="116" customFormat="1" ht="15.5" x14ac:dyDescent="0.35">
      <c r="A30" s="106"/>
      <c r="B30" s="107"/>
      <c r="C30" s="118"/>
      <c r="D30" s="118"/>
      <c r="E30" s="118"/>
      <c r="F30" s="109"/>
      <c r="G30" s="107"/>
      <c r="H30" s="109"/>
      <c r="I30" s="109"/>
      <c r="J30" s="118"/>
      <c r="K30" s="111"/>
      <c r="L30" s="14">
        <f>J30-E30</f>
        <v>0</v>
      </c>
      <c r="M30" s="31">
        <f>L30*F30</f>
        <v>0</v>
      </c>
      <c r="N30" s="15" t="str">
        <f>IF(Table2683245[[#This Row],[Fault Type]]="PM",IF(L30&lt;=(D30-C30),"Yes","No"),"")</f>
        <v/>
      </c>
      <c r="O30" s="16" t="str">
        <f>IF(N30="No",(L30-(D30-C30)),"")</f>
        <v/>
      </c>
      <c r="P3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0" s="119"/>
    </row>
    <row r="31" spans="1:17" ht="15.5" x14ac:dyDescent="0.35">
      <c r="A31" s="4"/>
      <c r="B31" s="12"/>
      <c r="C31" s="13"/>
      <c r="D31" s="13"/>
      <c r="E31" s="13"/>
      <c r="F31" s="18"/>
      <c r="G31" s="12"/>
      <c r="H31" s="18"/>
      <c r="I31" s="18"/>
      <c r="J31" s="13"/>
      <c r="K31" s="32"/>
      <c r="L31" s="14">
        <f t="shared" si="0"/>
        <v>0</v>
      </c>
      <c r="M31" s="31">
        <f t="shared" si="3"/>
        <v>0</v>
      </c>
      <c r="N31" s="15" t="str">
        <f>IF(Table2683245[[#This Row],[Fault Type]]="PM",IF(L31&lt;=(D31-C31),"Yes","No"),"")</f>
        <v/>
      </c>
      <c r="O31" s="16" t="str">
        <f t="shared" si="2"/>
        <v/>
      </c>
      <c r="P3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1" s="119"/>
    </row>
    <row r="32" spans="1:17" ht="15.5" x14ac:dyDescent="0.35">
      <c r="A32" s="4"/>
      <c r="B32" s="12"/>
      <c r="C32" s="13"/>
      <c r="D32" s="13"/>
      <c r="E32" s="13"/>
      <c r="F32" s="18"/>
      <c r="G32" s="12"/>
      <c r="H32" s="18"/>
      <c r="I32" s="18"/>
      <c r="J32" s="13"/>
      <c r="K32" s="32"/>
      <c r="L32" s="14">
        <f t="shared" si="0"/>
        <v>0</v>
      </c>
      <c r="M32" s="31">
        <f t="shared" si="3"/>
        <v>0</v>
      </c>
      <c r="N32" s="15" t="str">
        <f>IF(Table2683245[[#This Row],[Fault Type]]="PM",IF(L32&lt;=(D32-C32),"Yes","No"),"")</f>
        <v/>
      </c>
      <c r="O32" s="16" t="str">
        <f t="shared" si="2"/>
        <v/>
      </c>
      <c r="P3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2" s="119"/>
    </row>
    <row r="33" spans="1:17" ht="15.5" x14ac:dyDescent="0.35">
      <c r="A33" s="4"/>
      <c r="B33" s="12"/>
      <c r="C33" s="13"/>
      <c r="D33" s="13"/>
      <c r="E33" s="13"/>
      <c r="F33" s="18"/>
      <c r="G33" s="12"/>
      <c r="H33" s="18"/>
      <c r="I33" s="18"/>
      <c r="J33" s="13"/>
      <c r="K33" s="32"/>
      <c r="L33" s="14">
        <f t="shared" si="0"/>
        <v>0</v>
      </c>
      <c r="M33" s="31">
        <f t="shared" si="3"/>
        <v>0</v>
      </c>
      <c r="N33" s="15" t="str">
        <f>IF(Table2683245[[#This Row],[Fault Type]]="PM",IF(L33&lt;=(D33-C33),"Yes","No"),"")</f>
        <v/>
      </c>
      <c r="O33" s="16" t="str">
        <f t="shared" si="2"/>
        <v/>
      </c>
      <c r="P3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3" s="119"/>
    </row>
    <row r="34" spans="1:17" ht="15.5" x14ac:dyDescent="0.35">
      <c r="A34" s="4"/>
      <c r="B34" s="12"/>
      <c r="C34" s="13"/>
      <c r="D34" s="13"/>
      <c r="E34" s="13"/>
      <c r="F34" s="18"/>
      <c r="G34" s="12"/>
      <c r="H34" s="18"/>
      <c r="I34" s="18"/>
      <c r="J34" s="13"/>
      <c r="K34" s="32"/>
      <c r="L34" s="14">
        <f t="shared" si="0"/>
        <v>0</v>
      </c>
      <c r="M34" s="31">
        <f t="shared" si="3"/>
        <v>0</v>
      </c>
      <c r="N34" s="15" t="str">
        <f>IF(Table2683245[[#This Row],[Fault Type]]="PM",IF(L34&lt;=(D34-C34),"Yes","No"),"")</f>
        <v/>
      </c>
      <c r="O34" s="16" t="str">
        <f t="shared" si="2"/>
        <v/>
      </c>
      <c r="P3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IF(Table2683245[[#This Row],[Fault Type]]="PM",IF(L35&lt;=(D35-C35),"Yes","No"),"")</f>
        <v/>
      </c>
      <c r="O35" s="16" t="str">
        <f t="shared" si="2"/>
        <v/>
      </c>
      <c r="P3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IF(Table2683245[[#This Row],[Fault Type]]="PM",IF(L36&lt;=(D36-C36),"Yes","No"),"")</f>
        <v/>
      </c>
      <c r="O36" s="16" t="str">
        <f t="shared" si="2"/>
        <v/>
      </c>
      <c r="P3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IF(Table2683245[[#This Row],[Fault Type]]="PM",IF(L37&lt;=(D37-C37),"Yes","No"),"")</f>
        <v/>
      </c>
      <c r="O37" s="16" t="str">
        <f t="shared" si="2"/>
        <v/>
      </c>
      <c r="P3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IF(Table2683245[[#This Row],[Fault Type]]="PM",IF(L38&lt;=(D38-C38),"Yes","No"),"")</f>
        <v/>
      </c>
      <c r="O38" s="16" t="str">
        <f t="shared" si="2"/>
        <v/>
      </c>
      <c r="P3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IF(Table2683245[[#This Row],[Fault Type]]="PM",IF(L39&lt;=(D39-C39),"Yes","No"),"")</f>
        <v/>
      </c>
      <c r="O39" s="16" t="str">
        <f t="shared" si="2"/>
        <v/>
      </c>
      <c r="P3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IF(Table2683245[[#This Row],[Fault Type]]="PM",IF(L40&lt;=(D40-C40),"Yes","No"),"")</f>
        <v/>
      </c>
      <c r="O40" s="16" t="str">
        <f t="shared" si="2"/>
        <v/>
      </c>
      <c r="P4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IF(Table2683245[[#This Row],[Fault Type]]="PM",IF(L41&lt;=(D41-C41),"Yes","No"),"")</f>
        <v/>
      </c>
      <c r="O41" s="16" t="str">
        <f t="shared" si="2"/>
        <v/>
      </c>
      <c r="P4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1" s="17"/>
    </row>
    <row r="42" spans="1:17" ht="15.5" x14ac:dyDescent="0.35">
      <c r="A42" s="4"/>
      <c r="B42" s="12"/>
      <c r="C42" s="13"/>
      <c r="D42" s="13"/>
      <c r="E42" s="13"/>
      <c r="F42" s="18"/>
      <c r="G42" s="12"/>
      <c r="H42" s="18"/>
      <c r="I42" s="18"/>
      <c r="J42" s="118"/>
      <c r="K42" s="32"/>
      <c r="L42" s="14">
        <f t="shared" si="0"/>
        <v>0</v>
      </c>
      <c r="M42" s="31">
        <f t="shared" si="3"/>
        <v>0</v>
      </c>
      <c r="N42" s="15" t="str">
        <f>IF(Table2683245[[#This Row],[Fault Type]]="PM",IF(L42&lt;=(D42-C42),"Yes","No"),"")</f>
        <v/>
      </c>
      <c r="O42" s="16" t="str">
        <f t="shared" si="2"/>
        <v/>
      </c>
      <c r="P4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IF(Table2683245[[#This Row],[Fault Type]]="PM",IF(L43&lt;=(D43-C43),"Yes","No"),"")</f>
        <v/>
      </c>
      <c r="O43" s="16" t="str">
        <f t="shared" si="2"/>
        <v/>
      </c>
      <c r="P4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IF(Table2683245[[#This Row],[Fault Type]]="PM",IF(L44&lt;=(D44-C44),"Yes","No"),"")</f>
        <v/>
      </c>
      <c r="O44" s="16" t="str">
        <f t="shared" si="2"/>
        <v/>
      </c>
      <c r="P4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4" s="17"/>
    </row>
    <row r="45" spans="1:17" ht="15.75" customHeight="1" x14ac:dyDescent="0.35">
      <c r="A45" s="4"/>
      <c r="B45" s="12"/>
      <c r="C45" s="13"/>
      <c r="D45" s="13"/>
      <c r="E45" s="13"/>
      <c r="F45" s="12"/>
      <c r="G45" s="12"/>
      <c r="H45" s="12"/>
      <c r="I45" s="12"/>
      <c r="J45" s="13"/>
      <c r="K45" s="32"/>
      <c r="L45" s="14">
        <f t="shared" si="0"/>
        <v>0</v>
      </c>
      <c r="M45" s="31">
        <f t="shared" si="3"/>
        <v>0</v>
      </c>
      <c r="N45" s="15" t="str">
        <f>IF(Table2683245[[#This Row],[Fault Type]]="PM",IF(L45&lt;=(D45-C45),"Yes","No"),"")</f>
        <v/>
      </c>
      <c r="O45" s="16" t="str">
        <f t="shared" si="2"/>
        <v/>
      </c>
      <c r="P4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5" s="17"/>
    </row>
    <row r="46" spans="1:17" ht="15.5" x14ac:dyDescent="0.35">
      <c r="A46" s="4"/>
      <c r="B46" s="12"/>
      <c r="C46" s="13"/>
      <c r="D46" s="13"/>
      <c r="E46" s="13"/>
      <c r="F46" s="18"/>
      <c r="G46" s="12"/>
      <c r="H46" s="18"/>
      <c r="I46" s="18"/>
      <c r="J46" s="13"/>
      <c r="K46" s="32"/>
      <c r="L46" s="14">
        <f t="shared" si="0"/>
        <v>0</v>
      </c>
      <c r="M46" s="31">
        <f t="shared" si="3"/>
        <v>0</v>
      </c>
      <c r="N46" s="15" t="str">
        <f>IF(Table2683245[[#This Row],[Fault Type]]="PM",IF(L46&lt;=(D46-C46),"Yes","No"),"")</f>
        <v/>
      </c>
      <c r="O46" s="16" t="str">
        <f t="shared" si="2"/>
        <v/>
      </c>
      <c r="P4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6" s="17"/>
    </row>
    <row r="47" spans="1:17" ht="15.5" x14ac:dyDescent="0.35">
      <c r="A47" s="4"/>
      <c r="B47" s="49"/>
      <c r="C47" s="49"/>
      <c r="D47" s="49"/>
      <c r="E47" s="13"/>
      <c r="F47" s="64"/>
      <c r="G47" s="159"/>
      <c r="H47" s="54"/>
      <c r="I47" s="54"/>
      <c r="J47" s="13"/>
      <c r="K47" s="32"/>
      <c r="L47" s="14">
        <f t="shared" si="0"/>
        <v>0</v>
      </c>
      <c r="M47" s="53">
        <f t="shared" si="3"/>
        <v>0</v>
      </c>
      <c r="N47" s="50" t="str">
        <f>IF(Table2683245[[#This Row],[Fault Type]]="PM",IF(L47&lt;=(D47-C47),"Yes","No"),"")</f>
        <v/>
      </c>
      <c r="O47" s="51" t="str">
        <f t="shared" si="2"/>
        <v/>
      </c>
      <c r="P4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row>
    <row r="48" spans="1:17" ht="15.5" x14ac:dyDescent="0.35">
      <c r="A48" s="58"/>
      <c r="B48" s="55"/>
      <c r="C48" s="56"/>
      <c r="D48" s="56"/>
      <c r="E48" s="13"/>
      <c r="F48" s="55"/>
      <c r="G48" s="55"/>
      <c r="H48" s="57"/>
      <c r="I48" s="18"/>
      <c r="J48" s="13"/>
      <c r="K48" s="32"/>
      <c r="L48" s="14">
        <f t="shared" si="0"/>
        <v>0</v>
      </c>
      <c r="M48" s="59">
        <f t="shared" si="3"/>
        <v>0</v>
      </c>
      <c r="N48" s="61" t="str">
        <f>IF(Table2683245[[#This Row],[Fault Type]]="PM",IF(L48&lt;=(D48-C48),"Yes","No"),"")</f>
        <v/>
      </c>
      <c r="O48" s="62" t="str">
        <f t="shared" si="2"/>
        <v/>
      </c>
      <c r="P4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8" s="63"/>
    </row>
    <row r="49" spans="1:17" ht="15.5" x14ac:dyDescent="0.35">
      <c r="A49" s="58"/>
      <c r="B49" s="55"/>
      <c r="C49" s="56"/>
      <c r="D49" s="56"/>
      <c r="E49" s="13"/>
      <c r="F49" s="55"/>
      <c r="G49" s="55"/>
      <c r="H49" s="57"/>
      <c r="I49" s="18"/>
      <c r="J49" s="13"/>
      <c r="K49" s="32"/>
      <c r="L49" s="14">
        <f t="shared" si="0"/>
        <v>0</v>
      </c>
      <c r="M49" s="59">
        <f t="shared" si="3"/>
        <v>0</v>
      </c>
      <c r="N49" s="61" t="str">
        <f>IF(Table2683245[[#This Row],[Fault Type]]="PM",IF(L49&lt;=(D49-C49),"Yes","No"),"")</f>
        <v/>
      </c>
      <c r="O49" s="62" t="str">
        <f t="shared" si="2"/>
        <v/>
      </c>
      <c r="P4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IF(Table2683245[[#This Row],[Fault Type]]="PM",IF(L50&lt;=(D50-C50),"Yes","No"),"")</f>
        <v/>
      </c>
      <c r="O50" s="62" t="str">
        <f t="shared" si="2"/>
        <v/>
      </c>
      <c r="P5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0" s="63"/>
    </row>
    <row r="51" spans="1:17" ht="15.5" x14ac:dyDescent="0.35">
      <c r="A51" s="58"/>
      <c r="B51" s="55"/>
      <c r="C51" s="56"/>
      <c r="D51" s="56"/>
      <c r="E51" s="13"/>
      <c r="F51" s="55"/>
      <c r="G51" s="55"/>
      <c r="H51" s="57"/>
      <c r="I51" s="18"/>
      <c r="J51" s="13"/>
      <c r="K51" s="83"/>
      <c r="L51" s="14">
        <f t="shared" si="0"/>
        <v>0</v>
      </c>
      <c r="M51" s="59">
        <f t="shared" si="3"/>
        <v>0</v>
      </c>
      <c r="N51" s="61" t="str">
        <f>IF(Table2683245[[#This Row],[Fault Type]]="PM",IF(L51&lt;=(D51-C51),"Yes","No"),"")</f>
        <v/>
      </c>
      <c r="O51" s="62" t="str">
        <f t="shared" si="2"/>
        <v/>
      </c>
      <c r="P5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IF(Table2683245[[#This Row],[Fault Type]]="PM",IF(L52&lt;=(D52-C52),"Yes","No"),"")</f>
        <v/>
      </c>
      <c r="O52" s="62" t="str">
        <f t="shared" si="2"/>
        <v/>
      </c>
      <c r="P5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IF(Table2683245[[#This Row],[Fault Type]]="PM",IF(L53&lt;=(D53-C53),"Yes","No"),"")</f>
        <v/>
      </c>
      <c r="O53" s="62" t="str">
        <f t="shared" si="2"/>
        <v/>
      </c>
      <c r="P5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IF(Table2683245[[#This Row],[Fault Type]]="PM",IF(L54&lt;=(D54-C54),"Yes","No"),"")</f>
        <v/>
      </c>
      <c r="O54" s="62" t="str">
        <f t="shared" si="2"/>
        <v/>
      </c>
      <c r="P5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IF(Table2683245[[#This Row],[Fault Type]]="PM",IF(L55&lt;=(D55-C55),"Yes","No"),"")</f>
        <v/>
      </c>
      <c r="O55" s="62" t="str">
        <f t="shared" si="2"/>
        <v/>
      </c>
      <c r="P5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5" s="63"/>
    </row>
    <row r="56" spans="1:17" ht="15.5" x14ac:dyDescent="0.35">
      <c r="A56" s="58"/>
      <c r="B56" s="55"/>
      <c r="C56" s="56"/>
      <c r="D56" s="56"/>
      <c r="E56" s="13"/>
      <c r="F56" s="55"/>
      <c r="G56" s="55"/>
      <c r="H56" s="57"/>
      <c r="I56" s="18"/>
      <c r="J56" s="13"/>
      <c r="K56" s="60"/>
      <c r="L56" s="14">
        <f t="shared" si="0"/>
        <v>0</v>
      </c>
      <c r="M56" s="59">
        <f t="shared" si="3"/>
        <v>0</v>
      </c>
      <c r="N56" s="61" t="str">
        <f>IF(Table2683245[[#This Row],[Fault Type]]="PM",IF(L56&lt;=(D56-C56),"Yes","No"),"")</f>
        <v/>
      </c>
      <c r="O56" s="62" t="str">
        <f t="shared" si="2"/>
        <v/>
      </c>
      <c r="P5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6" s="63"/>
    </row>
    <row r="57" spans="1:17" ht="15.5" x14ac:dyDescent="0.35">
      <c r="A57" s="58"/>
      <c r="B57" s="55"/>
      <c r="C57" s="56"/>
      <c r="D57" s="56"/>
      <c r="E57" s="13"/>
      <c r="F57" s="55"/>
      <c r="G57" s="55"/>
      <c r="H57" s="57"/>
      <c r="I57" s="18"/>
      <c r="J57" s="13"/>
      <c r="K57" s="60"/>
      <c r="L57" s="14">
        <f t="shared" si="0"/>
        <v>0</v>
      </c>
      <c r="M57" s="59">
        <f t="shared" si="3"/>
        <v>0</v>
      </c>
      <c r="N57" s="61" t="str">
        <f>IF(Table2683245[[#This Row],[Fault Type]]="PM",IF(L57&lt;=(D57-C57),"Yes","No"),"")</f>
        <v/>
      </c>
      <c r="O57" s="62" t="str">
        <f t="shared" si="2"/>
        <v/>
      </c>
      <c r="P5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7" s="63"/>
    </row>
    <row r="58" spans="1:17" ht="15.5" x14ac:dyDescent="0.35">
      <c r="A58" s="58"/>
      <c r="B58" s="55"/>
      <c r="C58" s="56"/>
      <c r="D58" s="56"/>
      <c r="E58" s="13"/>
      <c r="F58" s="55"/>
      <c r="G58" s="55"/>
      <c r="H58" s="57"/>
      <c r="I58" s="18"/>
      <c r="J58" s="13"/>
      <c r="K58" s="60"/>
      <c r="L58" s="14">
        <f t="shared" si="0"/>
        <v>0</v>
      </c>
      <c r="M58" s="59">
        <f t="shared" si="3"/>
        <v>0</v>
      </c>
      <c r="N58" s="61" t="str">
        <f>IF(Table2683245[[#This Row],[Fault Type]]="PM",IF(L58&lt;=(D58-C58),"Yes","No"),"")</f>
        <v/>
      </c>
      <c r="O58" s="62" t="str">
        <f t="shared" si="2"/>
        <v/>
      </c>
      <c r="P5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IF(Table2683245[[#This Row],[Fault Type]]="PM",IF(L59&lt;=(D59-C59),"Yes","No"),"")</f>
        <v/>
      </c>
      <c r="O59" s="62" t="str">
        <f t="shared" si="2"/>
        <v/>
      </c>
      <c r="P5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IF(Table2683245[[#This Row],[Fault Type]]="PM",IF(L60&lt;=(D60-C60),"Yes","No"),"")</f>
        <v/>
      </c>
      <c r="O60" s="62" t="str">
        <f t="shared" si="2"/>
        <v/>
      </c>
      <c r="P6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IF(Table2683245[[#This Row],[Fault Type]]="PM",IF(L61&lt;=(D61-C61),"Yes","No"),"")</f>
        <v/>
      </c>
      <c r="O61" s="62" t="str">
        <f t="shared" si="2"/>
        <v/>
      </c>
      <c r="P6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IF(Table2683245[[#This Row],[Fault Type]]="PM",IF(L62&lt;=(D62-C62),"Yes","No"),"")</f>
        <v/>
      </c>
      <c r="O62" s="62" t="str">
        <f t="shared" si="2"/>
        <v/>
      </c>
      <c r="P6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IF(Table2683245[[#This Row],[Fault Type]]="PM",IF(L63&lt;=(D63-C63),"Yes","No"),"")</f>
        <v/>
      </c>
      <c r="O63" s="62" t="str">
        <f t="shared" si="2"/>
        <v/>
      </c>
      <c r="P6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IF(Table2683245[[#This Row],[Fault Type]]="PM",IF(L64&lt;=(D64-C64),"Yes","No"),"")</f>
        <v/>
      </c>
      <c r="O64" s="62" t="str">
        <f t="shared" si="2"/>
        <v/>
      </c>
      <c r="P6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IF(Table2683245[[#This Row],[Fault Type]]="PM",IF(L65&lt;=(D65-C65),"Yes","No"),"")</f>
        <v/>
      </c>
      <c r="O65" s="62" t="str">
        <f t="shared" si="2"/>
        <v/>
      </c>
      <c r="P6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5" s="63"/>
    </row>
    <row r="66" spans="1:17" ht="15.5" x14ac:dyDescent="0.35">
      <c r="A66" s="58"/>
      <c r="B66" s="55"/>
      <c r="C66" s="56"/>
      <c r="D66" s="56"/>
      <c r="E66" s="13"/>
      <c r="F66" s="55"/>
      <c r="G66" s="55"/>
      <c r="H66" s="57"/>
      <c r="I66" s="18"/>
      <c r="J66" s="13"/>
      <c r="K66" s="60"/>
      <c r="L66" s="14">
        <f t="shared" ref="L66:L79" si="4">J66-E66</f>
        <v>0</v>
      </c>
      <c r="M66" s="59">
        <f t="shared" si="3"/>
        <v>0</v>
      </c>
      <c r="N66" s="61" t="str">
        <f>IF(Table2683245[[#This Row],[Fault Type]]="PM",IF(L66&lt;=(D66-C66),"Yes","No"),"")</f>
        <v/>
      </c>
      <c r="O66" s="62" t="str">
        <f t="shared" ref="O66:O79" si="5">IF(N66="No",(L66-(D66-C66)),"")</f>
        <v/>
      </c>
      <c r="P6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IF(Table2683245[[#This Row],[Fault Type]]="PM",IF(L67&lt;=(D67-C67),"Yes","No"),"")</f>
        <v/>
      </c>
      <c r="O67" s="62" t="str">
        <f t="shared" si="5"/>
        <v/>
      </c>
      <c r="P6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IF(Table2683245[[#This Row],[Fault Type]]="PM",IF(L68&lt;=(D68-C68),"Yes","No"),"")</f>
        <v/>
      </c>
      <c r="O68" s="62" t="str">
        <f t="shared" si="5"/>
        <v/>
      </c>
      <c r="P6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IF(Table2683245[[#This Row],[Fault Type]]="PM",IF(L69&lt;=(D69-C69),"Yes","No"),"")</f>
        <v/>
      </c>
      <c r="O69" s="62" t="str">
        <f t="shared" si="5"/>
        <v/>
      </c>
      <c r="P6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IF(Table2683245[[#This Row],[Fault Type]]="PM",IF(L70&lt;=(D70-C70),"Yes","No"),"")</f>
        <v/>
      </c>
      <c r="O70" s="62" t="str">
        <f t="shared" si="5"/>
        <v/>
      </c>
      <c r="P70"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IF(Table2683245[[#This Row],[Fault Type]]="PM",IF(L71&lt;=(D71-C71),"Yes","No"),"")</f>
        <v/>
      </c>
      <c r="O71" s="62" t="str">
        <f t="shared" si="5"/>
        <v/>
      </c>
      <c r="P71"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IF(Table2683245[[#This Row],[Fault Type]]="PM",IF(L72&lt;=(D72-C72),"Yes","No"),"")</f>
        <v/>
      </c>
      <c r="O72" s="62" t="str">
        <f t="shared" si="5"/>
        <v/>
      </c>
      <c r="P72"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IF(Table2683245[[#This Row],[Fault Type]]="PM",IF(L73&lt;=(D73-C73),"Yes","No"),"")</f>
        <v/>
      </c>
      <c r="O73" s="62" t="str">
        <f t="shared" si="5"/>
        <v/>
      </c>
      <c r="P73"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IF(Table2683245[[#This Row],[Fault Type]]="PM",IF(L74&lt;=(D74-C74),"Yes","No"),"")</f>
        <v/>
      </c>
      <c r="O74" s="62" t="str">
        <f t="shared" si="5"/>
        <v/>
      </c>
      <c r="P74"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IF(Table2683245[[#This Row],[Fault Type]]="PM",IF(L75&lt;=(D75-C75),"Yes","No"),"")</f>
        <v/>
      </c>
      <c r="O75" s="62" t="str">
        <f t="shared" si="5"/>
        <v/>
      </c>
      <c r="P75"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IF(Table2683245[[#This Row],[Fault Type]]="PM",IF(L76&lt;=(D76-C76),"Yes","No"),"")</f>
        <v/>
      </c>
      <c r="O76" s="62" t="str">
        <f t="shared" si="5"/>
        <v/>
      </c>
      <c r="P76"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IF(Table2683245[[#This Row],[Fault Type]]="PM",IF(L77&lt;=(D77-C77),"Yes","No"),"")</f>
        <v/>
      </c>
      <c r="O77" s="62" t="str">
        <f t="shared" si="5"/>
        <v/>
      </c>
      <c r="P77"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IF(Table2683245[[#This Row],[Fault Type]]="PM",IF(L78&lt;=(D78-C78),"Yes","No"),"")</f>
        <v/>
      </c>
      <c r="O78" s="62" t="str">
        <f t="shared" si="5"/>
        <v/>
      </c>
      <c r="P78"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IF(Table2683245[[#This Row],[Fault Type]]="PM",IF(L79&lt;=(D79-C79),"Yes","No"),"")</f>
        <v/>
      </c>
      <c r="O79" s="62" t="str">
        <f t="shared" si="5"/>
        <v/>
      </c>
      <c r="P79" s="30" t="str">
        <f>IF(AND(Table2683245[[#This Row],[Name of Feeder]]&lt;&gt;"",OR(Table2683245[[#This Row],[Fault Type]]="TL",Table2683245[[#This Row],[Fault Type]]="TS",Table2683245[[#This Row],[Fault Type]]="UF",Table2683245[[#This Row],[Fault Type]]="SE")),(IF(AND(VLOOKUP(Table2683245[[#This Row],[Name of Feeder]],Main!D:E,2,0)="URBAN",ISNUMBER(SEARCH("33KV",Table2683245[[#This Row],[Name of Feeder]]))),IF(AND(Table2683245[[#This Row],[Outage Duration]]&gt;0,Table2683245[[#This Row],[Outage Duration]]&lt;=0.25),"Yes","No"),IF(AND(VLOOKUP(Table2683245[[#This Row],[Name of Feeder]],Main!D:E,2,0)="RURAL",ISNUMBER(SEARCH("33KV",Table2683245[[#This Row],[Name of Feeder]]))),IF(AND(Table2683245[[#This Row],[Outage Duration]]&gt;0,Table2683245[[#This Row],[Outage Duration]]&lt;=0.33),"Yes","No"),IF(AND(VLOOKUP(Table2683245[[#This Row],[Name of Feeder]],Main!D:E,2,0)="RURAL",ISNUMBER(SEARCH("11KV",Table2683245[[#This Row],[Name of Feeder]]))),IF(AND(Table2683245[[#This Row],[Outage Duration]]&gt;0,Table2683245[[#This Row],[Outage Duration]]&lt;=0.17),"Yes","No"),IF(AND(VLOOKUP(Table2683245[[#This Row],[Name of Feeder]],Main!D:E,2,0)="URBAN",ISNUMBER(SEARCH("11KV",Table2683245[[#This Row],[Name of Feeder]]))),IF(AND(Table2683245[[#This Row],[Outage Duration]]&gt;0,Table2683245[[#This Row],[Outage Duration]]&lt;=0.17),"Yes","No"),""))))),"")</f>
        <v/>
      </c>
      <c r="Q79" s="63"/>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900-000000000000}">
          <x14:formula1>
            <xm:f>Main!$F$226:$F$228</xm:f>
          </x14:formula1>
          <xm:sqref>I2:I79</xm:sqref>
        </x14:dataValidation>
        <x14:dataValidation type="list" allowBlank="1" showInputMessage="1" showErrorMessage="1" xr:uid="{00000000-0002-0000-1900-000001000000}">
          <x14:formula1>
            <xm:f>Main!$D$2:$D$196</xm:f>
          </x14:formula1>
          <xm:sqref>A2:A79</xm:sqref>
        </x14:dataValidation>
        <x14:dataValidation type="list" allowBlank="1" showInputMessage="1" showErrorMessage="1" xr:uid="{00000000-0002-0000-1900-000002000000}">
          <x14:formula1>
            <xm:f>Main!F$222:F$225</xm:f>
          </x14:formula1>
          <xm:sqref>G2:G79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80"/>
  <sheetViews>
    <sheetView topLeftCell="D16" zoomScale="70" zoomScaleNormal="70" workbookViewId="0">
      <selection activeCell="A2" sqref="A2:J35"/>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6" si="0">J2-E2</f>
        <v>0</v>
      </c>
      <c r="M2" s="31">
        <f t="shared" ref="M2:M24" si="1">L2*F2</f>
        <v>0</v>
      </c>
      <c r="N2" s="15" t="str">
        <f>IF(Table2683244[[#This Row],[Fault Type]]="PM",IF(L2&lt;=(D2-C2),"Yes","No"),"")</f>
        <v/>
      </c>
      <c r="O2" s="16" t="str">
        <f t="shared" ref="O2:O66" si="2">IF(N2="No",(L2-(D2-C2)),"")</f>
        <v/>
      </c>
      <c r="P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IF(Table2683244[[#This Row],[Fault Type]]="PM",IF(L3&lt;=(D3-C3),"Yes","No"),"")</f>
        <v/>
      </c>
      <c r="O3" s="16" t="str">
        <f t="shared" si="2"/>
        <v/>
      </c>
      <c r="P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IF(Table2683244[[#This Row],[Fault Type]]="PM",IF(L4&lt;=(D4-C4),"Yes","No"),"")</f>
        <v/>
      </c>
      <c r="O4" s="16" t="str">
        <f t="shared" si="2"/>
        <v/>
      </c>
      <c r="P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IF(Table2683244[[#This Row],[Fault Type]]="PM",IF(L5&lt;=(D5-C5),"Yes","No"),"")</f>
        <v/>
      </c>
      <c r="O5" s="16" t="str">
        <f t="shared" si="2"/>
        <v/>
      </c>
      <c r="P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IF(Table2683244[[#This Row],[Fault Type]]="PM",IF(L6&lt;=(D6-C6),"Yes","No"),"")</f>
        <v/>
      </c>
      <c r="O6" s="16" t="str">
        <f t="shared" si="2"/>
        <v/>
      </c>
      <c r="P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IF(Table2683244[[#This Row],[Fault Type]]="PM",IF(L7&lt;=(D7-C7),"Yes","No"),"")</f>
        <v/>
      </c>
      <c r="O7" s="16" t="str">
        <f t="shared" si="2"/>
        <v/>
      </c>
      <c r="P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IF(Table2683244[[#This Row],[Fault Type]]="PM",IF(L8&lt;=(D8-C8),"Yes","No"),"")</f>
        <v/>
      </c>
      <c r="O8" s="16" t="str">
        <f t="shared" si="2"/>
        <v/>
      </c>
      <c r="P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IF(Table2683244[[#This Row],[Fault Type]]="PM",IF(L9&lt;=(D9-C9),"Yes","No"),"")</f>
        <v/>
      </c>
      <c r="O9" s="16" t="str">
        <f t="shared" si="2"/>
        <v/>
      </c>
      <c r="P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IF(Table2683244[[#This Row],[Fault Type]]="PM",IF(L10&lt;=(D10-C10),"Yes","No"),"")</f>
        <v/>
      </c>
      <c r="O10" s="16" t="str">
        <f t="shared" si="2"/>
        <v/>
      </c>
      <c r="P1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IF(Table2683244[[#This Row],[Fault Type]]="PM",IF(L11&lt;=(D11-C11),"Yes","No"),"")</f>
        <v/>
      </c>
      <c r="O11" s="16" t="str">
        <f t="shared" si="2"/>
        <v/>
      </c>
      <c r="P1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IF(Table2683244[[#This Row],[Fault Type]]="PM",IF(L12&lt;=(D12-C12),"Yes","No"),"")</f>
        <v/>
      </c>
      <c r="O12" s="16" t="str">
        <f t="shared" si="2"/>
        <v/>
      </c>
      <c r="P1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2" s="17"/>
    </row>
    <row r="13" spans="1:17" s="116" customFormat="1" ht="15.5" x14ac:dyDescent="0.35">
      <c r="A13" s="131"/>
      <c r="B13" s="132"/>
      <c r="C13" s="133"/>
      <c r="D13" s="133"/>
      <c r="E13" s="133"/>
      <c r="F13" s="132"/>
      <c r="G13" s="132"/>
      <c r="H13" s="132"/>
      <c r="I13" s="132"/>
      <c r="J13" s="133"/>
      <c r="K13" s="136"/>
      <c r="L13" s="14">
        <f>J13-E13</f>
        <v>0</v>
      </c>
      <c r="M13" s="31">
        <f>L13*F13</f>
        <v>0</v>
      </c>
      <c r="N13" s="15" t="str">
        <f>IF(Table2683244[[#This Row],[Fault Type]]="PM",IF(L13&lt;=(D13-C13),"Yes","No"),"")</f>
        <v/>
      </c>
      <c r="O13" s="16" t="str">
        <f>IF(N13="No",(L13-(D13-C13)),"")</f>
        <v/>
      </c>
      <c r="P1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3" s="144"/>
    </row>
    <row r="14" spans="1:17" ht="15.5" x14ac:dyDescent="0.35">
      <c r="A14" s="4"/>
      <c r="B14" s="12"/>
      <c r="C14" s="13"/>
      <c r="D14" s="13"/>
      <c r="E14" s="13"/>
      <c r="F14" s="12"/>
      <c r="G14" s="12"/>
      <c r="H14" s="12"/>
      <c r="I14" s="12"/>
      <c r="J14" s="13"/>
      <c r="K14" s="32"/>
      <c r="L14" s="14">
        <f t="shared" si="0"/>
        <v>0</v>
      </c>
      <c r="M14" s="31">
        <f t="shared" si="1"/>
        <v>0</v>
      </c>
      <c r="N14" s="15" t="str">
        <f>IF(Table2683244[[#This Row],[Fault Type]]="PM",IF(L14&lt;=(D14-C14),"Yes","No"),"")</f>
        <v/>
      </c>
      <c r="O14" s="16" t="str">
        <f t="shared" si="2"/>
        <v/>
      </c>
      <c r="P1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4" s="17"/>
    </row>
    <row r="15" spans="1:17" ht="15.5" x14ac:dyDescent="0.35">
      <c r="A15" s="4"/>
      <c r="B15" s="12"/>
      <c r="C15" s="13"/>
      <c r="D15" s="13"/>
      <c r="E15" s="13"/>
      <c r="F15" s="12"/>
      <c r="G15" s="12"/>
      <c r="H15" s="12"/>
      <c r="I15" s="12"/>
      <c r="J15" s="13"/>
      <c r="K15" s="32"/>
      <c r="L15" s="14">
        <f t="shared" si="0"/>
        <v>0</v>
      </c>
      <c r="M15" s="31">
        <f t="shared" si="1"/>
        <v>0</v>
      </c>
      <c r="N15" s="15" t="str">
        <f>IF(Table2683244[[#This Row],[Fault Type]]="PM",IF(L15&lt;=(D15-C15),"Yes","No"),"")</f>
        <v/>
      </c>
      <c r="O15" s="16" t="str">
        <f t="shared" si="2"/>
        <v/>
      </c>
      <c r="P1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5" s="17"/>
    </row>
    <row r="16" spans="1:17" ht="15.5" x14ac:dyDescent="0.35">
      <c r="A16" s="4"/>
      <c r="B16" s="12"/>
      <c r="C16" s="13"/>
      <c r="D16" s="13"/>
      <c r="E16" s="13"/>
      <c r="F16" s="12"/>
      <c r="G16" s="12"/>
      <c r="H16" s="12"/>
      <c r="I16" s="12"/>
      <c r="J16" s="13"/>
      <c r="K16" s="32"/>
      <c r="L16" s="14">
        <f t="shared" si="0"/>
        <v>0</v>
      </c>
      <c r="M16" s="31">
        <f t="shared" si="1"/>
        <v>0</v>
      </c>
      <c r="N16" s="15" t="str">
        <f>IF(Table2683244[[#This Row],[Fault Type]]="PM",IF(L16&lt;=(D16-C16),"Yes","No"),"")</f>
        <v/>
      </c>
      <c r="O16" s="16" t="str">
        <f t="shared" si="2"/>
        <v/>
      </c>
      <c r="P1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6" s="17"/>
    </row>
    <row r="17" spans="1:17" ht="15.5" x14ac:dyDescent="0.35">
      <c r="A17" s="4"/>
      <c r="B17" s="12"/>
      <c r="C17" s="13"/>
      <c r="D17" s="13"/>
      <c r="E17" s="13"/>
      <c r="F17" s="18"/>
      <c r="G17" s="12"/>
      <c r="H17" s="18"/>
      <c r="I17" s="18"/>
      <c r="J17" s="13"/>
      <c r="K17" s="32"/>
      <c r="L17" s="14">
        <f t="shared" si="0"/>
        <v>0</v>
      </c>
      <c r="M17" s="31">
        <f t="shared" si="1"/>
        <v>0</v>
      </c>
      <c r="N17" s="15" t="str">
        <f>IF(Table2683244[[#This Row],[Fault Type]]="PM",IF(L17&lt;=(D17-C17),"Yes","No"),"")</f>
        <v/>
      </c>
      <c r="O17" s="16" t="str">
        <f t="shared" si="2"/>
        <v/>
      </c>
      <c r="P1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7" s="17"/>
    </row>
    <row r="18" spans="1:17" ht="15.5" x14ac:dyDescent="0.35">
      <c r="A18" s="4"/>
      <c r="B18" s="12"/>
      <c r="C18" s="13"/>
      <c r="D18" s="13"/>
      <c r="E18" s="13"/>
      <c r="F18" s="12"/>
      <c r="G18" s="12"/>
      <c r="H18" s="12"/>
      <c r="I18" s="12"/>
      <c r="J18" s="13"/>
      <c r="K18" s="32"/>
      <c r="L18" s="14">
        <f t="shared" si="0"/>
        <v>0</v>
      </c>
      <c r="M18" s="31">
        <f t="shared" si="1"/>
        <v>0</v>
      </c>
      <c r="N18" s="15" t="str">
        <f>IF(Table2683244[[#This Row],[Fault Type]]="PM",IF(L18&lt;=(D18-C18),"Yes","No"),"")</f>
        <v/>
      </c>
      <c r="O18" s="16" t="str">
        <f t="shared" si="2"/>
        <v/>
      </c>
      <c r="P1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8" s="17"/>
    </row>
    <row r="19" spans="1:17" ht="15.5" x14ac:dyDescent="0.35">
      <c r="A19" s="4"/>
      <c r="B19" s="12"/>
      <c r="C19" s="13"/>
      <c r="D19" s="13"/>
      <c r="E19" s="13"/>
      <c r="F19" s="18"/>
      <c r="G19" s="12"/>
      <c r="H19" s="18"/>
      <c r="I19" s="18"/>
      <c r="J19" s="13"/>
      <c r="K19" s="32"/>
      <c r="L19" s="14">
        <f t="shared" si="0"/>
        <v>0</v>
      </c>
      <c r="M19" s="31">
        <f t="shared" si="1"/>
        <v>0</v>
      </c>
      <c r="N19" s="15" t="str">
        <f>IF(Table2683244[[#This Row],[Fault Type]]="PM",IF(L19&lt;=(D19-C19),"Yes","No"),"")</f>
        <v/>
      </c>
      <c r="O19" s="16" t="str">
        <f t="shared" si="2"/>
        <v/>
      </c>
      <c r="P1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19" s="17"/>
    </row>
    <row r="20" spans="1:17" ht="15.5" x14ac:dyDescent="0.35">
      <c r="A20" s="4"/>
      <c r="B20" s="12"/>
      <c r="C20" s="13"/>
      <c r="D20" s="13"/>
      <c r="E20" s="13"/>
      <c r="F20" s="18"/>
      <c r="G20" s="12"/>
      <c r="H20" s="18"/>
      <c r="I20" s="18"/>
      <c r="J20" s="13"/>
      <c r="K20" s="32"/>
      <c r="L20" s="14">
        <f t="shared" si="0"/>
        <v>0</v>
      </c>
      <c r="M20" s="31">
        <f t="shared" si="1"/>
        <v>0</v>
      </c>
      <c r="N20" s="15" t="str">
        <f>IF(Table2683244[[#This Row],[Fault Type]]="PM",IF(L20&lt;=(D20-C20),"Yes","No"),"")</f>
        <v/>
      </c>
      <c r="O20" s="16" t="str">
        <f t="shared" si="2"/>
        <v/>
      </c>
      <c r="P2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0" s="17"/>
    </row>
    <row r="21" spans="1:17" ht="15.5" x14ac:dyDescent="0.35">
      <c r="A21" s="4"/>
      <c r="B21" s="12"/>
      <c r="C21" s="13"/>
      <c r="D21" s="13"/>
      <c r="E21" s="13"/>
      <c r="F21" s="165"/>
      <c r="G21" s="159"/>
      <c r="H21" s="54"/>
      <c r="I21" s="54"/>
      <c r="J21" s="13"/>
      <c r="K21" s="32"/>
      <c r="L21" s="14">
        <f t="shared" si="0"/>
        <v>0</v>
      </c>
      <c r="M21" s="31">
        <f t="shared" si="1"/>
        <v>0</v>
      </c>
      <c r="N21" s="15" t="str">
        <f>IF(Table2683244[[#This Row],[Fault Type]]="PM",IF(L21&lt;=(D21-C21),"Yes","No"),"")</f>
        <v/>
      </c>
      <c r="O21" s="16" t="str">
        <f t="shared" si="2"/>
        <v/>
      </c>
      <c r="P2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1" s="17"/>
    </row>
    <row r="22" spans="1:17" ht="15.5" x14ac:dyDescent="0.35">
      <c r="A22" s="4"/>
      <c r="B22" s="12"/>
      <c r="C22" s="13"/>
      <c r="D22" s="13"/>
      <c r="E22" s="13"/>
      <c r="F22" s="18"/>
      <c r="G22" s="12"/>
      <c r="H22" s="18"/>
      <c r="I22" s="18"/>
      <c r="J22" s="13"/>
      <c r="K22" s="32"/>
      <c r="L22" s="14">
        <f t="shared" si="0"/>
        <v>0</v>
      </c>
      <c r="M22" s="31">
        <f t="shared" si="1"/>
        <v>0</v>
      </c>
      <c r="N22" s="15" t="str">
        <f>IF(Table2683244[[#This Row],[Fault Type]]="PM",IF(L22&lt;=(D22-C22),"Yes","No"),"")</f>
        <v/>
      </c>
      <c r="O22" s="16" t="str">
        <f t="shared" si="2"/>
        <v/>
      </c>
      <c r="P2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2" s="17"/>
    </row>
    <row r="23" spans="1:17" ht="15.5" x14ac:dyDescent="0.35">
      <c r="A23" s="4"/>
      <c r="B23" s="12"/>
      <c r="C23" s="13"/>
      <c r="D23" s="13"/>
      <c r="E23" s="13"/>
      <c r="F23" s="18"/>
      <c r="G23" s="12"/>
      <c r="H23" s="18"/>
      <c r="I23" s="18"/>
      <c r="J23" s="13"/>
      <c r="K23" s="32"/>
      <c r="L23" s="14">
        <f t="shared" si="0"/>
        <v>0</v>
      </c>
      <c r="M23" s="31">
        <f t="shared" si="1"/>
        <v>0</v>
      </c>
      <c r="N23" s="15" t="str">
        <f>IF(Table2683244[[#This Row],[Fault Type]]="PM",IF(L23&lt;=(D23-C23),"Yes","No"),"")</f>
        <v/>
      </c>
      <c r="O23" s="16" t="str">
        <f t="shared" si="2"/>
        <v/>
      </c>
      <c r="P2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3" s="17"/>
    </row>
    <row r="24" spans="1:17" ht="15.5" x14ac:dyDescent="0.35">
      <c r="A24" s="158"/>
      <c r="B24" s="12"/>
      <c r="C24" s="13"/>
      <c r="D24" s="13"/>
      <c r="E24" s="13"/>
      <c r="F24" s="18"/>
      <c r="G24" s="12"/>
      <c r="H24" s="18"/>
      <c r="I24" s="18"/>
      <c r="J24" s="13"/>
      <c r="K24" s="32"/>
      <c r="L24" s="14">
        <f t="shared" si="0"/>
        <v>0</v>
      </c>
      <c r="M24" s="31">
        <f t="shared" si="1"/>
        <v>0</v>
      </c>
      <c r="N24" s="15" t="str">
        <f>IF(Table2683244[[#This Row],[Fault Type]]="PM",IF(L24&lt;=(D24-C24),"Yes","No"),"")</f>
        <v/>
      </c>
      <c r="O24" s="16" t="str">
        <f t="shared" si="2"/>
        <v/>
      </c>
      <c r="P2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4" s="17"/>
    </row>
    <row r="25" spans="1:17" ht="15.5" x14ac:dyDescent="0.35">
      <c r="A25" s="4"/>
      <c r="B25" s="12"/>
      <c r="C25" s="13"/>
      <c r="D25" s="13"/>
      <c r="E25" s="13"/>
      <c r="F25" s="18"/>
      <c r="G25" s="12"/>
      <c r="H25" s="18"/>
      <c r="I25" s="18"/>
      <c r="J25" s="13"/>
      <c r="K25" s="32"/>
      <c r="L25" s="14">
        <f t="shared" si="0"/>
        <v>0</v>
      </c>
      <c r="M25" s="31">
        <f t="shared" ref="M25:M80" si="3">L25*F25</f>
        <v>0</v>
      </c>
      <c r="N25" s="15" t="str">
        <f>IF(Table2683244[[#This Row],[Fault Type]]="PM",IF(L25&lt;=(D25-C25),"Yes","No"),"")</f>
        <v/>
      </c>
      <c r="O25" s="16" t="str">
        <f t="shared" si="2"/>
        <v/>
      </c>
      <c r="P2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5" s="17"/>
    </row>
    <row r="26" spans="1:17" ht="15.5" x14ac:dyDescent="0.35">
      <c r="A26" s="4"/>
      <c r="B26" s="12"/>
      <c r="C26" s="13"/>
      <c r="D26" s="13"/>
      <c r="E26" s="13"/>
      <c r="F26" s="18"/>
      <c r="G26" s="12"/>
      <c r="H26" s="18"/>
      <c r="I26" s="18"/>
      <c r="J26" s="13"/>
      <c r="K26" s="32"/>
      <c r="L26" s="14">
        <f t="shared" si="0"/>
        <v>0</v>
      </c>
      <c r="M26" s="31">
        <f t="shared" si="3"/>
        <v>0</v>
      </c>
      <c r="N26" s="15" t="str">
        <f>IF(Table2683244[[#This Row],[Fault Type]]="PM",IF(L26&lt;=(D26-C26),"Yes","No"),"")</f>
        <v/>
      </c>
      <c r="O26" s="16" t="str">
        <f t="shared" si="2"/>
        <v/>
      </c>
      <c r="P2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6" s="17"/>
    </row>
    <row r="27" spans="1:17" ht="15.5" x14ac:dyDescent="0.35">
      <c r="A27" s="4"/>
      <c r="B27" s="12"/>
      <c r="C27" s="13"/>
      <c r="D27" s="13"/>
      <c r="E27" s="13"/>
      <c r="F27" s="12"/>
      <c r="G27" s="12"/>
      <c r="H27" s="12"/>
      <c r="I27" s="12"/>
      <c r="J27" s="13"/>
      <c r="K27" s="32"/>
      <c r="L27" s="14">
        <f t="shared" si="0"/>
        <v>0</v>
      </c>
      <c r="M27" s="31">
        <f t="shared" si="3"/>
        <v>0</v>
      </c>
      <c r="N27" s="15" t="str">
        <f>IF(Table2683244[[#This Row],[Fault Type]]="PM",IF(L27&lt;=(D27-C27),"Yes","No"),"")</f>
        <v/>
      </c>
      <c r="O27" s="16" t="str">
        <f t="shared" si="2"/>
        <v/>
      </c>
      <c r="P2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7" s="17"/>
    </row>
    <row r="28" spans="1:17" ht="15.5" x14ac:dyDescent="0.35">
      <c r="A28" s="4"/>
      <c r="B28" s="12"/>
      <c r="C28" s="13"/>
      <c r="D28" s="13"/>
      <c r="E28" s="13"/>
      <c r="F28" s="18"/>
      <c r="G28" s="12"/>
      <c r="H28" s="18"/>
      <c r="I28" s="18"/>
      <c r="J28" s="13"/>
      <c r="K28" s="32"/>
      <c r="L28" s="14">
        <f t="shared" si="0"/>
        <v>0</v>
      </c>
      <c r="M28" s="31">
        <f t="shared" si="3"/>
        <v>0</v>
      </c>
      <c r="N28" s="15" t="str">
        <f>IF(Table2683244[[#This Row],[Fault Type]]="PM",IF(L28&lt;=(D28-C28),"Yes","No"),"")</f>
        <v/>
      </c>
      <c r="O28" s="16" t="str">
        <f t="shared" si="2"/>
        <v/>
      </c>
      <c r="P2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8" s="17"/>
    </row>
    <row r="29" spans="1:17" ht="15.5" x14ac:dyDescent="0.35">
      <c r="A29" s="158"/>
      <c r="B29" s="12"/>
      <c r="C29" s="13"/>
      <c r="D29" s="13"/>
      <c r="E29" s="13"/>
      <c r="F29" s="18"/>
      <c r="G29" s="12"/>
      <c r="H29" s="18"/>
      <c r="I29" s="18"/>
      <c r="J29" s="13"/>
      <c r="K29" s="32"/>
      <c r="L29" s="14">
        <f t="shared" si="0"/>
        <v>0</v>
      </c>
      <c r="M29" s="31">
        <f t="shared" si="3"/>
        <v>0</v>
      </c>
      <c r="N29" s="15" t="str">
        <f>IF(Table2683244[[#This Row],[Fault Type]]="PM",IF(L29&lt;=(D29-C29),"Yes","No"),"")</f>
        <v/>
      </c>
      <c r="O29" s="16" t="str">
        <f t="shared" si="2"/>
        <v/>
      </c>
      <c r="P2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29" s="17"/>
    </row>
    <row r="30" spans="1:17" ht="15.5" x14ac:dyDescent="0.35">
      <c r="A30" s="4"/>
      <c r="B30" s="12"/>
      <c r="C30" s="13"/>
      <c r="D30" s="13"/>
      <c r="E30" s="13"/>
      <c r="F30" s="12"/>
      <c r="G30" s="12"/>
      <c r="H30" s="12"/>
      <c r="I30" s="12"/>
      <c r="J30" s="13"/>
      <c r="K30" s="32"/>
      <c r="L30" s="14">
        <f t="shared" si="0"/>
        <v>0</v>
      </c>
      <c r="M30" s="31">
        <f t="shared" si="3"/>
        <v>0</v>
      </c>
      <c r="N30" s="15" t="str">
        <f>IF(Table2683244[[#This Row],[Fault Type]]="PM",IF(L30&lt;=(D30-C30),"Yes","No"),"")</f>
        <v/>
      </c>
      <c r="O30" s="16" t="str">
        <f t="shared" si="2"/>
        <v/>
      </c>
      <c r="P3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0" s="17"/>
    </row>
    <row r="31" spans="1:17" ht="15.5" x14ac:dyDescent="0.35">
      <c r="A31" s="4"/>
      <c r="B31" s="12"/>
      <c r="C31" s="13"/>
      <c r="D31" s="13"/>
      <c r="E31" s="13"/>
      <c r="F31" s="18"/>
      <c r="G31" s="12"/>
      <c r="H31" s="18"/>
      <c r="I31" s="18"/>
      <c r="J31" s="13"/>
      <c r="K31" s="32"/>
      <c r="L31" s="14">
        <f t="shared" si="0"/>
        <v>0</v>
      </c>
      <c r="M31" s="31">
        <f t="shared" si="3"/>
        <v>0</v>
      </c>
      <c r="N31" s="15" t="str">
        <f>IF(Table2683244[[#This Row],[Fault Type]]="PM",IF(L31&lt;=(D31-C31),"Yes","No"),"")</f>
        <v/>
      </c>
      <c r="O31" s="16" t="str">
        <f t="shared" si="2"/>
        <v/>
      </c>
      <c r="P3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IF(Table2683244[[#This Row],[Fault Type]]="PM",IF(L32&lt;=(D32-C32),"Yes","No"),"")</f>
        <v/>
      </c>
      <c r="O32" s="16" t="str">
        <f t="shared" si="2"/>
        <v/>
      </c>
      <c r="P3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IF(Table2683244[[#This Row],[Fault Type]]="PM",IF(L33&lt;=(D33-C33),"Yes","No"),"")</f>
        <v/>
      </c>
      <c r="O33" s="16" t="str">
        <f t="shared" si="2"/>
        <v/>
      </c>
      <c r="P3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IF(Table2683244[[#This Row],[Fault Type]]="PM",IF(L34&lt;=(D34-C34),"Yes","No"),"")</f>
        <v/>
      </c>
      <c r="O34" s="16" t="str">
        <f t="shared" si="2"/>
        <v/>
      </c>
      <c r="P3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IF(Table2683244[[#This Row],[Fault Type]]="PM",IF(L35&lt;=(D35-C35),"Yes","No"),"")</f>
        <v/>
      </c>
      <c r="O35" s="16" t="str">
        <f t="shared" si="2"/>
        <v/>
      </c>
      <c r="P3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IF(Table2683244[[#This Row],[Fault Type]]="PM",IF(L36&lt;=(D36-C36),"Yes","No"),"")</f>
        <v/>
      </c>
      <c r="O36" s="16" t="str">
        <f t="shared" si="2"/>
        <v/>
      </c>
      <c r="P3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IF(Table2683244[[#This Row],[Fault Type]]="PM",IF(L37&lt;=(D37-C37),"Yes","No"),"")</f>
        <v/>
      </c>
      <c r="O37" s="16" t="str">
        <f t="shared" si="2"/>
        <v/>
      </c>
      <c r="P3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IF(Table2683244[[#This Row],[Fault Type]]="PM",IF(L38&lt;=(D38-C38),"Yes","No"),"")</f>
        <v/>
      </c>
      <c r="O38" s="16" t="str">
        <f t="shared" si="2"/>
        <v/>
      </c>
      <c r="P3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IF(Table2683244[[#This Row],[Fault Type]]="PM",IF(L39&lt;=(D39-C39),"Yes","No"),"")</f>
        <v/>
      </c>
      <c r="O39" s="16" t="str">
        <f t="shared" si="2"/>
        <v/>
      </c>
      <c r="P3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IF(Table2683244[[#This Row],[Fault Type]]="PM",IF(L40&lt;=(D40-C40),"Yes","No"),"")</f>
        <v/>
      </c>
      <c r="O40" s="16" t="str">
        <f t="shared" si="2"/>
        <v/>
      </c>
      <c r="P4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IF(Table2683244[[#This Row],[Fault Type]]="PM",IF(L41&lt;=(D41-C41),"Yes","No"),"")</f>
        <v/>
      </c>
      <c r="O41" s="16" t="str">
        <f t="shared" si="2"/>
        <v/>
      </c>
      <c r="P4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1" s="17"/>
    </row>
    <row r="42" spans="1:17" ht="15.5" x14ac:dyDescent="0.35">
      <c r="A42" s="4"/>
      <c r="B42" s="12"/>
      <c r="C42" s="13"/>
      <c r="D42" s="13"/>
      <c r="E42" s="13"/>
      <c r="F42" s="18"/>
      <c r="G42" s="12"/>
      <c r="H42" s="18"/>
      <c r="I42" s="18"/>
      <c r="J42" s="118"/>
      <c r="K42" s="32"/>
      <c r="L42" s="14">
        <f t="shared" si="0"/>
        <v>0</v>
      </c>
      <c r="M42" s="31">
        <f t="shared" si="3"/>
        <v>0</v>
      </c>
      <c r="N42" s="15" t="str">
        <f>IF(Table2683244[[#This Row],[Fault Type]]="PM",IF(L42&lt;=(D42-C42),"Yes","No"),"")</f>
        <v/>
      </c>
      <c r="O42" s="16" t="str">
        <f t="shared" si="2"/>
        <v/>
      </c>
      <c r="P4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IF(Table2683244[[#This Row],[Fault Type]]="PM",IF(L43&lt;=(D43-C43),"Yes","No"),"")</f>
        <v/>
      </c>
      <c r="O43" s="16" t="str">
        <f t="shared" si="2"/>
        <v/>
      </c>
      <c r="P4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IF(Table2683244[[#This Row],[Fault Type]]="PM",IF(L44&lt;=(D44-C44),"Yes","No"),"")</f>
        <v/>
      </c>
      <c r="O44" s="16" t="str">
        <f t="shared" si="2"/>
        <v/>
      </c>
      <c r="P4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IF(Table2683244[[#This Row],[Fault Type]]="PM",IF(L45&lt;=(D45-C45),"Yes","No"),"")</f>
        <v/>
      </c>
      <c r="O45" s="16" t="str">
        <f t="shared" si="2"/>
        <v/>
      </c>
      <c r="P4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5" s="17"/>
    </row>
    <row r="46" spans="1:17" ht="15.75" customHeight="1" x14ac:dyDescent="0.35">
      <c r="A46" s="4"/>
      <c r="B46" s="12"/>
      <c r="C46" s="13"/>
      <c r="D46" s="13"/>
      <c r="E46" s="13"/>
      <c r="F46" s="12"/>
      <c r="G46" s="12"/>
      <c r="H46" s="12"/>
      <c r="I46" s="12"/>
      <c r="J46" s="13"/>
      <c r="K46" s="32"/>
      <c r="L46" s="14">
        <f t="shared" si="0"/>
        <v>0</v>
      </c>
      <c r="M46" s="31">
        <f t="shared" si="3"/>
        <v>0</v>
      </c>
      <c r="N46" s="15" t="str">
        <f>IF(Table2683244[[#This Row],[Fault Type]]="PM",IF(L46&lt;=(D46-C46),"Yes","No"),"")</f>
        <v/>
      </c>
      <c r="O46" s="16" t="str">
        <f t="shared" si="2"/>
        <v/>
      </c>
      <c r="P4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6" s="17"/>
    </row>
    <row r="47" spans="1:17" ht="15.5" x14ac:dyDescent="0.35">
      <c r="A47" s="4"/>
      <c r="B47" s="12"/>
      <c r="C47" s="13"/>
      <c r="D47" s="13"/>
      <c r="E47" s="13"/>
      <c r="F47" s="18"/>
      <c r="G47" s="12"/>
      <c r="H47" s="18"/>
      <c r="I47" s="18"/>
      <c r="J47" s="13"/>
      <c r="K47" s="32"/>
      <c r="L47" s="14">
        <f t="shared" si="0"/>
        <v>0</v>
      </c>
      <c r="M47" s="31">
        <f t="shared" si="3"/>
        <v>0</v>
      </c>
      <c r="N47" s="15" t="str">
        <f>IF(Table2683244[[#This Row],[Fault Type]]="PM",IF(L47&lt;=(D47-C47),"Yes","No"),"")</f>
        <v/>
      </c>
      <c r="O47" s="16" t="str">
        <f t="shared" si="2"/>
        <v/>
      </c>
      <c r="P4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7" s="17"/>
    </row>
    <row r="48" spans="1:17" ht="15.5" x14ac:dyDescent="0.35">
      <c r="A48" s="4"/>
      <c r="B48" s="49"/>
      <c r="C48" s="49"/>
      <c r="D48" s="49"/>
      <c r="E48" s="13"/>
      <c r="F48" s="64"/>
      <c r="G48" s="159"/>
      <c r="H48" s="54"/>
      <c r="I48" s="54"/>
      <c r="J48" s="13"/>
      <c r="K48" s="32"/>
      <c r="L48" s="14">
        <f t="shared" si="0"/>
        <v>0</v>
      </c>
      <c r="M48" s="53">
        <f t="shared" si="3"/>
        <v>0</v>
      </c>
      <c r="N48" s="50" t="str">
        <f>IF(Table2683244[[#This Row],[Fault Type]]="PM",IF(L48&lt;=(D48-C48),"Yes","No"),"")</f>
        <v/>
      </c>
      <c r="O48" s="51" t="str">
        <f t="shared" si="2"/>
        <v/>
      </c>
      <c r="P4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row>
    <row r="49" spans="1:17" ht="15.5" x14ac:dyDescent="0.35">
      <c r="A49" s="58"/>
      <c r="B49" s="55"/>
      <c r="C49" s="56"/>
      <c r="D49" s="56"/>
      <c r="E49" s="13"/>
      <c r="F49" s="55"/>
      <c r="G49" s="55"/>
      <c r="H49" s="57"/>
      <c r="I49" s="18"/>
      <c r="J49" s="13"/>
      <c r="K49" s="32"/>
      <c r="L49" s="14">
        <f t="shared" si="0"/>
        <v>0</v>
      </c>
      <c r="M49" s="59">
        <f t="shared" si="3"/>
        <v>0</v>
      </c>
      <c r="N49" s="61" t="str">
        <f>IF(Table2683244[[#This Row],[Fault Type]]="PM",IF(L49&lt;=(D49-C49),"Yes","No"),"")</f>
        <v/>
      </c>
      <c r="O49" s="62" t="str">
        <f t="shared" si="2"/>
        <v/>
      </c>
      <c r="P4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IF(Table2683244[[#This Row],[Fault Type]]="PM",IF(L50&lt;=(D50-C50),"Yes","No"),"")</f>
        <v/>
      </c>
      <c r="O50" s="62" t="str">
        <f t="shared" si="2"/>
        <v/>
      </c>
      <c r="P5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0" s="63"/>
    </row>
    <row r="51" spans="1:17" ht="15.5" x14ac:dyDescent="0.35">
      <c r="A51" s="58"/>
      <c r="B51" s="55"/>
      <c r="C51" s="56"/>
      <c r="D51" s="56"/>
      <c r="E51" s="13"/>
      <c r="F51" s="55"/>
      <c r="G51" s="55"/>
      <c r="H51" s="57"/>
      <c r="I51" s="18"/>
      <c r="J51" s="13"/>
      <c r="K51" s="32"/>
      <c r="L51" s="14">
        <f t="shared" si="0"/>
        <v>0</v>
      </c>
      <c r="M51" s="59">
        <f t="shared" si="3"/>
        <v>0</v>
      </c>
      <c r="N51" s="61" t="str">
        <f>IF(Table2683244[[#This Row],[Fault Type]]="PM",IF(L51&lt;=(D51-C51),"Yes","No"),"")</f>
        <v/>
      </c>
      <c r="O51" s="62" t="str">
        <f t="shared" si="2"/>
        <v/>
      </c>
      <c r="P5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1" s="63"/>
    </row>
    <row r="52" spans="1:17" ht="15.5" x14ac:dyDescent="0.35">
      <c r="A52" s="58"/>
      <c r="B52" s="55"/>
      <c r="C52" s="56"/>
      <c r="D52" s="56"/>
      <c r="E52" s="13"/>
      <c r="F52" s="55"/>
      <c r="G52" s="55"/>
      <c r="H52" s="57"/>
      <c r="I52" s="18"/>
      <c r="J52" s="13"/>
      <c r="K52" s="83"/>
      <c r="L52" s="14">
        <f t="shared" si="0"/>
        <v>0</v>
      </c>
      <c r="M52" s="59">
        <f t="shared" si="3"/>
        <v>0</v>
      </c>
      <c r="N52" s="61" t="str">
        <f>IF(Table2683244[[#This Row],[Fault Type]]="PM",IF(L52&lt;=(D52-C52),"Yes","No"),"")</f>
        <v/>
      </c>
      <c r="O52" s="62" t="str">
        <f t="shared" si="2"/>
        <v/>
      </c>
      <c r="P5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2" s="63"/>
    </row>
    <row r="53" spans="1:17" ht="15.5" x14ac:dyDescent="0.35">
      <c r="A53" s="58"/>
      <c r="B53" s="55"/>
      <c r="C53" s="56"/>
      <c r="D53" s="56"/>
      <c r="E53" s="13"/>
      <c r="F53" s="55"/>
      <c r="G53" s="55"/>
      <c r="H53" s="57"/>
      <c r="I53" s="18"/>
      <c r="J53" s="13"/>
      <c r="K53" s="83"/>
      <c r="L53" s="14">
        <f t="shared" si="0"/>
        <v>0</v>
      </c>
      <c r="M53" s="59">
        <f t="shared" si="3"/>
        <v>0</v>
      </c>
      <c r="N53" s="61" t="str">
        <f>IF(Table2683244[[#This Row],[Fault Type]]="PM",IF(L53&lt;=(D53-C53),"Yes","No"),"")</f>
        <v/>
      </c>
      <c r="O53" s="62" t="str">
        <f t="shared" si="2"/>
        <v/>
      </c>
      <c r="P5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IF(Table2683244[[#This Row],[Fault Type]]="PM",IF(L54&lt;=(D54-C54),"Yes","No"),"")</f>
        <v/>
      </c>
      <c r="O54" s="62" t="str">
        <f t="shared" si="2"/>
        <v/>
      </c>
      <c r="P5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IF(Table2683244[[#This Row],[Fault Type]]="PM",IF(L55&lt;=(D55-C55),"Yes","No"),"")</f>
        <v/>
      </c>
      <c r="O55" s="62" t="str">
        <f t="shared" si="2"/>
        <v/>
      </c>
      <c r="P5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IF(Table2683244[[#This Row],[Fault Type]]="PM",IF(L56&lt;=(D56-C56),"Yes","No"),"")</f>
        <v/>
      </c>
      <c r="O56" s="62" t="str">
        <f t="shared" si="2"/>
        <v/>
      </c>
      <c r="P5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6" s="63"/>
    </row>
    <row r="57" spans="1:17" ht="15.5" x14ac:dyDescent="0.35">
      <c r="A57" s="58"/>
      <c r="B57" s="55"/>
      <c r="C57" s="56"/>
      <c r="D57" s="56"/>
      <c r="E57" s="13"/>
      <c r="F57" s="55"/>
      <c r="G57" s="55"/>
      <c r="H57" s="57"/>
      <c r="I57" s="18"/>
      <c r="J57" s="13"/>
      <c r="K57" s="83"/>
      <c r="L57" s="14">
        <f t="shared" si="0"/>
        <v>0</v>
      </c>
      <c r="M57" s="59">
        <f t="shared" si="3"/>
        <v>0</v>
      </c>
      <c r="N57" s="61" t="str">
        <f>IF(Table2683244[[#This Row],[Fault Type]]="PM",IF(L57&lt;=(D57-C57),"Yes","No"),"")</f>
        <v/>
      </c>
      <c r="O57" s="62" t="str">
        <f t="shared" si="2"/>
        <v/>
      </c>
      <c r="P5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7" s="63"/>
    </row>
    <row r="58" spans="1:17" ht="15.5" x14ac:dyDescent="0.35">
      <c r="A58" s="58"/>
      <c r="B58" s="55"/>
      <c r="C58" s="56"/>
      <c r="D58" s="56"/>
      <c r="E58" s="13"/>
      <c r="F58" s="55"/>
      <c r="G58" s="55"/>
      <c r="H58" s="57"/>
      <c r="I58" s="18"/>
      <c r="J58" s="13"/>
      <c r="K58" s="83"/>
      <c r="L58" s="14">
        <f t="shared" si="0"/>
        <v>0</v>
      </c>
      <c r="M58" s="59">
        <f t="shared" si="3"/>
        <v>0</v>
      </c>
      <c r="N58" s="61" t="str">
        <f>IF(Table2683244[[#This Row],[Fault Type]]="PM",IF(L58&lt;=(D58-C58),"Yes","No"),"")</f>
        <v/>
      </c>
      <c r="O58" s="62" t="str">
        <f t="shared" si="2"/>
        <v/>
      </c>
      <c r="P5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IF(Table2683244[[#This Row],[Fault Type]]="PM",IF(L59&lt;=(D59-C59),"Yes","No"),"")</f>
        <v/>
      </c>
      <c r="O59" s="62" t="str">
        <f t="shared" si="2"/>
        <v/>
      </c>
      <c r="P5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IF(Table2683244[[#This Row],[Fault Type]]="PM",IF(L60&lt;=(D60-C60),"Yes","No"),"")</f>
        <v/>
      </c>
      <c r="O60" s="62" t="str">
        <f t="shared" si="2"/>
        <v/>
      </c>
      <c r="P6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IF(Table2683244[[#This Row],[Fault Type]]="PM",IF(L61&lt;=(D61-C61),"Yes","No"),"")</f>
        <v/>
      </c>
      <c r="O61" s="62" t="str">
        <f t="shared" si="2"/>
        <v/>
      </c>
      <c r="P6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IF(Table2683244[[#This Row],[Fault Type]]="PM",IF(L62&lt;=(D62-C62),"Yes","No"),"")</f>
        <v/>
      </c>
      <c r="O62" s="62" t="str">
        <f t="shared" si="2"/>
        <v/>
      </c>
      <c r="P6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IF(Table2683244[[#This Row],[Fault Type]]="PM",IF(L63&lt;=(D63-C63),"Yes","No"),"")</f>
        <v/>
      </c>
      <c r="O63" s="62" t="str">
        <f t="shared" si="2"/>
        <v/>
      </c>
      <c r="P6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IF(Table2683244[[#This Row],[Fault Type]]="PM",IF(L64&lt;=(D64-C64),"Yes","No"),"")</f>
        <v/>
      </c>
      <c r="O64" s="62" t="str">
        <f t="shared" si="2"/>
        <v/>
      </c>
      <c r="P6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IF(Table2683244[[#This Row],[Fault Type]]="PM",IF(L65&lt;=(D65-C65),"Yes","No"),"")</f>
        <v/>
      </c>
      <c r="O65" s="62" t="str">
        <f t="shared" si="2"/>
        <v/>
      </c>
      <c r="P6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5" s="63"/>
    </row>
    <row r="66" spans="1:17" ht="15.5" x14ac:dyDescent="0.35">
      <c r="A66" s="58"/>
      <c r="B66" s="55"/>
      <c r="C66" s="56"/>
      <c r="D66" s="56"/>
      <c r="E66" s="13"/>
      <c r="F66" s="55"/>
      <c r="G66" s="55"/>
      <c r="H66" s="57"/>
      <c r="I66" s="18"/>
      <c r="J66" s="13"/>
      <c r="K66" s="60"/>
      <c r="L66" s="14">
        <f t="shared" si="0"/>
        <v>0</v>
      </c>
      <c r="M66" s="59">
        <f t="shared" si="3"/>
        <v>0</v>
      </c>
      <c r="N66" s="61" t="str">
        <f>IF(Table2683244[[#This Row],[Fault Type]]="PM",IF(L66&lt;=(D66-C66),"Yes","No"),"")</f>
        <v/>
      </c>
      <c r="O66" s="62" t="str">
        <f t="shared" si="2"/>
        <v/>
      </c>
      <c r="P6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6" s="63"/>
    </row>
    <row r="67" spans="1:17" ht="15.5" x14ac:dyDescent="0.35">
      <c r="A67" s="58"/>
      <c r="B67" s="55"/>
      <c r="C67" s="56"/>
      <c r="D67" s="56"/>
      <c r="E67" s="13"/>
      <c r="F67" s="55"/>
      <c r="G67" s="55"/>
      <c r="H67" s="57"/>
      <c r="I67" s="18"/>
      <c r="J67" s="13"/>
      <c r="K67" s="60"/>
      <c r="L67" s="14">
        <f t="shared" ref="L67:L80" si="4">J67-E67</f>
        <v>0</v>
      </c>
      <c r="M67" s="59">
        <f t="shared" si="3"/>
        <v>0</v>
      </c>
      <c r="N67" s="61" t="str">
        <f>IF(Table2683244[[#This Row],[Fault Type]]="PM",IF(L67&lt;=(D67-C67),"Yes","No"),"")</f>
        <v/>
      </c>
      <c r="O67" s="62" t="str">
        <f t="shared" ref="O67:O80" si="5">IF(N67="No",(L67-(D67-C67)),"")</f>
        <v/>
      </c>
      <c r="P6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IF(Table2683244[[#This Row],[Fault Type]]="PM",IF(L68&lt;=(D68-C68),"Yes","No"),"")</f>
        <v/>
      </c>
      <c r="O68" s="62" t="str">
        <f t="shared" si="5"/>
        <v/>
      </c>
      <c r="P6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IF(Table2683244[[#This Row],[Fault Type]]="PM",IF(L69&lt;=(D69-C69),"Yes","No"),"")</f>
        <v/>
      </c>
      <c r="O69" s="62" t="str">
        <f t="shared" si="5"/>
        <v/>
      </c>
      <c r="P6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IF(Table2683244[[#This Row],[Fault Type]]="PM",IF(L70&lt;=(D70-C70),"Yes","No"),"")</f>
        <v/>
      </c>
      <c r="O70" s="62" t="str">
        <f t="shared" si="5"/>
        <v/>
      </c>
      <c r="P7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IF(Table2683244[[#This Row],[Fault Type]]="PM",IF(L71&lt;=(D71-C71),"Yes","No"),"")</f>
        <v/>
      </c>
      <c r="O71" s="62" t="str">
        <f t="shared" si="5"/>
        <v/>
      </c>
      <c r="P71"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IF(Table2683244[[#This Row],[Fault Type]]="PM",IF(L72&lt;=(D72-C72),"Yes","No"),"")</f>
        <v/>
      </c>
      <c r="O72" s="62" t="str">
        <f t="shared" si="5"/>
        <v/>
      </c>
      <c r="P72"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IF(Table2683244[[#This Row],[Fault Type]]="PM",IF(L73&lt;=(D73-C73),"Yes","No"),"")</f>
        <v/>
      </c>
      <c r="O73" s="62" t="str">
        <f t="shared" si="5"/>
        <v/>
      </c>
      <c r="P73"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IF(Table2683244[[#This Row],[Fault Type]]="PM",IF(L74&lt;=(D74-C74),"Yes","No"),"")</f>
        <v/>
      </c>
      <c r="O74" s="62" t="str">
        <f t="shared" si="5"/>
        <v/>
      </c>
      <c r="P74"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IF(Table2683244[[#This Row],[Fault Type]]="PM",IF(L75&lt;=(D75-C75),"Yes","No"),"")</f>
        <v/>
      </c>
      <c r="O75" s="62" t="str">
        <f t="shared" si="5"/>
        <v/>
      </c>
      <c r="P75"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IF(Table2683244[[#This Row],[Fault Type]]="PM",IF(L76&lt;=(D76-C76),"Yes","No"),"")</f>
        <v/>
      </c>
      <c r="O76" s="62" t="str">
        <f t="shared" si="5"/>
        <v/>
      </c>
      <c r="P76"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IF(Table2683244[[#This Row],[Fault Type]]="PM",IF(L77&lt;=(D77-C77),"Yes","No"),"")</f>
        <v/>
      </c>
      <c r="O77" s="62" t="str">
        <f t="shared" si="5"/>
        <v/>
      </c>
      <c r="P77"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IF(Table2683244[[#This Row],[Fault Type]]="PM",IF(L78&lt;=(D78-C78),"Yes","No"),"")</f>
        <v/>
      </c>
      <c r="O78" s="62" t="str">
        <f t="shared" si="5"/>
        <v/>
      </c>
      <c r="P78"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IF(Table2683244[[#This Row],[Fault Type]]="PM",IF(L79&lt;=(D79-C79),"Yes","No"),"")</f>
        <v/>
      </c>
      <c r="O79" s="62" t="str">
        <f t="shared" si="5"/>
        <v/>
      </c>
      <c r="P79"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79" s="63"/>
    </row>
    <row r="80" spans="1:17" ht="15.5" x14ac:dyDescent="0.35">
      <c r="A80" s="58"/>
      <c r="B80" s="55"/>
      <c r="C80" s="56"/>
      <c r="D80" s="56"/>
      <c r="E80" s="13"/>
      <c r="F80" s="55"/>
      <c r="G80" s="55"/>
      <c r="H80" s="57"/>
      <c r="I80" s="18"/>
      <c r="J80" s="13"/>
      <c r="K80" s="60"/>
      <c r="L80" s="14">
        <f t="shared" si="4"/>
        <v>0</v>
      </c>
      <c r="M80" s="59">
        <f t="shared" si="3"/>
        <v>0</v>
      </c>
      <c r="N80" s="61" t="str">
        <f>IF(Table2683244[[#This Row],[Fault Type]]="PM",IF(L80&lt;=(D80-C80),"Yes","No"),"")</f>
        <v/>
      </c>
      <c r="O80" s="62" t="str">
        <f t="shared" si="5"/>
        <v/>
      </c>
      <c r="P80" s="30" t="str">
        <f>IF(AND(Table2683244[[#This Row],[Name of Feeder]]&lt;&gt;"",OR(Table2683244[[#This Row],[Fault Type]]="TL",Table2683244[[#This Row],[Fault Type]]="TS",Table2683244[[#This Row],[Fault Type]]="UF",Table2683244[[#This Row],[Fault Type]]="SE")),(IF(AND(VLOOKUP(Table2683244[[#This Row],[Name of Feeder]],Main!D:E,2,0)="URBAN",ISNUMBER(SEARCH("33KV",Table2683244[[#This Row],[Name of Feeder]]))),IF(AND(Table2683244[[#This Row],[Outage Duration]]&gt;0,Table2683244[[#This Row],[Outage Duration]]&lt;=0.25),"Yes","No"),IF(AND(VLOOKUP(Table2683244[[#This Row],[Name of Feeder]],Main!D:E,2,0)="RURAL",ISNUMBER(SEARCH("33KV",Table2683244[[#This Row],[Name of Feeder]]))),IF(AND(Table2683244[[#This Row],[Outage Duration]]&gt;0,Table2683244[[#This Row],[Outage Duration]]&lt;=0.33),"Yes","No"),IF(AND(VLOOKUP(Table2683244[[#This Row],[Name of Feeder]],Main!D:E,2,0)="RURAL",ISNUMBER(SEARCH("11KV",Table2683244[[#This Row],[Name of Feeder]]))),IF(AND(Table2683244[[#This Row],[Outage Duration]]&gt;0,Table2683244[[#This Row],[Outage Duration]]&lt;=0.17),"Yes","No"),IF(AND(VLOOKUP(Table2683244[[#This Row],[Name of Feeder]],Main!D:E,2,0)="URBAN",ISNUMBER(SEARCH("11KV",Table2683244[[#This Row],[Name of Feeder]]))),IF(AND(Table2683244[[#This Row],[Outage Duration]]&gt;0,Table2683244[[#This Row],[Outage Duration]]&lt;=0.17),"Yes","No"),""))))),"")</f>
        <v/>
      </c>
      <c r="Q80"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A00-000000000000}">
          <x14:formula1>
            <xm:f>Main!$F$226:$F$228</xm:f>
          </x14:formula1>
          <xm:sqref>I2:I80</xm:sqref>
        </x14:dataValidation>
        <x14:dataValidation type="list" allowBlank="1" showInputMessage="1" showErrorMessage="1" xr:uid="{00000000-0002-0000-1A00-000001000000}">
          <x14:formula1>
            <xm:f>Main!$D$2:$D$196</xm:f>
          </x14:formula1>
          <xm:sqref>A2:A80</xm:sqref>
        </x14:dataValidation>
        <x14:dataValidation type="list" allowBlank="1" showInputMessage="1" showErrorMessage="1" xr:uid="{00000000-0002-0000-1A00-000002000000}">
          <x14:formula1>
            <xm:f>Main!F$222:F$225</xm:f>
          </x14:formula1>
          <xm:sqref>G2:G80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84"/>
  <sheetViews>
    <sheetView topLeftCell="D16" zoomScale="70" zoomScaleNormal="70" workbookViewId="0">
      <selection activeCell="A2" sqref="A2:K29"/>
    </sheetView>
  </sheetViews>
  <sheetFormatPr defaultRowHeight="14.5" x14ac:dyDescent="0.35"/>
  <cols>
    <col min="1" max="1" width="27.26953125" customWidth="1"/>
    <col min="2" max="2" width="8.26953125" customWidth="1"/>
    <col min="3" max="3" width="18.7265625" customWidth="1"/>
    <col min="4" max="4" width="18.54296875" customWidth="1"/>
    <col min="5" max="5" width="18.269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3" si="0">J2-E2</f>
        <v>0</v>
      </c>
      <c r="M2" s="31">
        <f t="shared" ref="M2:M23" si="1">L2*F2</f>
        <v>0</v>
      </c>
      <c r="N2" s="15" t="str">
        <f>IF(Table2683243[[#This Row],[Fault Type]]="PM",IF(L2&lt;=(D2-C2),"Yes","No"),"")</f>
        <v/>
      </c>
      <c r="O2" s="16" t="str">
        <f t="shared" ref="O2:O63" si="2">IF(N2="No",(L2-(D2-C2)),"")</f>
        <v/>
      </c>
      <c r="P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IF(Table2683243[[#This Row],[Fault Type]]="PM",IF(L3&lt;=(D3-C3),"Yes","No"),"")</f>
        <v/>
      </c>
      <c r="O3" s="16" t="str">
        <f t="shared" si="2"/>
        <v/>
      </c>
      <c r="P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IF(Table2683243[[#This Row],[Fault Type]]="PM",IF(L4&lt;=(D4-C4),"Yes","No"),"")</f>
        <v/>
      </c>
      <c r="O4" s="16" t="str">
        <f t="shared" si="2"/>
        <v/>
      </c>
      <c r="P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IF(Table2683243[[#This Row],[Fault Type]]="PM",IF(L5&lt;=(D5-C5),"Yes","No"),"")</f>
        <v/>
      </c>
      <c r="O5" s="16" t="str">
        <f t="shared" si="2"/>
        <v/>
      </c>
      <c r="P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IF(Table2683243[[#This Row],[Fault Type]]="PM",IF(L6&lt;=(D6-C6),"Yes","No"),"")</f>
        <v/>
      </c>
      <c r="O6" s="16" t="str">
        <f t="shared" si="2"/>
        <v/>
      </c>
      <c r="P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IF(Table2683243[[#This Row],[Fault Type]]="PM",IF(L7&lt;=(D7-C7),"Yes","No"),"")</f>
        <v/>
      </c>
      <c r="O7" s="16" t="str">
        <f t="shared" si="2"/>
        <v/>
      </c>
      <c r="P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IF(Table2683243[[#This Row],[Fault Type]]="PM",IF(L8&lt;=(D8-C8),"Yes","No"),"")</f>
        <v/>
      </c>
      <c r="O8" s="16" t="str">
        <f t="shared" si="2"/>
        <v/>
      </c>
      <c r="P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IF(Table2683243[[#This Row],[Fault Type]]="PM",IF(L9&lt;=(D9-C9),"Yes","No"),"")</f>
        <v/>
      </c>
      <c r="O9" s="16" t="str">
        <f t="shared" si="2"/>
        <v/>
      </c>
      <c r="P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IF(Table2683243[[#This Row],[Fault Type]]="PM",IF(L10&lt;=(D10-C10),"Yes","No"),"")</f>
        <v/>
      </c>
      <c r="O10" s="16" t="str">
        <f t="shared" si="2"/>
        <v/>
      </c>
      <c r="P1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IF(Table2683243[[#This Row],[Fault Type]]="PM",IF(L11&lt;=(D11-C11),"Yes","No"),"")</f>
        <v/>
      </c>
      <c r="O11" s="16" t="str">
        <f t="shared" si="2"/>
        <v/>
      </c>
      <c r="P1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IF(Table2683243[[#This Row],[Fault Type]]="PM",IF(L12&lt;=(D12-C12),"Yes","No"),"")</f>
        <v/>
      </c>
      <c r="O12" s="16" t="str">
        <f t="shared" si="2"/>
        <v/>
      </c>
      <c r="P1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2" s="144"/>
    </row>
    <row r="13" spans="1:17" ht="15.5" x14ac:dyDescent="0.35">
      <c r="A13" s="4"/>
      <c r="B13" s="12"/>
      <c r="C13" s="13"/>
      <c r="D13" s="13"/>
      <c r="E13" s="13"/>
      <c r="F13" s="12"/>
      <c r="G13" s="12"/>
      <c r="H13" s="12"/>
      <c r="I13" s="12"/>
      <c r="J13" s="13"/>
      <c r="K13" s="32"/>
      <c r="L13" s="14">
        <f t="shared" si="0"/>
        <v>0</v>
      </c>
      <c r="M13" s="31">
        <f t="shared" si="1"/>
        <v>0</v>
      </c>
      <c r="N13" s="15" t="str">
        <f>IF(Table2683243[[#This Row],[Fault Type]]="PM",IF(L13&lt;=(D13-C13),"Yes","No"),"")</f>
        <v/>
      </c>
      <c r="O13" s="16" t="str">
        <f t="shared" si="2"/>
        <v/>
      </c>
      <c r="P1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3" s="144"/>
    </row>
    <row r="14" spans="1:17" ht="15.5" x14ac:dyDescent="0.35">
      <c r="A14" s="4"/>
      <c r="B14" s="12"/>
      <c r="C14" s="13"/>
      <c r="D14" s="13"/>
      <c r="E14" s="13"/>
      <c r="F14" s="12"/>
      <c r="G14" s="12"/>
      <c r="H14" s="12"/>
      <c r="I14" s="12"/>
      <c r="J14" s="13"/>
      <c r="K14" s="32"/>
      <c r="L14" s="14">
        <f t="shared" si="0"/>
        <v>0</v>
      </c>
      <c r="M14" s="31">
        <f t="shared" si="1"/>
        <v>0</v>
      </c>
      <c r="N14" s="15" t="str">
        <f>IF(Table2683243[[#This Row],[Fault Type]]="PM",IF(L14&lt;=(D14-C14),"Yes","No"),"")</f>
        <v/>
      </c>
      <c r="O14" s="16" t="str">
        <f t="shared" si="2"/>
        <v/>
      </c>
      <c r="P1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4" s="144"/>
    </row>
    <row r="15" spans="1:17" ht="15.5" x14ac:dyDescent="0.35">
      <c r="A15" s="4"/>
      <c r="B15" s="12"/>
      <c r="C15" s="13"/>
      <c r="D15" s="13"/>
      <c r="E15" s="13"/>
      <c r="F15" s="12"/>
      <c r="G15" s="12"/>
      <c r="H15" s="12"/>
      <c r="I15" s="12"/>
      <c r="J15" s="13"/>
      <c r="K15" s="32"/>
      <c r="L15" s="14">
        <f t="shared" si="0"/>
        <v>0</v>
      </c>
      <c r="M15" s="31">
        <f t="shared" si="1"/>
        <v>0</v>
      </c>
      <c r="N15" s="15" t="str">
        <f>IF(Table2683243[[#This Row],[Fault Type]]="PM",IF(L15&lt;=(D15-C15),"Yes","No"),"")</f>
        <v/>
      </c>
      <c r="O15" s="16" t="str">
        <f t="shared" si="2"/>
        <v/>
      </c>
      <c r="P1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5" s="144"/>
    </row>
    <row r="16" spans="1:17" ht="15.5" x14ac:dyDescent="0.35">
      <c r="A16" s="4"/>
      <c r="B16" s="12"/>
      <c r="C16" s="13"/>
      <c r="D16" s="13"/>
      <c r="E16" s="13"/>
      <c r="F16" s="18"/>
      <c r="G16" s="12"/>
      <c r="H16" s="18"/>
      <c r="I16" s="18"/>
      <c r="J16" s="13"/>
      <c r="K16" s="32"/>
      <c r="L16" s="14">
        <f t="shared" si="0"/>
        <v>0</v>
      </c>
      <c r="M16" s="31">
        <f t="shared" si="1"/>
        <v>0</v>
      </c>
      <c r="N16" s="15" t="str">
        <f>IF(Table2683243[[#This Row],[Fault Type]]="PM",IF(L16&lt;=(D16-C16),"Yes","No"),"")</f>
        <v/>
      </c>
      <c r="O16" s="16" t="str">
        <f t="shared" si="2"/>
        <v/>
      </c>
      <c r="P1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6" s="144"/>
    </row>
    <row r="17" spans="1:17" ht="15.5" x14ac:dyDescent="0.35">
      <c r="A17" s="4"/>
      <c r="B17" s="12"/>
      <c r="C17" s="13"/>
      <c r="D17" s="13"/>
      <c r="E17" s="13"/>
      <c r="F17" s="12"/>
      <c r="G17" s="12"/>
      <c r="H17" s="12"/>
      <c r="I17" s="12"/>
      <c r="J17" s="13"/>
      <c r="K17" s="32"/>
      <c r="L17" s="14">
        <f t="shared" si="0"/>
        <v>0</v>
      </c>
      <c r="M17" s="31">
        <f t="shared" si="1"/>
        <v>0</v>
      </c>
      <c r="N17" s="15" t="str">
        <f>IF(Table2683243[[#This Row],[Fault Type]]="PM",IF(L17&lt;=(D17-C17),"Yes","No"),"")</f>
        <v/>
      </c>
      <c r="O17" s="16" t="str">
        <f t="shared" si="2"/>
        <v/>
      </c>
      <c r="P1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7" s="144"/>
    </row>
    <row r="18" spans="1:17" ht="15.5" x14ac:dyDescent="0.35">
      <c r="A18" s="4"/>
      <c r="B18" s="12"/>
      <c r="C18" s="13"/>
      <c r="D18" s="13"/>
      <c r="E18" s="13"/>
      <c r="F18" s="18"/>
      <c r="G18" s="12"/>
      <c r="H18" s="18"/>
      <c r="I18" s="18"/>
      <c r="J18" s="13"/>
      <c r="K18" s="32"/>
      <c r="L18" s="14">
        <f t="shared" si="0"/>
        <v>0</v>
      </c>
      <c r="M18" s="31">
        <f t="shared" si="1"/>
        <v>0</v>
      </c>
      <c r="N18" s="15" t="str">
        <f>IF(Table2683243[[#This Row],[Fault Type]]="PM",IF(L18&lt;=(D18-C18),"Yes","No"),"")</f>
        <v/>
      </c>
      <c r="O18" s="16" t="str">
        <f t="shared" si="2"/>
        <v/>
      </c>
      <c r="P1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8" s="144"/>
    </row>
    <row r="19" spans="1:17" ht="15.5" x14ac:dyDescent="0.35">
      <c r="A19" s="4"/>
      <c r="B19" s="12"/>
      <c r="C19" s="13"/>
      <c r="D19" s="13"/>
      <c r="E19" s="13"/>
      <c r="F19" s="18"/>
      <c r="G19" s="12"/>
      <c r="H19" s="18"/>
      <c r="I19" s="18"/>
      <c r="J19" s="13"/>
      <c r="K19" s="32"/>
      <c r="L19" s="14">
        <f t="shared" si="0"/>
        <v>0</v>
      </c>
      <c r="M19" s="31">
        <f t="shared" si="1"/>
        <v>0</v>
      </c>
      <c r="N19" s="15" t="str">
        <f>IF(Table2683243[[#This Row],[Fault Type]]="PM",IF(L19&lt;=(D19-C19),"Yes","No"),"")</f>
        <v/>
      </c>
      <c r="O19" s="16" t="str">
        <f t="shared" si="2"/>
        <v/>
      </c>
      <c r="P1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19" s="144"/>
    </row>
    <row r="20" spans="1:17" ht="15.5" x14ac:dyDescent="0.35">
      <c r="A20" s="4"/>
      <c r="B20" s="12"/>
      <c r="C20" s="13"/>
      <c r="D20" s="13"/>
      <c r="E20" s="13"/>
      <c r="F20" s="165"/>
      <c r="G20" s="159"/>
      <c r="H20" s="54"/>
      <c r="I20" s="54"/>
      <c r="J20" s="13"/>
      <c r="K20" s="32"/>
      <c r="L20" s="14">
        <f t="shared" si="0"/>
        <v>0</v>
      </c>
      <c r="M20" s="31">
        <f t="shared" si="1"/>
        <v>0</v>
      </c>
      <c r="N20" s="15" t="str">
        <f>IF(Table2683243[[#This Row],[Fault Type]]="PM",IF(L20&lt;=(D20-C20),"Yes","No"),"")</f>
        <v/>
      </c>
      <c r="O20" s="16" t="str">
        <f t="shared" si="2"/>
        <v/>
      </c>
      <c r="P2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0" s="144"/>
    </row>
    <row r="21" spans="1:17" ht="15.5" x14ac:dyDescent="0.35">
      <c r="A21" s="4"/>
      <c r="B21" s="12"/>
      <c r="C21" s="13"/>
      <c r="D21" s="13"/>
      <c r="E21" s="13"/>
      <c r="F21" s="18"/>
      <c r="G21" s="12"/>
      <c r="H21" s="18"/>
      <c r="I21" s="18"/>
      <c r="J21" s="13"/>
      <c r="K21" s="32"/>
      <c r="L21" s="14">
        <f t="shared" si="0"/>
        <v>0</v>
      </c>
      <c r="M21" s="31">
        <f t="shared" si="1"/>
        <v>0</v>
      </c>
      <c r="N21" s="15" t="str">
        <f>IF(Table2683243[[#This Row],[Fault Type]]="PM",IF(L21&lt;=(D21-C21),"Yes","No"),"")</f>
        <v/>
      </c>
      <c r="O21" s="16" t="str">
        <f t="shared" si="2"/>
        <v/>
      </c>
      <c r="P2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1" s="144"/>
    </row>
    <row r="22" spans="1:17" ht="15.5" x14ac:dyDescent="0.35">
      <c r="A22" s="4"/>
      <c r="B22" s="12"/>
      <c r="C22" s="13"/>
      <c r="D22" s="13"/>
      <c r="E22" s="13"/>
      <c r="F22" s="18"/>
      <c r="G22" s="12"/>
      <c r="H22" s="18"/>
      <c r="I22" s="18"/>
      <c r="J22" s="13"/>
      <c r="K22" s="32"/>
      <c r="L22" s="14">
        <f t="shared" si="0"/>
        <v>0</v>
      </c>
      <c r="M22" s="31">
        <f t="shared" si="1"/>
        <v>0</v>
      </c>
      <c r="N22" s="15" t="str">
        <f>IF(Table2683243[[#This Row],[Fault Type]]="PM",IF(L22&lt;=(D22-C22),"Yes","No"),"")</f>
        <v/>
      </c>
      <c r="O22" s="16" t="str">
        <f t="shared" si="2"/>
        <v/>
      </c>
      <c r="P2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2" s="144"/>
    </row>
    <row r="23" spans="1:17" ht="15.5" x14ac:dyDescent="0.35">
      <c r="A23" s="4"/>
      <c r="B23" s="12"/>
      <c r="C23" s="13"/>
      <c r="D23" s="13"/>
      <c r="E23" s="13"/>
      <c r="F23" s="18"/>
      <c r="G23" s="12"/>
      <c r="H23" s="18"/>
      <c r="I23" s="18"/>
      <c r="J23" s="13"/>
      <c r="K23" s="32"/>
      <c r="L23" s="14">
        <f t="shared" si="0"/>
        <v>0</v>
      </c>
      <c r="M23" s="31">
        <f t="shared" si="1"/>
        <v>0</v>
      </c>
      <c r="N23" s="15" t="str">
        <f>IF(Table2683243[[#This Row],[Fault Type]]="PM",IF(L23&lt;=(D23-C23),"Yes","No"),"")</f>
        <v/>
      </c>
      <c r="O23" s="16" t="str">
        <f t="shared" si="2"/>
        <v/>
      </c>
      <c r="P2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3" s="144"/>
    </row>
    <row r="24" spans="1:17" ht="15.5" x14ac:dyDescent="0.35">
      <c r="A24" s="4"/>
      <c r="B24" s="12"/>
      <c r="C24" s="13"/>
      <c r="D24" s="13"/>
      <c r="E24" s="13"/>
      <c r="F24" s="18"/>
      <c r="G24" s="12"/>
      <c r="H24" s="18"/>
      <c r="I24" s="18"/>
      <c r="J24" s="13"/>
      <c r="K24" s="32"/>
      <c r="L24" s="14">
        <f t="shared" si="0"/>
        <v>0</v>
      </c>
      <c r="M24" s="31">
        <f t="shared" ref="M24:M77" si="3">L24*F24</f>
        <v>0</v>
      </c>
      <c r="N24" s="15" t="str">
        <f>IF(Table2683243[[#This Row],[Fault Type]]="PM",IF(L24&lt;=(D24-C24),"Yes","No"),"")</f>
        <v/>
      </c>
      <c r="O24" s="16" t="str">
        <f t="shared" si="2"/>
        <v/>
      </c>
      <c r="P2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4" s="144"/>
    </row>
    <row r="25" spans="1:17" ht="15.5" x14ac:dyDescent="0.35">
      <c r="A25" s="4"/>
      <c r="B25" s="12"/>
      <c r="C25" s="13"/>
      <c r="D25" s="13"/>
      <c r="E25" s="13"/>
      <c r="F25" s="18"/>
      <c r="G25" s="12"/>
      <c r="H25" s="18"/>
      <c r="I25" s="18"/>
      <c r="J25" s="13"/>
      <c r="K25" s="32"/>
      <c r="L25" s="14">
        <f t="shared" si="0"/>
        <v>0</v>
      </c>
      <c r="M25" s="31">
        <f t="shared" si="3"/>
        <v>0</v>
      </c>
      <c r="N25" s="15" t="str">
        <f>IF(Table2683243[[#This Row],[Fault Type]]="PM",IF(L25&lt;=(D25-C25),"Yes","No"),"")</f>
        <v/>
      </c>
      <c r="O25" s="16" t="str">
        <f t="shared" si="2"/>
        <v/>
      </c>
      <c r="P2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5" s="144"/>
    </row>
    <row r="26" spans="1:17" ht="15.5" x14ac:dyDescent="0.35">
      <c r="A26" s="4"/>
      <c r="B26" s="12"/>
      <c r="C26" s="13"/>
      <c r="D26" s="13"/>
      <c r="E26" s="13"/>
      <c r="F26" s="12"/>
      <c r="G26" s="12"/>
      <c r="H26" s="12"/>
      <c r="I26" s="12"/>
      <c r="J26" s="13"/>
      <c r="K26" s="32"/>
      <c r="L26" s="14">
        <f t="shared" si="0"/>
        <v>0</v>
      </c>
      <c r="M26" s="31">
        <f t="shared" si="3"/>
        <v>0</v>
      </c>
      <c r="N26" s="15" t="str">
        <f>IF(Table2683243[[#This Row],[Fault Type]]="PM",IF(L26&lt;=(D26-C26),"Yes","No"),"")</f>
        <v/>
      </c>
      <c r="O26" s="16" t="str">
        <f t="shared" si="2"/>
        <v/>
      </c>
      <c r="P2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6" s="144"/>
    </row>
    <row r="27" spans="1:17" ht="15.5" x14ac:dyDescent="0.35">
      <c r="A27" s="4"/>
      <c r="B27" s="12"/>
      <c r="C27" s="13"/>
      <c r="D27" s="13"/>
      <c r="E27" s="13"/>
      <c r="F27" s="18"/>
      <c r="G27" s="12"/>
      <c r="H27" s="18"/>
      <c r="I27" s="18"/>
      <c r="J27" s="13"/>
      <c r="K27" s="32"/>
      <c r="L27" s="14">
        <f t="shared" si="0"/>
        <v>0</v>
      </c>
      <c r="M27" s="31">
        <f t="shared" si="3"/>
        <v>0</v>
      </c>
      <c r="N27" s="15" t="str">
        <f>IF(Table2683243[[#This Row],[Fault Type]]="PM",IF(L27&lt;=(D27-C27),"Yes","No"),"")</f>
        <v/>
      </c>
      <c r="O27" s="16" t="str">
        <f t="shared" si="2"/>
        <v/>
      </c>
      <c r="P2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7" s="144"/>
    </row>
    <row r="28" spans="1:17" ht="15.5" x14ac:dyDescent="0.35">
      <c r="A28" s="4"/>
      <c r="B28" s="12"/>
      <c r="C28" s="13"/>
      <c r="D28" s="13"/>
      <c r="E28" s="13"/>
      <c r="F28" s="18"/>
      <c r="G28" s="12"/>
      <c r="H28" s="18"/>
      <c r="I28" s="18"/>
      <c r="J28" s="13"/>
      <c r="K28" s="32"/>
      <c r="L28" s="14">
        <f t="shared" si="0"/>
        <v>0</v>
      </c>
      <c r="M28" s="31">
        <f t="shared" si="3"/>
        <v>0</v>
      </c>
      <c r="N28" s="15" t="str">
        <f>IF(Table2683243[[#This Row],[Fault Type]]="PM",IF(L28&lt;=(D28-C28),"Yes","No"),"")</f>
        <v/>
      </c>
      <c r="O28" s="16" t="str">
        <f t="shared" si="2"/>
        <v/>
      </c>
      <c r="P2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8" s="144"/>
    </row>
    <row r="29" spans="1:17" ht="15.5" x14ac:dyDescent="0.35">
      <c r="A29" s="4"/>
      <c r="B29" s="12"/>
      <c r="C29" s="13"/>
      <c r="D29" s="13"/>
      <c r="E29" s="13"/>
      <c r="F29" s="18"/>
      <c r="G29" s="12"/>
      <c r="H29" s="18"/>
      <c r="I29" s="18"/>
      <c r="J29" s="13"/>
      <c r="K29" s="32"/>
      <c r="L29" s="14">
        <f t="shared" si="0"/>
        <v>0</v>
      </c>
      <c r="M29" s="31">
        <f t="shared" si="3"/>
        <v>0</v>
      </c>
      <c r="N29" s="15" t="str">
        <f>IF(Table2683243[[#This Row],[Fault Type]]="PM",IF(L29&lt;=(D29-C29),"Yes","No"),"")</f>
        <v/>
      </c>
      <c r="O29" s="16" t="str">
        <f t="shared" si="2"/>
        <v/>
      </c>
      <c r="P2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29" s="17"/>
    </row>
    <row r="30" spans="1:17" ht="15.5" x14ac:dyDescent="0.35">
      <c r="A30" s="4"/>
      <c r="B30" s="12"/>
      <c r="C30" s="13"/>
      <c r="D30" s="13"/>
      <c r="E30" s="13"/>
      <c r="F30" s="18"/>
      <c r="G30" s="12"/>
      <c r="H30" s="18"/>
      <c r="I30" s="18"/>
      <c r="J30" s="13"/>
      <c r="K30" s="32"/>
      <c r="L30" s="14">
        <f t="shared" si="0"/>
        <v>0</v>
      </c>
      <c r="M30" s="31">
        <f t="shared" si="3"/>
        <v>0</v>
      </c>
      <c r="N30" s="15" t="str">
        <f>IF(Table2683243[[#This Row],[Fault Type]]="PM",IF(L30&lt;=(D30-C30),"Yes","No"),"")</f>
        <v/>
      </c>
      <c r="O30" s="16" t="str">
        <f t="shared" si="2"/>
        <v/>
      </c>
      <c r="P3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0" s="17"/>
    </row>
    <row r="31" spans="1:17" ht="15.5" x14ac:dyDescent="0.35">
      <c r="A31" s="4"/>
      <c r="B31" s="12"/>
      <c r="C31" s="13"/>
      <c r="D31" s="13"/>
      <c r="E31" s="13"/>
      <c r="F31" s="18"/>
      <c r="G31" s="12"/>
      <c r="H31" s="18"/>
      <c r="I31" s="18"/>
      <c r="J31" s="13"/>
      <c r="K31" s="32"/>
      <c r="L31" s="14">
        <f t="shared" si="0"/>
        <v>0</v>
      </c>
      <c r="M31" s="31">
        <f t="shared" si="3"/>
        <v>0</v>
      </c>
      <c r="N31" s="15" t="str">
        <f>IF(Table2683243[[#This Row],[Fault Type]]="PM",IF(L31&lt;=(D31-C31),"Yes","No"),"")</f>
        <v/>
      </c>
      <c r="O31" s="16" t="str">
        <f t="shared" si="2"/>
        <v/>
      </c>
      <c r="P3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IF(Table2683243[[#This Row],[Fault Type]]="PM",IF(L32&lt;=(D32-C32),"Yes","No"),"")</f>
        <v/>
      </c>
      <c r="O32" s="16" t="str">
        <f t="shared" si="2"/>
        <v/>
      </c>
      <c r="P3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IF(Table2683243[[#This Row],[Fault Type]]="PM",IF(L33&lt;=(D33-C33),"Yes","No"),"")</f>
        <v/>
      </c>
      <c r="O33" s="16" t="str">
        <f t="shared" si="2"/>
        <v/>
      </c>
      <c r="P3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IF(Table2683243[[#This Row],[Fault Type]]="PM",IF(L34&lt;=(D34-C34),"Yes","No"),"")</f>
        <v/>
      </c>
      <c r="O34" s="16" t="str">
        <f t="shared" si="2"/>
        <v/>
      </c>
      <c r="P3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IF(Table2683243[[#This Row],[Fault Type]]="PM",IF(L35&lt;=(D35-C35),"Yes","No"),"")</f>
        <v/>
      </c>
      <c r="O35" s="16" t="str">
        <f t="shared" si="2"/>
        <v/>
      </c>
      <c r="P3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IF(Table2683243[[#This Row],[Fault Type]]="PM",IF(L36&lt;=(D36-C36),"Yes","No"),"")</f>
        <v/>
      </c>
      <c r="O36" s="16" t="str">
        <f t="shared" si="2"/>
        <v/>
      </c>
      <c r="P3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IF(Table2683243[[#This Row],[Fault Type]]="PM",IF(L37&lt;=(D37-C37),"Yes","No"),"")</f>
        <v/>
      </c>
      <c r="O37" s="16" t="str">
        <f t="shared" si="2"/>
        <v/>
      </c>
      <c r="P3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IF(Table2683243[[#This Row],[Fault Type]]="PM",IF(L38&lt;=(D38-C38),"Yes","No"),"")</f>
        <v/>
      </c>
      <c r="O38" s="16" t="str">
        <f t="shared" si="2"/>
        <v/>
      </c>
      <c r="P3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IF(Table2683243[[#This Row],[Fault Type]]="PM",IF(L39&lt;=(D39-C39),"Yes","No"),"")</f>
        <v/>
      </c>
      <c r="O39" s="16" t="str">
        <f t="shared" si="2"/>
        <v/>
      </c>
      <c r="P3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IF(Table2683243[[#This Row],[Fault Type]]="PM",IF(L40&lt;=(D40-C40),"Yes","No"),"")</f>
        <v/>
      </c>
      <c r="O40" s="16" t="str">
        <f t="shared" si="2"/>
        <v/>
      </c>
      <c r="P4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IF(Table2683243[[#This Row],[Fault Type]]="PM",IF(L41&lt;=(D41-C41),"Yes","No"),"")</f>
        <v/>
      </c>
      <c r="O41" s="16" t="str">
        <f t="shared" si="2"/>
        <v/>
      </c>
      <c r="P4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IF(Table2683243[[#This Row],[Fault Type]]="PM",IF(L42&lt;=(D42-C42),"Yes","No"),"")</f>
        <v/>
      </c>
      <c r="O42" s="16" t="str">
        <f t="shared" si="2"/>
        <v/>
      </c>
      <c r="P4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2" s="17"/>
    </row>
    <row r="43" spans="1:17" ht="15.75" customHeight="1" x14ac:dyDescent="0.35">
      <c r="A43" s="4"/>
      <c r="B43" s="12"/>
      <c r="C43" s="13"/>
      <c r="D43" s="13"/>
      <c r="E43" s="13"/>
      <c r="F43" s="12"/>
      <c r="G43" s="12"/>
      <c r="H43" s="12"/>
      <c r="I43" s="12"/>
      <c r="J43" s="13"/>
      <c r="K43" s="32"/>
      <c r="L43" s="14">
        <f t="shared" si="0"/>
        <v>0</v>
      </c>
      <c r="M43" s="31">
        <f t="shared" si="3"/>
        <v>0</v>
      </c>
      <c r="N43" s="15" t="str">
        <f>IF(Table2683243[[#This Row],[Fault Type]]="PM",IF(L43&lt;=(D43-C43),"Yes","No"),"")</f>
        <v/>
      </c>
      <c r="O43" s="16" t="str">
        <f t="shared" si="2"/>
        <v/>
      </c>
      <c r="P4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IF(Table2683243[[#This Row],[Fault Type]]="PM",IF(L44&lt;=(D44-C44),"Yes","No"),"")</f>
        <v/>
      </c>
      <c r="O44" s="16" t="str">
        <f t="shared" si="2"/>
        <v/>
      </c>
      <c r="P4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4" s="17"/>
    </row>
    <row r="45" spans="1:17" ht="15.5" x14ac:dyDescent="0.35">
      <c r="A45" s="4"/>
      <c r="B45" s="49"/>
      <c r="C45" s="49"/>
      <c r="D45" s="49"/>
      <c r="E45" s="13"/>
      <c r="F45" s="64"/>
      <c r="G45" s="159"/>
      <c r="H45" s="54"/>
      <c r="I45" s="54"/>
      <c r="J45" s="13"/>
      <c r="K45" s="32"/>
      <c r="L45" s="14">
        <f t="shared" si="0"/>
        <v>0</v>
      </c>
      <c r="M45" s="53">
        <f t="shared" si="3"/>
        <v>0</v>
      </c>
      <c r="N45" s="50" t="str">
        <f>IF(Table2683243[[#This Row],[Fault Type]]="PM",IF(L45&lt;=(D45-C45),"Yes","No"),"")</f>
        <v/>
      </c>
      <c r="O45" s="51" t="str">
        <f t="shared" si="2"/>
        <v/>
      </c>
      <c r="P4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5" s="17"/>
    </row>
    <row r="46" spans="1:17" ht="15.5" x14ac:dyDescent="0.35">
      <c r="A46" s="58"/>
      <c r="B46" s="55"/>
      <c r="C46" s="56"/>
      <c r="D46" s="56"/>
      <c r="E46" s="13"/>
      <c r="F46" s="55"/>
      <c r="G46" s="55"/>
      <c r="H46" s="57"/>
      <c r="I46" s="18"/>
      <c r="J46" s="13"/>
      <c r="K46" s="32"/>
      <c r="L46" s="14">
        <f t="shared" si="0"/>
        <v>0</v>
      </c>
      <c r="M46" s="59">
        <f t="shared" si="3"/>
        <v>0</v>
      </c>
      <c r="N46" s="61" t="str">
        <f>IF(Table2683243[[#This Row],[Fault Type]]="PM",IF(L46&lt;=(D46-C46),"Yes","No"),"")</f>
        <v/>
      </c>
      <c r="O46" s="62" t="str">
        <f t="shared" si="2"/>
        <v/>
      </c>
      <c r="P4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6" s="17"/>
    </row>
    <row r="47" spans="1:17" ht="15.5" x14ac:dyDescent="0.35">
      <c r="A47" s="58"/>
      <c r="B47" s="55"/>
      <c r="C47" s="56"/>
      <c r="D47" s="56"/>
      <c r="E47" s="13"/>
      <c r="F47" s="55"/>
      <c r="G47" s="55"/>
      <c r="H47" s="57"/>
      <c r="I47" s="18"/>
      <c r="J47" s="13"/>
      <c r="K47" s="32"/>
      <c r="L47" s="14">
        <f t="shared" si="0"/>
        <v>0</v>
      </c>
      <c r="M47" s="59">
        <f t="shared" si="3"/>
        <v>0</v>
      </c>
      <c r="N47" s="61" t="str">
        <f>IF(Table2683243[[#This Row],[Fault Type]]="PM",IF(L47&lt;=(D47-C47),"Yes","No"),"")</f>
        <v/>
      </c>
      <c r="O47" s="62" t="str">
        <f t="shared" si="2"/>
        <v/>
      </c>
      <c r="P4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7" s="17"/>
    </row>
    <row r="48" spans="1:17" ht="15.5" x14ac:dyDescent="0.35">
      <c r="A48" s="58"/>
      <c r="B48" s="55"/>
      <c r="C48" s="56"/>
      <c r="D48" s="56"/>
      <c r="E48" s="13"/>
      <c r="F48" s="55"/>
      <c r="G48" s="55"/>
      <c r="H48" s="57"/>
      <c r="I48" s="18"/>
      <c r="J48" s="13"/>
      <c r="K48" s="32"/>
      <c r="L48" s="14">
        <f t="shared" si="0"/>
        <v>0</v>
      </c>
      <c r="M48" s="59">
        <f t="shared" si="3"/>
        <v>0</v>
      </c>
      <c r="N48" s="61" t="str">
        <f>IF(Table2683243[[#This Row],[Fault Type]]="PM",IF(L48&lt;=(D48-C48),"Yes","No"),"")</f>
        <v/>
      </c>
      <c r="O48" s="62" t="str">
        <f t="shared" si="2"/>
        <v/>
      </c>
      <c r="P4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8" s="17"/>
    </row>
    <row r="49" spans="1:17" ht="15.5" x14ac:dyDescent="0.35">
      <c r="A49" s="58"/>
      <c r="B49" s="55"/>
      <c r="C49" s="56"/>
      <c r="D49" s="56"/>
      <c r="E49" s="13"/>
      <c r="F49" s="55"/>
      <c r="G49" s="55"/>
      <c r="H49" s="57"/>
      <c r="I49" s="18"/>
      <c r="J49" s="13"/>
      <c r="K49" s="83"/>
      <c r="L49" s="14">
        <f t="shared" si="0"/>
        <v>0</v>
      </c>
      <c r="M49" s="59">
        <f t="shared" si="3"/>
        <v>0</v>
      </c>
      <c r="N49" s="61" t="str">
        <f>IF(Table2683243[[#This Row],[Fault Type]]="PM",IF(L49&lt;=(D49-C49),"Yes","No"),"")</f>
        <v/>
      </c>
      <c r="O49" s="62" t="str">
        <f t="shared" si="2"/>
        <v/>
      </c>
      <c r="P4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49" s="17"/>
    </row>
    <row r="50" spans="1:17" ht="15.5" x14ac:dyDescent="0.35">
      <c r="A50" s="58"/>
      <c r="B50" s="55"/>
      <c r="C50" s="56"/>
      <c r="D50" s="56"/>
      <c r="E50" s="13"/>
      <c r="F50" s="55"/>
      <c r="G50" s="55"/>
      <c r="H50" s="57"/>
      <c r="I50" s="18"/>
      <c r="J50" s="13"/>
      <c r="K50" s="83"/>
      <c r="L50" s="14">
        <f t="shared" si="0"/>
        <v>0</v>
      </c>
      <c r="M50" s="59">
        <f t="shared" si="3"/>
        <v>0</v>
      </c>
      <c r="N50" s="61" t="str">
        <f>IF(Table2683243[[#This Row],[Fault Type]]="PM",IF(L50&lt;=(D50-C50),"Yes","No"),"")</f>
        <v/>
      </c>
      <c r="O50" s="62" t="str">
        <f t="shared" si="2"/>
        <v/>
      </c>
      <c r="P5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0" s="17"/>
    </row>
    <row r="51" spans="1:17" ht="15.5" x14ac:dyDescent="0.35">
      <c r="A51" s="58"/>
      <c r="B51" s="55"/>
      <c r="C51" s="56"/>
      <c r="D51" s="56"/>
      <c r="E51" s="13"/>
      <c r="F51" s="55"/>
      <c r="G51" s="55"/>
      <c r="H51" s="57"/>
      <c r="I51" s="18"/>
      <c r="J51" s="13"/>
      <c r="K51" s="83"/>
      <c r="L51" s="14">
        <f t="shared" si="0"/>
        <v>0</v>
      </c>
      <c r="M51" s="59">
        <f t="shared" si="3"/>
        <v>0</v>
      </c>
      <c r="N51" s="61" t="str">
        <f>IF(Table2683243[[#This Row],[Fault Type]]="PM",IF(L51&lt;=(D51-C51),"Yes","No"),"")</f>
        <v/>
      </c>
      <c r="O51" s="62" t="str">
        <f t="shared" si="2"/>
        <v/>
      </c>
      <c r="P5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row>
    <row r="52" spans="1:17" ht="15.5" x14ac:dyDescent="0.35">
      <c r="A52" s="58"/>
      <c r="B52" s="55"/>
      <c r="C52" s="56"/>
      <c r="D52" s="56"/>
      <c r="E52" s="13"/>
      <c r="F52" s="55"/>
      <c r="G52" s="55"/>
      <c r="H52" s="57"/>
      <c r="I52" s="18"/>
      <c r="J52" s="13"/>
      <c r="K52" s="83"/>
      <c r="L52" s="14">
        <f t="shared" si="0"/>
        <v>0</v>
      </c>
      <c r="M52" s="59">
        <f t="shared" si="3"/>
        <v>0</v>
      </c>
      <c r="N52" s="61" t="str">
        <f>IF(Table2683243[[#This Row],[Fault Type]]="PM",IF(L52&lt;=(D52-C52),"Yes","No"),"")</f>
        <v/>
      </c>
      <c r="O52" s="62" t="str">
        <f t="shared" si="2"/>
        <v/>
      </c>
      <c r="P5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row>
    <row r="53" spans="1:17" ht="15.5" x14ac:dyDescent="0.35">
      <c r="A53" s="58"/>
      <c r="B53" s="55"/>
      <c r="C53" s="56"/>
      <c r="D53" s="56"/>
      <c r="E53" s="13"/>
      <c r="F53" s="55"/>
      <c r="G53" s="55"/>
      <c r="H53" s="57"/>
      <c r="I53" s="18"/>
      <c r="J53" s="13"/>
      <c r="K53" s="83"/>
      <c r="L53" s="14">
        <f t="shared" si="0"/>
        <v>0</v>
      </c>
      <c r="M53" s="59">
        <f t="shared" si="3"/>
        <v>0</v>
      </c>
      <c r="N53" s="61" t="str">
        <f>IF(Table2683243[[#This Row],[Fault Type]]="PM",IF(L53&lt;=(D53-C53),"Yes","No"),"")</f>
        <v/>
      </c>
      <c r="O53" s="62" t="str">
        <f t="shared" si="2"/>
        <v/>
      </c>
      <c r="P5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3" s="63"/>
    </row>
    <row r="54" spans="1:17" ht="15.5" x14ac:dyDescent="0.35">
      <c r="A54" s="58"/>
      <c r="B54" s="55"/>
      <c r="C54" s="56"/>
      <c r="D54" s="56"/>
      <c r="E54" s="13"/>
      <c r="F54" s="55"/>
      <c r="G54" s="55"/>
      <c r="H54" s="57"/>
      <c r="I54" s="18"/>
      <c r="J54" s="13"/>
      <c r="K54" s="83"/>
      <c r="L54" s="14">
        <f t="shared" si="0"/>
        <v>0</v>
      </c>
      <c r="M54" s="59">
        <f t="shared" si="3"/>
        <v>0</v>
      </c>
      <c r="N54" s="61" t="str">
        <f>IF(Table2683243[[#This Row],[Fault Type]]="PM",IF(L54&lt;=(D54-C54),"Yes","No"),"")</f>
        <v/>
      </c>
      <c r="O54" s="62" t="str">
        <f t="shared" si="2"/>
        <v/>
      </c>
      <c r="P5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4" s="63"/>
    </row>
    <row r="55" spans="1:17" ht="15.5" x14ac:dyDescent="0.35">
      <c r="A55" s="58"/>
      <c r="B55" s="55"/>
      <c r="C55" s="56"/>
      <c r="D55" s="56"/>
      <c r="E55" s="13"/>
      <c r="F55" s="55"/>
      <c r="G55" s="55"/>
      <c r="H55" s="57"/>
      <c r="I55" s="18"/>
      <c r="J55" s="13"/>
      <c r="K55" s="83"/>
      <c r="L55" s="14">
        <f t="shared" si="0"/>
        <v>0</v>
      </c>
      <c r="M55" s="59">
        <f t="shared" si="3"/>
        <v>0</v>
      </c>
      <c r="N55" s="61" t="str">
        <f>IF(Table2683243[[#This Row],[Fault Type]]="PM",IF(L55&lt;=(D55-C55),"Yes","No"),"")</f>
        <v/>
      </c>
      <c r="O55" s="62" t="str">
        <f t="shared" si="2"/>
        <v/>
      </c>
      <c r="P5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5" s="63"/>
    </row>
    <row r="56" spans="1:17" ht="15.5" x14ac:dyDescent="0.35">
      <c r="A56" s="58"/>
      <c r="B56" s="55"/>
      <c r="C56" s="56"/>
      <c r="D56" s="56"/>
      <c r="E56" s="13"/>
      <c r="F56" s="55"/>
      <c r="G56" s="55"/>
      <c r="H56" s="57"/>
      <c r="I56" s="18"/>
      <c r="J56" s="13"/>
      <c r="K56" s="83"/>
      <c r="L56" s="14">
        <f t="shared" si="0"/>
        <v>0</v>
      </c>
      <c r="M56" s="59">
        <f t="shared" si="3"/>
        <v>0</v>
      </c>
      <c r="N56" s="61" t="str">
        <f>IF(Table2683243[[#This Row],[Fault Type]]="PM",IF(L56&lt;=(D56-C56),"Yes","No"),"")</f>
        <v/>
      </c>
      <c r="O56" s="62" t="str">
        <f t="shared" si="2"/>
        <v/>
      </c>
      <c r="P5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6" s="63"/>
    </row>
    <row r="57" spans="1:17" ht="15.5" x14ac:dyDescent="0.35">
      <c r="A57" s="58"/>
      <c r="B57" s="55"/>
      <c r="C57" s="56"/>
      <c r="D57" s="56"/>
      <c r="E57" s="13"/>
      <c r="F57" s="55"/>
      <c r="G57" s="55"/>
      <c r="H57" s="57"/>
      <c r="I57" s="18"/>
      <c r="J57" s="13"/>
      <c r="K57" s="83"/>
      <c r="L57" s="14">
        <f t="shared" si="0"/>
        <v>0</v>
      </c>
      <c r="M57" s="59">
        <f t="shared" si="3"/>
        <v>0</v>
      </c>
      <c r="N57" s="61" t="str">
        <f>IF(Table2683243[[#This Row],[Fault Type]]="PM",IF(L57&lt;=(D57-C57),"Yes","No"),"")</f>
        <v/>
      </c>
      <c r="O57" s="62" t="str">
        <f t="shared" si="2"/>
        <v/>
      </c>
      <c r="P5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7" s="63"/>
    </row>
    <row r="58" spans="1:17" ht="15.5" x14ac:dyDescent="0.35">
      <c r="A58" s="58"/>
      <c r="B58" s="55"/>
      <c r="C58" s="56"/>
      <c r="D58" s="56"/>
      <c r="E58" s="13"/>
      <c r="F58" s="55"/>
      <c r="G58" s="55"/>
      <c r="H58" s="57"/>
      <c r="I58" s="18"/>
      <c r="J58" s="13"/>
      <c r="K58" s="83"/>
      <c r="L58" s="14">
        <f t="shared" si="0"/>
        <v>0</v>
      </c>
      <c r="M58" s="59">
        <f t="shared" si="3"/>
        <v>0</v>
      </c>
      <c r="N58" s="61" t="str">
        <f>IF(Table2683243[[#This Row],[Fault Type]]="PM",IF(L58&lt;=(D58-C58),"Yes","No"),"")</f>
        <v/>
      </c>
      <c r="O58" s="62" t="str">
        <f t="shared" si="2"/>
        <v/>
      </c>
      <c r="P5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8" s="63"/>
    </row>
    <row r="59" spans="1:17" ht="15.5" x14ac:dyDescent="0.35">
      <c r="A59" s="58"/>
      <c r="B59" s="55"/>
      <c r="C59" s="56"/>
      <c r="D59" s="56"/>
      <c r="E59" s="13"/>
      <c r="F59" s="55"/>
      <c r="G59" s="55"/>
      <c r="H59" s="57"/>
      <c r="I59" s="18"/>
      <c r="J59" s="13"/>
      <c r="K59" s="83"/>
      <c r="L59" s="14">
        <f t="shared" si="0"/>
        <v>0</v>
      </c>
      <c r="M59" s="59">
        <f t="shared" si="3"/>
        <v>0</v>
      </c>
      <c r="N59" s="61" t="str">
        <f>IF(Table2683243[[#This Row],[Fault Type]]="PM",IF(L59&lt;=(D59-C59),"Yes","No"),"")</f>
        <v/>
      </c>
      <c r="O59" s="62" t="str">
        <f t="shared" si="2"/>
        <v/>
      </c>
      <c r="P5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59" s="63"/>
    </row>
    <row r="60" spans="1:17" ht="15.5" x14ac:dyDescent="0.35">
      <c r="A60" s="58"/>
      <c r="B60" s="55"/>
      <c r="C60" s="56"/>
      <c r="D60" s="56"/>
      <c r="E60" s="13"/>
      <c r="F60" s="55"/>
      <c r="G60" s="55"/>
      <c r="H60" s="57"/>
      <c r="I60" s="18"/>
      <c r="J60" s="13"/>
      <c r="K60" s="83"/>
      <c r="L60" s="14">
        <f t="shared" si="0"/>
        <v>0</v>
      </c>
      <c r="M60" s="59">
        <f t="shared" si="3"/>
        <v>0</v>
      </c>
      <c r="N60" s="61" t="str">
        <f>IF(Table2683243[[#This Row],[Fault Type]]="PM",IF(L60&lt;=(D60-C60),"Yes","No"),"")</f>
        <v/>
      </c>
      <c r="O60" s="62" t="str">
        <f t="shared" si="2"/>
        <v/>
      </c>
      <c r="P6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0" s="63"/>
    </row>
    <row r="61" spans="1:17" ht="15.5" x14ac:dyDescent="0.35">
      <c r="A61" s="58"/>
      <c r="B61" s="55"/>
      <c r="C61" s="56"/>
      <c r="D61" s="56"/>
      <c r="E61" s="13"/>
      <c r="F61" s="55"/>
      <c r="G61" s="55"/>
      <c r="H61" s="57"/>
      <c r="I61" s="18"/>
      <c r="J61" s="13"/>
      <c r="K61" s="83"/>
      <c r="L61" s="14">
        <f t="shared" si="0"/>
        <v>0</v>
      </c>
      <c r="M61" s="59">
        <f t="shared" si="3"/>
        <v>0</v>
      </c>
      <c r="N61" s="61" t="str">
        <f>IF(Table2683243[[#This Row],[Fault Type]]="PM",IF(L61&lt;=(D61-C61),"Yes","No"),"")</f>
        <v/>
      </c>
      <c r="O61" s="62" t="str">
        <f t="shared" si="2"/>
        <v/>
      </c>
      <c r="P6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1" s="63"/>
    </row>
    <row r="62" spans="1:17" ht="15.5" x14ac:dyDescent="0.35">
      <c r="A62" s="58"/>
      <c r="B62" s="55"/>
      <c r="C62" s="56"/>
      <c r="D62" s="56"/>
      <c r="E62" s="13"/>
      <c r="F62" s="55"/>
      <c r="G62" s="55"/>
      <c r="H62" s="57"/>
      <c r="I62" s="18"/>
      <c r="J62" s="13"/>
      <c r="K62" s="83"/>
      <c r="L62" s="14">
        <f t="shared" si="0"/>
        <v>0</v>
      </c>
      <c r="M62" s="59">
        <f t="shared" si="3"/>
        <v>0</v>
      </c>
      <c r="N62" s="61" t="str">
        <f>IF(Table2683243[[#This Row],[Fault Type]]="PM",IF(L62&lt;=(D62-C62),"Yes","No"),"")</f>
        <v/>
      </c>
      <c r="O62" s="62" t="str">
        <f t="shared" si="2"/>
        <v/>
      </c>
      <c r="P6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2" s="63"/>
    </row>
    <row r="63" spans="1:17" ht="15.5" x14ac:dyDescent="0.35">
      <c r="A63" s="58"/>
      <c r="B63" s="55"/>
      <c r="C63" s="56"/>
      <c r="D63" s="56"/>
      <c r="E63" s="13"/>
      <c r="F63" s="55"/>
      <c r="G63" s="55"/>
      <c r="H63" s="57"/>
      <c r="I63" s="18"/>
      <c r="J63" s="13"/>
      <c r="K63" s="83"/>
      <c r="L63" s="14">
        <f t="shared" si="0"/>
        <v>0</v>
      </c>
      <c r="M63" s="59">
        <f t="shared" si="3"/>
        <v>0</v>
      </c>
      <c r="N63" s="61" t="str">
        <f>IF(Table2683243[[#This Row],[Fault Type]]="PM",IF(L63&lt;=(D63-C63),"Yes","No"),"")</f>
        <v/>
      </c>
      <c r="O63" s="62" t="str">
        <f t="shared" si="2"/>
        <v/>
      </c>
      <c r="P6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3" s="63"/>
    </row>
    <row r="64" spans="1:17" ht="15.5" x14ac:dyDescent="0.35">
      <c r="A64" s="58"/>
      <c r="B64" s="55"/>
      <c r="C64" s="56"/>
      <c r="D64" s="56"/>
      <c r="E64" s="13"/>
      <c r="F64" s="55"/>
      <c r="G64" s="55"/>
      <c r="H64" s="57"/>
      <c r="I64" s="18"/>
      <c r="J64" s="13"/>
      <c r="K64" s="83"/>
      <c r="L64" s="14">
        <f t="shared" ref="L64:L77" si="4">J64-E64</f>
        <v>0</v>
      </c>
      <c r="M64" s="59">
        <f t="shared" si="3"/>
        <v>0</v>
      </c>
      <c r="N64" s="61" t="str">
        <f>IF(Table2683243[[#This Row],[Fault Type]]="PM",IF(L64&lt;=(D64-C64),"Yes","No"),"")</f>
        <v/>
      </c>
      <c r="O64" s="62" t="str">
        <f t="shared" ref="O64:O77" si="5">IF(N64="No",(L64-(D64-C64)),"")</f>
        <v/>
      </c>
      <c r="P6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4" s="63"/>
    </row>
    <row r="65" spans="1:17" ht="15.5" x14ac:dyDescent="0.35">
      <c r="A65" s="58"/>
      <c r="B65" s="55"/>
      <c r="C65" s="56"/>
      <c r="D65" s="56"/>
      <c r="E65" s="13"/>
      <c r="F65" s="55"/>
      <c r="G65" s="55"/>
      <c r="H65" s="57"/>
      <c r="I65" s="18"/>
      <c r="J65" s="13"/>
      <c r="K65" s="83"/>
      <c r="L65" s="14">
        <f t="shared" si="4"/>
        <v>0</v>
      </c>
      <c r="M65" s="59">
        <f t="shared" si="3"/>
        <v>0</v>
      </c>
      <c r="N65" s="61" t="str">
        <f>IF(Table2683243[[#This Row],[Fault Type]]="PM",IF(L65&lt;=(D65-C65),"Yes","No"),"")</f>
        <v/>
      </c>
      <c r="O65" s="62" t="str">
        <f t="shared" si="5"/>
        <v/>
      </c>
      <c r="P6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5" s="63"/>
    </row>
    <row r="66" spans="1:17" ht="15.5" x14ac:dyDescent="0.35">
      <c r="A66" s="58"/>
      <c r="B66" s="55"/>
      <c r="C66" s="56"/>
      <c r="D66" s="56"/>
      <c r="E66" s="13"/>
      <c r="F66" s="55"/>
      <c r="G66" s="55"/>
      <c r="H66" s="57"/>
      <c r="I66" s="18"/>
      <c r="J66" s="13"/>
      <c r="K66" s="83"/>
      <c r="L66" s="14">
        <f t="shared" si="4"/>
        <v>0</v>
      </c>
      <c r="M66" s="59">
        <f t="shared" si="3"/>
        <v>0</v>
      </c>
      <c r="N66" s="61" t="str">
        <f>IF(Table2683243[[#This Row],[Fault Type]]="PM",IF(L66&lt;=(D66-C66),"Yes","No"),"")</f>
        <v/>
      </c>
      <c r="O66" s="62" t="str">
        <f t="shared" si="5"/>
        <v/>
      </c>
      <c r="P6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6" s="63"/>
    </row>
    <row r="67" spans="1:17" ht="15.5" x14ac:dyDescent="0.35">
      <c r="A67" s="58"/>
      <c r="B67" s="55"/>
      <c r="C67" s="56"/>
      <c r="D67" s="56"/>
      <c r="E67" s="13"/>
      <c r="F67" s="55"/>
      <c r="G67" s="55"/>
      <c r="H67" s="57"/>
      <c r="I67" s="18"/>
      <c r="J67" s="13"/>
      <c r="K67" s="83"/>
      <c r="L67" s="14">
        <f t="shared" si="4"/>
        <v>0</v>
      </c>
      <c r="M67" s="59">
        <f t="shared" si="3"/>
        <v>0</v>
      </c>
      <c r="N67" s="61" t="str">
        <f>IF(Table2683243[[#This Row],[Fault Type]]="PM",IF(L67&lt;=(D67-C67),"Yes","No"),"")</f>
        <v/>
      </c>
      <c r="O67" s="62" t="str">
        <f t="shared" si="5"/>
        <v/>
      </c>
      <c r="P6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7" s="63"/>
    </row>
    <row r="68" spans="1:17" ht="15.5" x14ac:dyDescent="0.35">
      <c r="A68" s="58"/>
      <c r="B68" s="55"/>
      <c r="C68" s="56"/>
      <c r="D68" s="56"/>
      <c r="E68" s="13"/>
      <c r="F68" s="55"/>
      <c r="G68" s="55"/>
      <c r="H68" s="57"/>
      <c r="I68" s="18"/>
      <c r="J68" s="13"/>
      <c r="K68" s="83"/>
      <c r="L68" s="14">
        <f t="shared" si="4"/>
        <v>0</v>
      </c>
      <c r="M68" s="59">
        <f t="shared" si="3"/>
        <v>0</v>
      </c>
      <c r="N68" s="61" t="str">
        <f>IF(Table2683243[[#This Row],[Fault Type]]="PM",IF(L68&lt;=(D68-C68),"Yes","No"),"")</f>
        <v/>
      </c>
      <c r="O68" s="62" t="str">
        <f t="shared" si="5"/>
        <v/>
      </c>
      <c r="P6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8" s="63"/>
    </row>
    <row r="69" spans="1:17" ht="15.5" x14ac:dyDescent="0.35">
      <c r="A69" s="58"/>
      <c r="B69" s="55"/>
      <c r="C69" s="56"/>
      <c r="D69" s="56"/>
      <c r="E69" s="13"/>
      <c r="F69" s="55"/>
      <c r="G69" s="55"/>
      <c r="H69" s="57"/>
      <c r="I69" s="18"/>
      <c r="J69" s="13"/>
      <c r="K69" s="83"/>
      <c r="L69" s="14">
        <f t="shared" si="4"/>
        <v>0</v>
      </c>
      <c r="M69" s="59">
        <f t="shared" si="3"/>
        <v>0</v>
      </c>
      <c r="N69" s="61" t="str">
        <f>IF(Table2683243[[#This Row],[Fault Type]]="PM",IF(L69&lt;=(D69-C69),"Yes","No"),"")</f>
        <v/>
      </c>
      <c r="O69" s="62" t="str">
        <f t="shared" si="5"/>
        <v/>
      </c>
      <c r="P6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69" s="103"/>
    </row>
    <row r="70" spans="1:17" ht="15.5" x14ac:dyDescent="0.35">
      <c r="A70" s="58"/>
      <c r="B70" s="55"/>
      <c r="C70" s="56"/>
      <c r="D70" s="56"/>
      <c r="E70" s="13"/>
      <c r="F70" s="55"/>
      <c r="G70" s="55"/>
      <c r="H70" s="57"/>
      <c r="I70" s="18"/>
      <c r="J70" s="13"/>
      <c r="K70" s="83"/>
      <c r="L70" s="14">
        <f t="shared" si="4"/>
        <v>0</v>
      </c>
      <c r="M70" s="59">
        <f t="shared" si="3"/>
        <v>0</v>
      </c>
      <c r="N70" s="61" t="str">
        <f>IF(Table2683243[[#This Row],[Fault Type]]="PM",IF(L70&lt;=(D70-C70),"Yes","No"),"")</f>
        <v/>
      </c>
      <c r="O70" s="62" t="str">
        <f t="shared" si="5"/>
        <v/>
      </c>
      <c r="P7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0" s="63"/>
    </row>
    <row r="71" spans="1:17" ht="15.5" x14ac:dyDescent="0.35">
      <c r="A71" s="58"/>
      <c r="B71" s="55"/>
      <c r="C71" s="56"/>
      <c r="D71" s="56"/>
      <c r="E71" s="13"/>
      <c r="F71" s="55"/>
      <c r="G71" s="55"/>
      <c r="H71" s="57"/>
      <c r="I71" s="18"/>
      <c r="J71" s="13"/>
      <c r="K71" s="83"/>
      <c r="L71" s="14">
        <f t="shared" si="4"/>
        <v>0</v>
      </c>
      <c r="M71" s="59">
        <f t="shared" si="3"/>
        <v>0</v>
      </c>
      <c r="N71" s="61" t="str">
        <f>IF(Table2683243[[#This Row],[Fault Type]]="PM",IF(L71&lt;=(D71-C71),"Yes","No"),"")</f>
        <v/>
      </c>
      <c r="O71" s="62" t="str">
        <f t="shared" si="5"/>
        <v/>
      </c>
      <c r="P7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1" s="63"/>
    </row>
    <row r="72" spans="1:17" ht="15.5" x14ac:dyDescent="0.35">
      <c r="A72" s="58"/>
      <c r="B72" s="55"/>
      <c r="C72" s="56"/>
      <c r="D72" s="56"/>
      <c r="E72" s="13"/>
      <c r="F72" s="55"/>
      <c r="G72" s="55"/>
      <c r="H72" s="57"/>
      <c r="I72" s="18"/>
      <c r="J72" s="13"/>
      <c r="K72" s="83"/>
      <c r="L72" s="14">
        <f t="shared" si="4"/>
        <v>0</v>
      </c>
      <c r="M72" s="59">
        <f t="shared" si="3"/>
        <v>0</v>
      </c>
      <c r="N72" s="61" t="str">
        <f>IF(Table2683243[[#This Row],[Fault Type]]="PM",IF(L72&lt;=(D72-C72),"Yes","No"),"")</f>
        <v/>
      </c>
      <c r="O72" s="62" t="str">
        <f t="shared" si="5"/>
        <v/>
      </c>
      <c r="P7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2" s="63"/>
    </row>
    <row r="73" spans="1:17" ht="15.5" x14ac:dyDescent="0.35">
      <c r="A73" s="58"/>
      <c r="B73" s="55"/>
      <c r="C73" s="56"/>
      <c r="D73" s="56"/>
      <c r="E73" s="13"/>
      <c r="F73" s="55"/>
      <c r="G73" s="55"/>
      <c r="H73" s="57"/>
      <c r="I73" s="18"/>
      <c r="J73" s="13"/>
      <c r="K73" s="83"/>
      <c r="L73" s="14">
        <f t="shared" si="4"/>
        <v>0</v>
      </c>
      <c r="M73" s="59">
        <f t="shared" si="3"/>
        <v>0</v>
      </c>
      <c r="N73" s="61" t="str">
        <f>IF(Table2683243[[#This Row],[Fault Type]]="PM",IF(L73&lt;=(D73-C73),"Yes","No"),"")</f>
        <v/>
      </c>
      <c r="O73" s="62" t="str">
        <f t="shared" si="5"/>
        <v/>
      </c>
      <c r="P7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3" s="63"/>
    </row>
    <row r="74" spans="1:17" ht="15.5" x14ac:dyDescent="0.35">
      <c r="A74" s="58"/>
      <c r="B74" s="55"/>
      <c r="C74" s="56"/>
      <c r="D74" s="56"/>
      <c r="E74" s="13"/>
      <c r="F74" s="55"/>
      <c r="G74" s="55"/>
      <c r="H74" s="57"/>
      <c r="I74" s="18"/>
      <c r="J74" s="13"/>
      <c r="K74" s="83"/>
      <c r="L74" s="14">
        <f t="shared" si="4"/>
        <v>0</v>
      </c>
      <c r="M74" s="59">
        <f t="shared" si="3"/>
        <v>0</v>
      </c>
      <c r="N74" s="61" t="str">
        <f>IF(Table2683243[[#This Row],[Fault Type]]="PM",IF(L74&lt;=(D74-C74),"Yes","No"),"")</f>
        <v/>
      </c>
      <c r="O74" s="62" t="str">
        <f t="shared" si="5"/>
        <v/>
      </c>
      <c r="P7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4" s="63"/>
    </row>
    <row r="75" spans="1:17" ht="15.5" x14ac:dyDescent="0.35">
      <c r="A75" s="58"/>
      <c r="B75" s="55"/>
      <c r="C75" s="56"/>
      <c r="D75" s="56"/>
      <c r="E75" s="13"/>
      <c r="F75" s="55"/>
      <c r="G75" s="55"/>
      <c r="H75" s="57"/>
      <c r="I75" s="18"/>
      <c r="J75" s="13"/>
      <c r="K75" s="83"/>
      <c r="L75" s="14">
        <f t="shared" si="4"/>
        <v>0</v>
      </c>
      <c r="M75" s="59">
        <f t="shared" si="3"/>
        <v>0</v>
      </c>
      <c r="N75" s="61" t="str">
        <f>IF(Table2683243[[#This Row],[Fault Type]]="PM",IF(L75&lt;=(D75-C75),"Yes","No"),"")</f>
        <v/>
      </c>
      <c r="O75" s="62" t="str">
        <f t="shared" si="5"/>
        <v/>
      </c>
      <c r="P75"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5" s="63"/>
    </row>
    <row r="76" spans="1:17" ht="15.5" x14ac:dyDescent="0.35">
      <c r="A76" s="58"/>
      <c r="B76" s="55"/>
      <c r="C76" s="56"/>
      <c r="D76" s="56"/>
      <c r="E76" s="13"/>
      <c r="F76" s="55"/>
      <c r="G76" s="55"/>
      <c r="H76" s="57"/>
      <c r="I76" s="18"/>
      <c r="J76" s="13"/>
      <c r="K76" s="83"/>
      <c r="L76" s="14">
        <f t="shared" si="4"/>
        <v>0</v>
      </c>
      <c r="M76" s="59">
        <f t="shared" si="3"/>
        <v>0</v>
      </c>
      <c r="N76" s="61" t="str">
        <f>IF(Table2683243[[#This Row],[Fault Type]]="PM",IF(L76&lt;=(D76-C76),"Yes","No"),"")</f>
        <v/>
      </c>
      <c r="O76" s="62" t="str">
        <f t="shared" si="5"/>
        <v/>
      </c>
      <c r="P76"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6" s="63"/>
    </row>
    <row r="77" spans="1:17" ht="15.5" x14ac:dyDescent="0.35">
      <c r="A77" s="58"/>
      <c r="B77" s="55"/>
      <c r="C77" s="56"/>
      <c r="D77" s="56"/>
      <c r="E77" s="13"/>
      <c r="F77" s="55"/>
      <c r="G77" s="55"/>
      <c r="H77" s="57"/>
      <c r="I77" s="18"/>
      <c r="J77" s="13"/>
      <c r="K77" s="83"/>
      <c r="L77" s="14">
        <f t="shared" si="4"/>
        <v>0</v>
      </c>
      <c r="M77" s="59">
        <f t="shared" si="3"/>
        <v>0</v>
      </c>
      <c r="N77" s="61" t="str">
        <f>IF(Table2683243[[#This Row],[Fault Type]]="PM",IF(L77&lt;=(D77-C77),"Yes","No"),"")</f>
        <v/>
      </c>
      <c r="O77" s="62" t="str">
        <f t="shared" si="5"/>
        <v/>
      </c>
      <c r="P77"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7" s="63"/>
    </row>
    <row r="78" spans="1:17" ht="15.5" x14ac:dyDescent="0.35">
      <c r="A78" s="92"/>
      <c r="B78" s="93"/>
      <c r="C78" s="94"/>
      <c r="D78" s="94"/>
      <c r="E78" s="94"/>
      <c r="F78" s="12"/>
      <c r="G78" s="93"/>
      <c r="H78" s="95"/>
      <c r="I78" s="95"/>
      <c r="J78" s="94"/>
      <c r="K78" s="100"/>
      <c r="L78" s="96">
        <f t="shared" ref="L78:L84" si="6">J78-E78</f>
        <v>0</v>
      </c>
      <c r="M78" s="97">
        <f t="shared" ref="M78:M84" si="7">L78*F78</f>
        <v>0</v>
      </c>
      <c r="N78" s="98" t="str">
        <f>IF(Table2683243[[#This Row],[Fault Type]]="PM",IF(L78&lt;=(D78-C78),"Yes","No"),"")</f>
        <v/>
      </c>
      <c r="O78" s="99" t="str">
        <f t="shared" ref="O78:O84" si="8">IF(N78="No",(L78-(D78-C78)),"")</f>
        <v/>
      </c>
      <c r="P78"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8" s="91"/>
    </row>
    <row r="79" spans="1:17" ht="15.5" x14ac:dyDescent="0.35">
      <c r="A79" s="92"/>
      <c r="B79" s="93"/>
      <c r="C79" s="94"/>
      <c r="D79" s="94"/>
      <c r="E79" s="94"/>
      <c r="F79" s="12"/>
      <c r="G79" s="93"/>
      <c r="H79" s="18"/>
      <c r="I79" s="95"/>
      <c r="J79" s="94"/>
      <c r="K79" s="100"/>
      <c r="L79" s="96">
        <f t="shared" si="6"/>
        <v>0</v>
      </c>
      <c r="M79" s="97">
        <f t="shared" si="7"/>
        <v>0</v>
      </c>
      <c r="N79" s="98" t="str">
        <f>IF(Table2683243[[#This Row],[Fault Type]]="PM",IF(L79&lt;=(D79-C79),"Yes","No"),"")</f>
        <v/>
      </c>
      <c r="O79" s="99" t="str">
        <f t="shared" si="8"/>
        <v/>
      </c>
      <c r="P79"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79" s="91"/>
    </row>
    <row r="80" spans="1:17" ht="15.5" x14ac:dyDescent="0.35">
      <c r="A80" s="92"/>
      <c r="B80" s="93"/>
      <c r="C80" s="94"/>
      <c r="D80" s="94"/>
      <c r="E80" s="94"/>
      <c r="F80" s="12"/>
      <c r="G80" s="93"/>
      <c r="H80" s="95"/>
      <c r="I80" s="95"/>
      <c r="J80" s="94"/>
      <c r="K80" s="100"/>
      <c r="L80" s="96">
        <f t="shared" si="6"/>
        <v>0</v>
      </c>
      <c r="M80" s="97">
        <f t="shared" si="7"/>
        <v>0</v>
      </c>
      <c r="N80" s="98" t="str">
        <f>IF(Table2683243[[#This Row],[Fault Type]]="PM",IF(L80&lt;=(D80-C80),"Yes","No"),"")</f>
        <v/>
      </c>
      <c r="O80" s="99" t="str">
        <f t="shared" si="8"/>
        <v/>
      </c>
      <c r="P80"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0" s="91"/>
    </row>
    <row r="81" spans="1:17" ht="15.5" x14ac:dyDescent="0.35">
      <c r="A81" s="92"/>
      <c r="B81" s="93"/>
      <c r="C81" s="94"/>
      <c r="D81" s="94"/>
      <c r="E81" s="94"/>
      <c r="F81" s="12"/>
      <c r="G81" s="93"/>
      <c r="H81" s="18"/>
      <c r="I81" s="95"/>
      <c r="J81" s="94"/>
      <c r="K81" s="100"/>
      <c r="L81" s="96">
        <f t="shared" si="6"/>
        <v>0</v>
      </c>
      <c r="M81" s="97">
        <f t="shared" si="7"/>
        <v>0</v>
      </c>
      <c r="N81" s="98" t="str">
        <f>IF(Table2683243[[#This Row],[Fault Type]]="PM",IF(L81&lt;=(D81-C81),"Yes","No"),"")</f>
        <v/>
      </c>
      <c r="O81" s="99" t="str">
        <f t="shared" si="8"/>
        <v/>
      </c>
      <c r="P81"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1" s="91"/>
    </row>
    <row r="82" spans="1:17" ht="15.5" x14ac:dyDescent="0.35">
      <c r="A82" s="92"/>
      <c r="B82" s="93"/>
      <c r="C82" s="94"/>
      <c r="D82" s="94"/>
      <c r="E82" s="94"/>
      <c r="F82" s="12"/>
      <c r="G82" s="93"/>
      <c r="H82" s="95"/>
      <c r="I82" s="95"/>
      <c r="J82" s="94"/>
      <c r="K82" s="100"/>
      <c r="L82" s="96">
        <f t="shared" si="6"/>
        <v>0</v>
      </c>
      <c r="M82" s="97">
        <f t="shared" si="7"/>
        <v>0</v>
      </c>
      <c r="N82" s="98" t="str">
        <f>IF(Table2683243[[#This Row],[Fault Type]]="PM",IF(L82&lt;=(D82-C82),"Yes","No"),"")</f>
        <v/>
      </c>
      <c r="O82" s="99" t="str">
        <f t="shared" si="8"/>
        <v/>
      </c>
      <c r="P82"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2" s="91"/>
    </row>
    <row r="83" spans="1:17" ht="15.5" x14ac:dyDescent="0.35">
      <c r="A83" s="92"/>
      <c r="B83" s="93"/>
      <c r="C83" s="94"/>
      <c r="D83" s="94"/>
      <c r="E83" s="94"/>
      <c r="F83" s="12"/>
      <c r="G83" s="93"/>
      <c r="H83" s="18"/>
      <c r="I83" s="95"/>
      <c r="J83" s="94"/>
      <c r="K83" s="100"/>
      <c r="L83" s="96">
        <f t="shared" si="6"/>
        <v>0</v>
      </c>
      <c r="M83" s="97">
        <f t="shared" si="7"/>
        <v>0</v>
      </c>
      <c r="N83" s="98" t="str">
        <f>IF(Table2683243[[#This Row],[Fault Type]]="PM",IF(L83&lt;=(D83-C83),"Yes","No"),"")</f>
        <v/>
      </c>
      <c r="O83" s="99" t="str">
        <f t="shared" si="8"/>
        <v/>
      </c>
      <c r="P83"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3" s="91"/>
    </row>
    <row r="84" spans="1:17" ht="15.5" x14ac:dyDescent="0.35">
      <c r="A84" s="92"/>
      <c r="B84" s="93"/>
      <c r="C84" s="94"/>
      <c r="D84" s="94"/>
      <c r="E84" s="94"/>
      <c r="F84" s="12"/>
      <c r="G84" s="93"/>
      <c r="H84" s="18"/>
      <c r="I84" s="95"/>
      <c r="J84" s="94"/>
      <c r="K84" s="100"/>
      <c r="L84" s="96">
        <f t="shared" si="6"/>
        <v>0</v>
      </c>
      <c r="M84" s="97">
        <f t="shared" si="7"/>
        <v>0</v>
      </c>
      <c r="N84" s="98" t="str">
        <f>IF(Table2683243[[#This Row],[Fault Type]]="PM",IF(L84&lt;=(D84-C84),"Yes","No"),"")</f>
        <v/>
      </c>
      <c r="O84" s="99" t="str">
        <f t="shared" si="8"/>
        <v/>
      </c>
      <c r="P84" s="30" t="str">
        <f>IF(AND(Table2683243[[#This Row],[Name of Feeder]]&lt;&gt;"",OR(Table2683243[[#This Row],[Fault Type]]="TL",Table2683243[[#This Row],[Fault Type]]="TS",Table2683243[[#This Row],[Fault Type]]="UF",Table2683243[[#This Row],[Fault Type]]="SE")),(IF(AND(VLOOKUP(Table2683243[[#This Row],[Name of Feeder]],Main!D:E,2,0)="URBAN",ISNUMBER(SEARCH("33KV",Table2683243[[#This Row],[Name of Feeder]]))),IF(AND(Table2683243[[#This Row],[Outage Duration]]&gt;0,Table2683243[[#This Row],[Outage Duration]]&lt;=0.25),"Yes","No"),IF(AND(VLOOKUP(Table2683243[[#This Row],[Name of Feeder]],Main!D:E,2,0)="RURAL",ISNUMBER(SEARCH("33KV",Table2683243[[#This Row],[Name of Feeder]]))),IF(AND(Table2683243[[#This Row],[Outage Duration]]&gt;0,Table2683243[[#This Row],[Outage Duration]]&lt;=0.33),"Yes","No"),IF(AND(VLOOKUP(Table2683243[[#This Row],[Name of Feeder]],Main!D:E,2,0)="RURAL",ISNUMBER(SEARCH("11KV",Table2683243[[#This Row],[Name of Feeder]]))),IF(AND(Table2683243[[#This Row],[Outage Duration]]&gt;0,Table2683243[[#This Row],[Outage Duration]]&lt;=0.17),"Yes","No"),IF(AND(VLOOKUP(Table2683243[[#This Row],[Name of Feeder]],Main!D:E,2,0)="URBAN",ISNUMBER(SEARCH("11KV",Table2683243[[#This Row],[Name of Feeder]]))),IF(AND(Table2683243[[#This Row],[Outage Duration]]&gt;0,Table2683243[[#This Row],[Outage Duration]]&lt;=0.17),"Yes","No"),""))))),"")</f>
        <v/>
      </c>
      <c r="Q84"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B00-000000000000}">
          <x14:formula1>
            <xm:f>Main!$F$226:$F$228</xm:f>
          </x14:formula1>
          <xm:sqref>I2:I84</xm:sqref>
        </x14:dataValidation>
        <x14:dataValidation type="list" allowBlank="1" showInputMessage="1" showErrorMessage="1" xr:uid="{00000000-0002-0000-1B00-000001000000}">
          <x14:formula1>
            <xm:f>Main!$D$2:$D$196</xm:f>
          </x14:formula1>
          <xm:sqref>A2:A84</xm:sqref>
        </x14:dataValidation>
        <x14:dataValidation type="list" allowBlank="1" showInputMessage="1" showErrorMessage="1" xr:uid="{00000000-0002-0000-1B00-000002000000}">
          <x14:formula1>
            <xm:f>Main!F$222:F$225</xm:f>
          </x14:formula1>
          <xm:sqref>G2:G84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103"/>
  <sheetViews>
    <sheetView topLeftCell="C1" zoomScale="70" zoomScaleNormal="70" workbookViewId="0">
      <selection activeCell="Q11" sqref="Q11"/>
    </sheetView>
  </sheetViews>
  <sheetFormatPr defaultRowHeight="14.5" x14ac:dyDescent="0.35"/>
  <cols>
    <col min="1" max="1" width="27.26953125" customWidth="1"/>
    <col min="2" max="2" width="8.26953125" customWidth="1"/>
    <col min="3" max="3" width="17.26953125" customWidth="1"/>
    <col min="4" max="4" width="16.81640625" customWidth="1"/>
    <col min="5" max="5" width="17.4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22"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22" ht="15.5" x14ac:dyDescent="0.35">
      <c r="A2" s="158"/>
      <c r="B2" s="125"/>
      <c r="C2" s="126"/>
      <c r="D2" s="126"/>
      <c r="E2" s="126"/>
      <c r="F2" s="125"/>
      <c r="G2" s="125"/>
      <c r="H2" s="128"/>
      <c r="I2" s="128"/>
      <c r="J2" s="126"/>
      <c r="K2" s="129"/>
      <c r="L2" s="14">
        <f t="shared" ref="L2:L67" si="0">J2-E2</f>
        <v>0</v>
      </c>
      <c r="M2" s="31">
        <f t="shared" ref="M2:M64" si="1">L2*F2</f>
        <v>0</v>
      </c>
      <c r="N2" s="15" t="str">
        <f>IF(Table2683242[[#This Row],[Fault Type]]="PM",IF(L2&lt;=(D2-C2),"Yes","No"),"")</f>
        <v/>
      </c>
      <c r="O2" s="16" t="str">
        <f t="shared" ref="O2:O67" si="2">IF(N2="No",(L2-(D2-C2)),"")</f>
        <v/>
      </c>
      <c r="P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 s="17"/>
      <c r="V2" t="s">
        <v>495</v>
      </c>
    </row>
    <row r="3" spans="1:22" ht="15.5" x14ac:dyDescent="0.35">
      <c r="A3" s="158"/>
      <c r="B3" s="125"/>
      <c r="C3" s="126"/>
      <c r="D3" s="126"/>
      <c r="E3" s="126"/>
      <c r="F3" s="125"/>
      <c r="G3" s="125"/>
      <c r="H3" s="128"/>
      <c r="I3" s="128"/>
      <c r="J3" s="126"/>
      <c r="K3" s="129"/>
      <c r="L3" s="14">
        <f t="shared" si="0"/>
        <v>0</v>
      </c>
      <c r="M3" s="31">
        <f t="shared" si="1"/>
        <v>0</v>
      </c>
      <c r="N3" s="15" t="str">
        <f>IF(Table2683242[[#This Row],[Fault Type]]="PM",IF(L3&lt;=(D3-C3),"Yes","No"),"")</f>
        <v/>
      </c>
      <c r="O3" s="16" t="str">
        <f t="shared" si="2"/>
        <v/>
      </c>
      <c r="P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 s="17"/>
    </row>
    <row r="4" spans="1:22" ht="15.5" x14ac:dyDescent="0.35">
      <c r="A4" s="158"/>
      <c r="B4" s="125"/>
      <c r="C4" s="126"/>
      <c r="D4" s="126"/>
      <c r="E4" s="126"/>
      <c r="F4" s="125"/>
      <c r="G4" s="125"/>
      <c r="H4" s="125"/>
      <c r="I4" s="125"/>
      <c r="J4" s="126"/>
      <c r="K4" s="129"/>
      <c r="L4" s="14">
        <f t="shared" si="0"/>
        <v>0</v>
      </c>
      <c r="M4" s="31">
        <f t="shared" si="1"/>
        <v>0</v>
      </c>
      <c r="N4" s="15" t="str">
        <f>IF(Table2683242[[#This Row],[Fault Type]]="PM",IF(L4&lt;=(D4-C4),"Yes","No"),"")</f>
        <v/>
      </c>
      <c r="O4" s="16" t="str">
        <f t="shared" si="2"/>
        <v/>
      </c>
      <c r="P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 s="17"/>
    </row>
    <row r="5" spans="1:22" ht="15.5" x14ac:dyDescent="0.35">
      <c r="A5" s="158"/>
      <c r="B5" s="125"/>
      <c r="C5" s="126"/>
      <c r="D5" s="126"/>
      <c r="E5" s="126"/>
      <c r="F5" s="125"/>
      <c r="G5" s="125"/>
      <c r="H5" s="127"/>
      <c r="I5" s="127"/>
      <c r="J5" s="126"/>
      <c r="K5" s="129"/>
      <c r="L5" s="14">
        <f t="shared" si="0"/>
        <v>0</v>
      </c>
      <c r="M5" s="31">
        <f t="shared" si="1"/>
        <v>0</v>
      </c>
      <c r="N5" s="15" t="str">
        <f>IF(Table2683242[[#This Row],[Fault Type]]="PM",IF(L5&lt;=(D5-C5),"Yes","No"),"")</f>
        <v/>
      </c>
      <c r="O5" s="16" t="str">
        <f t="shared" si="2"/>
        <v/>
      </c>
      <c r="P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 s="17"/>
    </row>
    <row r="6" spans="1:22" ht="15.5" x14ac:dyDescent="0.35">
      <c r="A6" s="158"/>
      <c r="B6" s="125"/>
      <c r="C6" s="126"/>
      <c r="D6" s="126"/>
      <c r="E6" s="126"/>
      <c r="F6" s="125"/>
      <c r="G6" s="125"/>
      <c r="H6" s="127"/>
      <c r="I6" s="127"/>
      <c r="J6" s="126"/>
      <c r="K6" s="129"/>
      <c r="L6" s="14">
        <f t="shared" si="0"/>
        <v>0</v>
      </c>
      <c r="M6" s="31">
        <f t="shared" si="1"/>
        <v>0</v>
      </c>
      <c r="N6" s="15" t="str">
        <f>IF(Table2683242[[#This Row],[Fault Type]]="PM",IF(L6&lt;=(D6-C6),"Yes","No"),"")</f>
        <v/>
      </c>
      <c r="O6" s="16" t="str">
        <f t="shared" si="2"/>
        <v/>
      </c>
      <c r="P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 s="17"/>
    </row>
    <row r="7" spans="1:22" ht="15.5" x14ac:dyDescent="0.35">
      <c r="A7" s="158"/>
      <c r="B7" s="125"/>
      <c r="C7" s="126"/>
      <c r="D7" s="126"/>
      <c r="E7" s="126"/>
      <c r="F7" s="125"/>
      <c r="G7" s="125"/>
      <c r="H7" s="125"/>
      <c r="I7" s="125"/>
      <c r="J7" s="126"/>
      <c r="K7" s="129"/>
      <c r="L7" s="14">
        <f t="shared" si="0"/>
        <v>0</v>
      </c>
      <c r="M7" s="31">
        <f t="shared" si="1"/>
        <v>0</v>
      </c>
      <c r="N7" s="15" t="str">
        <f>IF(Table2683242[[#This Row],[Fault Type]]="PM",IF(L7&lt;=(D7-C7),"Yes","No"),"")</f>
        <v/>
      </c>
      <c r="O7" s="16" t="str">
        <f t="shared" si="2"/>
        <v/>
      </c>
      <c r="P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 s="17"/>
    </row>
    <row r="8" spans="1:22" ht="15.5" x14ac:dyDescent="0.35">
      <c r="A8" s="158"/>
      <c r="B8" s="125"/>
      <c r="C8" s="126"/>
      <c r="D8" s="126"/>
      <c r="E8" s="126"/>
      <c r="F8" s="125"/>
      <c r="G8" s="125"/>
      <c r="H8" s="127"/>
      <c r="I8" s="127"/>
      <c r="J8" s="126"/>
      <c r="K8" s="129"/>
      <c r="L8" s="14">
        <f t="shared" si="0"/>
        <v>0</v>
      </c>
      <c r="M8" s="31">
        <f t="shared" si="1"/>
        <v>0</v>
      </c>
      <c r="N8" s="15" t="str">
        <f>IF(Table2683242[[#This Row],[Fault Type]]="PM",IF(L8&lt;=(D8-C8),"Yes","No"),"")</f>
        <v/>
      </c>
      <c r="O8" s="16" t="str">
        <f t="shared" si="2"/>
        <v/>
      </c>
      <c r="P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 s="17"/>
    </row>
    <row r="9" spans="1:22" ht="15.5" x14ac:dyDescent="0.35">
      <c r="A9" s="124"/>
      <c r="B9" s="125"/>
      <c r="C9" s="126"/>
      <c r="D9" s="126"/>
      <c r="E9" s="126"/>
      <c r="F9" s="125"/>
      <c r="G9" s="125"/>
      <c r="H9" s="125"/>
      <c r="I9" s="125"/>
      <c r="J9" s="126"/>
      <c r="K9" s="129"/>
      <c r="L9" s="14">
        <f t="shared" si="0"/>
        <v>0</v>
      </c>
      <c r="M9" s="31">
        <f t="shared" si="1"/>
        <v>0</v>
      </c>
      <c r="N9" s="15" t="str">
        <f>IF(Table2683242[[#This Row],[Fault Type]]="PM",IF(L9&lt;=(D9-C9),"Yes","No"),"")</f>
        <v/>
      </c>
      <c r="O9" s="16" t="str">
        <f t="shared" si="2"/>
        <v/>
      </c>
      <c r="P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 s="17"/>
    </row>
    <row r="10" spans="1:22" ht="15.5" x14ac:dyDescent="0.35">
      <c r="A10" s="124"/>
      <c r="B10" s="125"/>
      <c r="C10" s="126"/>
      <c r="D10" s="126"/>
      <c r="E10" s="126"/>
      <c r="F10" s="125"/>
      <c r="G10" s="125"/>
      <c r="H10" s="125"/>
      <c r="I10" s="125"/>
      <c r="J10" s="126"/>
      <c r="K10" s="129"/>
      <c r="L10" s="14">
        <f t="shared" si="0"/>
        <v>0</v>
      </c>
      <c r="M10" s="31">
        <f t="shared" si="1"/>
        <v>0</v>
      </c>
      <c r="N10" s="15" t="str">
        <f>IF(Table2683242[[#This Row],[Fault Type]]="PM",IF(L10&lt;=(D10-C10),"Yes","No"),"")</f>
        <v/>
      </c>
      <c r="O10" s="16" t="str">
        <f t="shared" si="2"/>
        <v/>
      </c>
      <c r="P1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0" s="17"/>
    </row>
    <row r="11" spans="1:22" ht="15.5" x14ac:dyDescent="0.35">
      <c r="A11" s="124"/>
      <c r="B11" s="125"/>
      <c r="C11" s="126"/>
      <c r="D11" s="126"/>
      <c r="E11" s="126"/>
      <c r="F11" s="125"/>
      <c r="G11" s="125"/>
      <c r="H11" s="125"/>
      <c r="I11" s="125"/>
      <c r="J11" s="126"/>
      <c r="K11" s="129"/>
      <c r="L11" s="14">
        <f t="shared" si="0"/>
        <v>0</v>
      </c>
      <c r="M11" s="31">
        <f t="shared" si="1"/>
        <v>0</v>
      </c>
      <c r="N11" s="15" t="str">
        <f>IF(Table2683242[[#This Row],[Fault Type]]="PM",IF(L11&lt;=(D11-C11),"Yes","No"),"")</f>
        <v/>
      </c>
      <c r="O11" s="16" t="str">
        <f t="shared" si="2"/>
        <v/>
      </c>
      <c r="P1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1" s="17"/>
    </row>
    <row r="12" spans="1:22" ht="15.5" x14ac:dyDescent="0.35">
      <c r="A12" s="124"/>
      <c r="B12" s="125"/>
      <c r="C12" s="126"/>
      <c r="D12" s="126"/>
      <c r="E12" s="126"/>
      <c r="F12" s="125"/>
      <c r="G12" s="125"/>
      <c r="H12" s="125"/>
      <c r="I12" s="125"/>
      <c r="J12" s="126"/>
      <c r="K12" s="129"/>
      <c r="L12" s="14">
        <f t="shared" si="0"/>
        <v>0</v>
      </c>
      <c r="M12" s="31">
        <f t="shared" si="1"/>
        <v>0</v>
      </c>
      <c r="N12" s="15" t="str">
        <f>IF(Table2683242[[#This Row],[Fault Type]]="PM",IF(L12&lt;=(D12-C12),"Yes","No"),"")</f>
        <v/>
      </c>
      <c r="O12" s="16" t="str">
        <f t="shared" si="2"/>
        <v/>
      </c>
      <c r="P1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2" s="17"/>
    </row>
    <row r="13" spans="1:22" ht="15.5" x14ac:dyDescent="0.35">
      <c r="A13" s="124"/>
      <c r="B13" s="125"/>
      <c r="C13" s="126"/>
      <c r="D13" s="126"/>
      <c r="E13" s="126"/>
      <c r="F13" s="125"/>
      <c r="G13" s="125"/>
      <c r="H13" s="125"/>
      <c r="I13" s="125"/>
      <c r="J13" s="126"/>
      <c r="K13" s="129"/>
      <c r="L13" s="14">
        <f t="shared" si="0"/>
        <v>0</v>
      </c>
      <c r="M13" s="31">
        <f t="shared" si="1"/>
        <v>0</v>
      </c>
      <c r="N13" s="15" t="str">
        <f>IF(Table2683242[[#This Row],[Fault Type]]="PM",IF(L13&lt;=(D13-C13),"Yes","No"),"")</f>
        <v/>
      </c>
      <c r="O13" s="16" t="str">
        <f t="shared" si="2"/>
        <v/>
      </c>
      <c r="P1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3" s="17"/>
    </row>
    <row r="14" spans="1:22" s="116" customFormat="1" ht="15.5" x14ac:dyDescent="0.35">
      <c r="A14" s="131"/>
      <c r="B14" s="132"/>
      <c r="C14" s="133"/>
      <c r="D14" s="133"/>
      <c r="E14" s="133"/>
      <c r="F14" s="132"/>
      <c r="G14" s="132"/>
      <c r="H14" s="132"/>
      <c r="I14" s="132"/>
      <c r="J14" s="133"/>
      <c r="K14" s="136"/>
      <c r="L14" s="14">
        <f>J14-E14</f>
        <v>0</v>
      </c>
      <c r="M14" s="31">
        <f>L14*F14</f>
        <v>0</v>
      </c>
      <c r="N14" s="15" t="str">
        <f>IF(Table2683242[[#This Row],[Fault Type]]="PM",IF(L14&lt;=(D14-C14),"Yes","No"),"")</f>
        <v/>
      </c>
      <c r="O14" s="16" t="str">
        <f>IF(N14="No",(L14-(D14-C14)),"")</f>
        <v/>
      </c>
      <c r="P1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4" s="144"/>
    </row>
    <row r="15" spans="1:22" ht="15.5" x14ac:dyDescent="0.35">
      <c r="A15" s="124"/>
      <c r="B15" s="125"/>
      <c r="C15" s="126"/>
      <c r="D15" s="126"/>
      <c r="E15" s="126"/>
      <c r="F15" s="125"/>
      <c r="G15" s="125"/>
      <c r="H15" s="125"/>
      <c r="I15" s="125"/>
      <c r="J15" s="126"/>
      <c r="K15" s="129"/>
      <c r="L15" s="14">
        <f t="shared" si="0"/>
        <v>0</v>
      </c>
      <c r="M15" s="31">
        <f t="shared" si="1"/>
        <v>0</v>
      </c>
      <c r="N15" s="15" t="str">
        <f>IF(Table2683242[[#This Row],[Fault Type]]="PM",IF(L15&lt;=(D15-C15),"Yes","No"),"")</f>
        <v/>
      </c>
      <c r="O15" s="16" t="str">
        <f t="shared" si="2"/>
        <v/>
      </c>
      <c r="P1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5" s="17"/>
    </row>
    <row r="16" spans="1:22" ht="15.5" x14ac:dyDescent="0.35">
      <c r="A16" s="124"/>
      <c r="B16" s="125"/>
      <c r="C16" s="126"/>
      <c r="D16" s="126"/>
      <c r="E16" s="126"/>
      <c r="F16" s="125"/>
      <c r="G16" s="125"/>
      <c r="H16" s="125"/>
      <c r="I16" s="125"/>
      <c r="J16" s="126"/>
      <c r="K16" s="129"/>
      <c r="L16" s="14">
        <f t="shared" si="0"/>
        <v>0</v>
      </c>
      <c r="M16" s="31">
        <f t="shared" si="1"/>
        <v>0</v>
      </c>
      <c r="N16" s="15" t="str">
        <f>IF(Table2683242[[#This Row],[Fault Type]]="PM",IF(L16&lt;=(D16-C16),"Yes","No"),"")</f>
        <v/>
      </c>
      <c r="O16" s="16" t="str">
        <f t="shared" si="2"/>
        <v/>
      </c>
      <c r="P1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6" s="17"/>
    </row>
    <row r="17" spans="1:17" ht="15.5" x14ac:dyDescent="0.35">
      <c r="A17" s="124"/>
      <c r="B17" s="125"/>
      <c r="C17" s="126"/>
      <c r="D17" s="126"/>
      <c r="E17" s="126"/>
      <c r="F17" s="125"/>
      <c r="G17" s="125"/>
      <c r="H17" s="125"/>
      <c r="I17" s="125"/>
      <c r="J17" s="126"/>
      <c r="K17" s="129"/>
      <c r="L17" s="14">
        <f t="shared" si="0"/>
        <v>0</v>
      </c>
      <c r="M17" s="31">
        <f t="shared" si="1"/>
        <v>0</v>
      </c>
      <c r="N17" s="15" t="str">
        <f>IF(Table2683242[[#This Row],[Fault Type]]="PM",IF(L17&lt;=(D17-C17),"Yes","No"),"")</f>
        <v/>
      </c>
      <c r="O17" s="16" t="str">
        <f t="shared" si="2"/>
        <v/>
      </c>
      <c r="P1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7" s="130"/>
    </row>
    <row r="18" spans="1:17" ht="15.5" x14ac:dyDescent="0.35">
      <c r="A18" s="124"/>
      <c r="B18" s="125"/>
      <c r="C18" s="126"/>
      <c r="D18" s="126"/>
      <c r="E18" s="126"/>
      <c r="F18" s="125"/>
      <c r="G18" s="125"/>
      <c r="H18" s="125"/>
      <c r="I18" s="125"/>
      <c r="J18" s="126"/>
      <c r="K18" s="129"/>
      <c r="L18" s="14">
        <f t="shared" si="0"/>
        <v>0</v>
      </c>
      <c r="M18" s="31">
        <f t="shared" si="1"/>
        <v>0</v>
      </c>
      <c r="N18" s="15" t="str">
        <f>IF(Table2683242[[#This Row],[Fault Type]]="PM",IF(L18&lt;=(D18-C18),"Yes","No"),"")</f>
        <v/>
      </c>
      <c r="O18" s="16" t="str">
        <f t="shared" si="2"/>
        <v/>
      </c>
      <c r="P1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8" s="130"/>
    </row>
    <row r="19" spans="1:17" s="116" customFormat="1" ht="15.5" x14ac:dyDescent="0.35">
      <c r="A19" s="131"/>
      <c r="B19" s="132"/>
      <c r="C19" s="133"/>
      <c r="D19" s="133"/>
      <c r="E19" s="133"/>
      <c r="F19" s="132"/>
      <c r="G19" s="132"/>
      <c r="H19" s="132"/>
      <c r="I19" s="132"/>
      <c r="J19" s="133"/>
      <c r="K19" s="136"/>
      <c r="L19" s="14">
        <f>J19-E19</f>
        <v>0</v>
      </c>
      <c r="M19" s="31">
        <f>L19*F19</f>
        <v>0</v>
      </c>
      <c r="N19" s="15" t="str">
        <f>IF(Table2683242[[#This Row],[Fault Type]]="PM",IF(L19&lt;=(D19-C19),"Yes","No"),"")</f>
        <v/>
      </c>
      <c r="O19" s="16" t="str">
        <f>IF(N19="No",(L19-(D19-C19)),"")</f>
        <v/>
      </c>
      <c r="P1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9" s="144"/>
    </row>
    <row r="20" spans="1:17" ht="15.5" x14ac:dyDescent="0.35">
      <c r="A20" s="124"/>
      <c r="B20" s="125"/>
      <c r="C20" s="126"/>
      <c r="D20" s="126"/>
      <c r="E20" s="126"/>
      <c r="F20" s="125"/>
      <c r="G20" s="125"/>
      <c r="H20" s="125"/>
      <c r="I20" s="125"/>
      <c r="J20" s="126"/>
      <c r="K20" s="129"/>
      <c r="L20" s="14">
        <f t="shared" si="0"/>
        <v>0</v>
      </c>
      <c r="M20" s="31">
        <f t="shared" si="1"/>
        <v>0</v>
      </c>
      <c r="N20" s="15" t="str">
        <f>IF(Table2683242[[#This Row],[Fault Type]]="PM",IF(L20&lt;=(D20-C20),"Yes","No"),"")</f>
        <v/>
      </c>
      <c r="O20" s="16" t="str">
        <f t="shared" si="2"/>
        <v/>
      </c>
      <c r="P2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0" s="130"/>
    </row>
    <row r="21" spans="1:17" ht="15.5" x14ac:dyDescent="0.35">
      <c r="A21" s="124"/>
      <c r="B21" s="125"/>
      <c r="C21" s="126"/>
      <c r="D21" s="126"/>
      <c r="E21" s="126"/>
      <c r="F21" s="125"/>
      <c r="G21" s="125"/>
      <c r="H21" s="125"/>
      <c r="I21" s="125"/>
      <c r="J21" s="126"/>
      <c r="K21" s="129"/>
      <c r="L21" s="14">
        <f t="shared" si="0"/>
        <v>0</v>
      </c>
      <c r="M21" s="31">
        <f t="shared" si="1"/>
        <v>0</v>
      </c>
      <c r="N21" s="15" t="str">
        <f>IF(Table2683242[[#This Row],[Fault Type]]="PM",IF(L21&lt;=(D21-C21),"Yes","No"),"")</f>
        <v/>
      </c>
      <c r="O21" s="16" t="str">
        <f t="shared" si="2"/>
        <v/>
      </c>
      <c r="P2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1" s="144"/>
    </row>
    <row r="22" spans="1:17" ht="15.5" x14ac:dyDescent="0.35">
      <c r="A22" s="158"/>
      <c r="B22" s="125"/>
      <c r="C22" s="126"/>
      <c r="D22" s="126"/>
      <c r="E22" s="126"/>
      <c r="F22" s="127"/>
      <c r="G22" s="159"/>
      <c r="H22" s="127"/>
      <c r="I22" s="127"/>
      <c r="J22" s="126"/>
      <c r="K22" s="129"/>
      <c r="L22" s="14">
        <f t="shared" si="0"/>
        <v>0</v>
      </c>
      <c r="M22" s="31">
        <f t="shared" si="1"/>
        <v>0</v>
      </c>
      <c r="N22" s="15" t="str">
        <f>IF(Table2683242[[#This Row],[Fault Type]]="PM",IF(L22&lt;=(D22-C22),"Yes","No"),"")</f>
        <v/>
      </c>
      <c r="O22" s="16" t="str">
        <f t="shared" si="2"/>
        <v/>
      </c>
      <c r="P2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2" s="144"/>
    </row>
    <row r="23" spans="1:17" ht="15.5" x14ac:dyDescent="0.35">
      <c r="A23" s="124"/>
      <c r="B23" s="125"/>
      <c r="C23" s="126"/>
      <c r="D23" s="126"/>
      <c r="E23" s="126"/>
      <c r="F23" s="125"/>
      <c r="G23" s="125"/>
      <c r="H23" s="125"/>
      <c r="I23" s="125"/>
      <c r="J23" s="126"/>
      <c r="K23" s="129"/>
      <c r="L23" s="14">
        <f t="shared" si="0"/>
        <v>0</v>
      </c>
      <c r="M23" s="31">
        <f t="shared" si="1"/>
        <v>0</v>
      </c>
      <c r="N23" s="15" t="str">
        <f>IF(Table2683242[[#This Row],[Fault Type]]="PM",IF(L23&lt;=(D23-C23),"Yes","No"),"")</f>
        <v/>
      </c>
      <c r="O23" s="16" t="str">
        <f t="shared" si="2"/>
        <v/>
      </c>
      <c r="P2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3" s="144"/>
    </row>
    <row r="24" spans="1:17" ht="15.5" x14ac:dyDescent="0.35">
      <c r="A24" s="124"/>
      <c r="B24" s="125"/>
      <c r="C24" s="126"/>
      <c r="D24" s="126"/>
      <c r="E24" s="126"/>
      <c r="F24" s="125"/>
      <c r="G24" s="125"/>
      <c r="H24" s="125"/>
      <c r="I24" s="127"/>
      <c r="J24" s="126"/>
      <c r="K24" s="129"/>
      <c r="L24" s="14">
        <f t="shared" si="0"/>
        <v>0</v>
      </c>
      <c r="M24" s="31">
        <f t="shared" si="1"/>
        <v>0</v>
      </c>
      <c r="N24" s="15" t="str">
        <f>IF(Table2683242[[#This Row],[Fault Type]]="PM",IF(L24&lt;=(D24-C24),"Yes","No"),"")</f>
        <v/>
      </c>
      <c r="O24" s="16" t="str">
        <f t="shared" si="2"/>
        <v/>
      </c>
      <c r="P2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4" s="144"/>
    </row>
    <row r="25" spans="1:17" ht="15.5" x14ac:dyDescent="0.35">
      <c r="A25" s="124"/>
      <c r="B25" s="125"/>
      <c r="C25" s="126"/>
      <c r="D25" s="126"/>
      <c r="E25" s="126"/>
      <c r="F25" s="125"/>
      <c r="G25" s="125"/>
      <c r="H25" s="125"/>
      <c r="I25" s="127"/>
      <c r="J25" s="126"/>
      <c r="K25" s="129"/>
      <c r="L25" s="14">
        <f t="shared" si="0"/>
        <v>0</v>
      </c>
      <c r="M25" s="31">
        <f t="shared" si="1"/>
        <v>0</v>
      </c>
      <c r="N25" s="15" t="str">
        <f>IF(Table2683242[[#This Row],[Fault Type]]="PM",IF(L25&lt;=(D25-C25),"Yes","No"),"")</f>
        <v/>
      </c>
      <c r="O25" s="16" t="str">
        <f t="shared" si="2"/>
        <v/>
      </c>
      <c r="P2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5" s="144"/>
    </row>
    <row r="26" spans="1:17" ht="15.5" x14ac:dyDescent="0.35">
      <c r="A26" s="124"/>
      <c r="B26" s="125"/>
      <c r="C26" s="126"/>
      <c r="D26" s="126"/>
      <c r="E26" s="126"/>
      <c r="F26" s="125"/>
      <c r="G26" s="125"/>
      <c r="H26" s="125"/>
      <c r="I26" s="127"/>
      <c r="J26" s="126"/>
      <c r="K26" s="129"/>
      <c r="L26" s="14">
        <f t="shared" si="0"/>
        <v>0</v>
      </c>
      <c r="M26" s="31">
        <f t="shared" si="1"/>
        <v>0</v>
      </c>
      <c r="N26" s="15" t="str">
        <f>IF(Table2683242[[#This Row],[Fault Type]]="PM",IF(L26&lt;=(D26-C26),"Yes","No"),"")</f>
        <v/>
      </c>
      <c r="O26" s="16" t="str">
        <f t="shared" si="2"/>
        <v/>
      </c>
      <c r="P2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6" s="130"/>
    </row>
    <row r="27" spans="1:17" ht="15.5" x14ac:dyDescent="0.35">
      <c r="A27" s="124"/>
      <c r="B27" s="125"/>
      <c r="C27" s="126"/>
      <c r="D27" s="126"/>
      <c r="E27" s="126"/>
      <c r="F27" s="127"/>
      <c r="G27" s="125"/>
      <c r="H27" s="127"/>
      <c r="I27" s="127"/>
      <c r="J27" s="126"/>
      <c r="K27" s="129"/>
      <c r="L27" s="14">
        <f t="shared" si="0"/>
        <v>0</v>
      </c>
      <c r="M27" s="31">
        <f t="shared" si="1"/>
        <v>0</v>
      </c>
      <c r="N27" s="15" t="str">
        <f>IF(Table2683242[[#This Row],[Fault Type]]="PM",IF(L27&lt;=(D27-C27),"Yes","No"),"")</f>
        <v/>
      </c>
      <c r="O27" s="16" t="str">
        <f t="shared" si="2"/>
        <v/>
      </c>
      <c r="P2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7" s="130"/>
    </row>
    <row r="28" spans="1:17" ht="15.5" x14ac:dyDescent="0.35">
      <c r="A28" s="124"/>
      <c r="B28" s="125"/>
      <c r="C28" s="126"/>
      <c r="D28" s="126"/>
      <c r="E28" s="126"/>
      <c r="F28" s="125"/>
      <c r="G28" s="125"/>
      <c r="H28" s="125"/>
      <c r="I28" s="125"/>
      <c r="J28" s="126"/>
      <c r="K28" s="129"/>
      <c r="L28" s="14">
        <f t="shared" si="0"/>
        <v>0</v>
      </c>
      <c r="M28" s="31">
        <f t="shared" si="1"/>
        <v>0</v>
      </c>
      <c r="N28" s="15" t="str">
        <f>IF(Table2683242[[#This Row],[Fault Type]]="PM",IF(L28&lt;=(D28-C28),"Yes","No"),"")</f>
        <v/>
      </c>
      <c r="O28" s="16" t="str">
        <f t="shared" si="2"/>
        <v/>
      </c>
      <c r="P2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8" s="130"/>
    </row>
    <row r="29" spans="1:17" ht="15.5" x14ac:dyDescent="0.35">
      <c r="A29" s="124"/>
      <c r="B29" s="125"/>
      <c r="C29" s="126"/>
      <c r="D29" s="126"/>
      <c r="E29" s="126"/>
      <c r="F29" s="127"/>
      <c r="G29" s="125"/>
      <c r="H29" s="125"/>
      <c r="I29" s="125"/>
      <c r="J29" s="126"/>
      <c r="K29" s="129"/>
      <c r="L29" s="14">
        <f t="shared" si="0"/>
        <v>0</v>
      </c>
      <c r="M29" s="31">
        <f t="shared" si="1"/>
        <v>0</v>
      </c>
      <c r="N29" s="15" t="str">
        <f>IF(Table2683242[[#This Row],[Fault Type]]="PM",IF(L29&lt;=(D29-C29),"Yes","No"),"")</f>
        <v/>
      </c>
      <c r="O29" s="16" t="str">
        <f t="shared" si="2"/>
        <v/>
      </c>
      <c r="P2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29" s="130"/>
    </row>
    <row r="30" spans="1:17" ht="15.5" x14ac:dyDescent="0.35">
      <c r="A30" s="124"/>
      <c r="B30" s="125"/>
      <c r="C30" s="126"/>
      <c r="D30" s="126"/>
      <c r="E30" s="126"/>
      <c r="F30" s="127"/>
      <c r="G30" s="125"/>
      <c r="H30" s="125"/>
      <c r="I30" s="125"/>
      <c r="J30" s="126"/>
      <c r="K30" s="129"/>
      <c r="L30" s="14">
        <f t="shared" si="0"/>
        <v>0</v>
      </c>
      <c r="M30" s="31">
        <f t="shared" si="1"/>
        <v>0</v>
      </c>
      <c r="N30" s="15" t="str">
        <f>IF(Table2683242[[#This Row],[Fault Type]]="PM",IF(L30&lt;=(D30-C30),"Yes","No"),"")</f>
        <v/>
      </c>
      <c r="O30" s="16" t="str">
        <f t="shared" si="2"/>
        <v/>
      </c>
      <c r="P3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0" s="130"/>
    </row>
    <row r="31" spans="1:17" ht="15.5" x14ac:dyDescent="0.35">
      <c r="A31" s="124"/>
      <c r="B31" s="125"/>
      <c r="C31" s="126"/>
      <c r="D31" s="126"/>
      <c r="E31" s="126"/>
      <c r="F31" s="127"/>
      <c r="G31" s="125"/>
      <c r="H31" s="127"/>
      <c r="I31" s="127"/>
      <c r="J31" s="126"/>
      <c r="K31" s="129"/>
      <c r="L31" s="14">
        <f t="shared" si="0"/>
        <v>0</v>
      </c>
      <c r="M31" s="31">
        <f t="shared" si="1"/>
        <v>0</v>
      </c>
      <c r="N31" s="15" t="str">
        <f>IF(Table2683242[[#This Row],[Fault Type]]="PM",IF(L31&lt;=(D31-C31),"Yes","No"),"")</f>
        <v/>
      </c>
      <c r="O31" s="16" t="str">
        <f t="shared" si="2"/>
        <v/>
      </c>
      <c r="P3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1" s="130"/>
    </row>
    <row r="32" spans="1:17" ht="15.5" x14ac:dyDescent="0.35">
      <c r="A32" s="124"/>
      <c r="B32" s="125"/>
      <c r="C32" s="126"/>
      <c r="D32" s="126"/>
      <c r="E32" s="126"/>
      <c r="F32" s="125"/>
      <c r="G32" s="125"/>
      <c r="H32" s="125"/>
      <c r="I32" s="125"/>
      <c r="J32" s="126"/>
      <c r="K32" s="129"/>
      <c r="L32" s="14">
        <f t="shared" si="0"/>
        <v>0</v>
      </c>
      <c r="M32" s="31">
        <f t="shared" si="1"/>
        <v>0</v>
      </c>
      <c r="N32" s="15" t="str">
        <f>IF(Table2683242[[#This Row],[Fault Type]]="PM",IF(L32&lt;=(D32-C32),"Yes","No"),"")</f>
        <v/>
      </c>
      <c r="O32" s="16" t="str">
        <f t="shared" si="2"/>
        <v/>
      </c>
      <c r="P3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2" s="130"/>
    </row>
    <row r="33" spans="1:17" ht="15.5" x14ac:dyDescent="0.35">
      <c r="A33" s="124"/>
      <c r="B33" s="125"/>
      <c r="C33" s="126"/>
      <c r="D33" s="126"/>
      <c r="E33" s="126"/>
      <c r="F33" s="127"/>
      <c r="G33" s="125"/>
      <c r="H33" s="127"/>
      <c r="I33" s="127"/>
      <c r="J33" s="126"/>
      <c r="K33" s="129"/>
      <c r="L33" s="14">
        <f t="shared" si="0"/>
        <v>0</v>
      </c>
      <c r="M33" s="31">
        <f t="shared" si="1"/>
        <v>0</v>
      </c>
      <c r="N33" s="15" t="str">
        <f>IF(Table2683242[[#This Row],[Fault Type]]="PM",IF(L33&lt;=(D33-C33),"Yes","No"),"")</f>
        <v/>
      </c>
      <c r="O33" s="16" t="str">
        <f t="shared" si="2"/>
        <v/>
      </c>
      <c r="P3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3" s="17"/>
    </row>
    <row r="34" spans="1:17" ht="15.5" x14ac:dyDescent="0.35">
      <c r="A34" s="124"/>
      <c r="B34" s="125"/>
      <c r="C34" s="126"/>
      <c r="D34" s="126"/>
      <c r="E34" s="126"/>
      <c r="F34" s="127"/>
      <c r="G34" s="125"/>
      <c r="H34" s="127"/>
      <c r="I34" s="127"/>
      <c r="J34" s="126"/>
      <c r="K34" s="129"/>
      <c r="L34" s="14">
        <f t="shared" si="0"/>
        <v>0</v>
      </c>
      <c r="M34" s="31">
        <f t="shared" si="1"/>
        <v>0</v>
      </c>
      <c r="N34" s="15" t="str">
        <f>IF(Table2683242[[#This Row],[Fault Type]]="PM",IF(L34&lt;=(D34-C34),"Yes","No"),"")</f>
        <v/>
      </c>
      <c r="O34" s="16" t="str">
        <f t="shared" si="2"/>
        <v/>
      </c>
      <c r="P3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4" s="17"/>
    </row>
    <row r="35" spans="1:17" ht="15.5" x14ac:dyDescent="0.35">
      <c r="A35" s="124"/>
      <c r="B35" s="125"/>
      <c r="C35" s="126"/>
      <c r="D35" s="126"/>
      <c r="E35" s="126"/>
      <c r="F35" s="125"/>
      <c r="G35" s="125"/>
      <c r="H35" s="125"/>
      <c r="I35" s="125"/>
      <c r="J35" s="126"/>
      <c r="K35" s="129"/>
      <c r="L35" s="14">
        <f t="shared" si="0"/>
        <v>0</v>
      </c>
      <c r="M35" s="31">
        <f t="shared" si="1"/>
        <v>0</v>
      </c>
      <c r="N35" s="15" t="str">
        <f>IF(Table2683242[[#This Row],[Fault Type]]="PM",IF(L35&lt;=(D35-C35),"Yes","No"),"")</f>
        <v/>
      </c>
      <c r="O35" s="16" t="str">
        <f t="shared" si="2"/>
        <v/>
      </c>
      <c r="P3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5" s="17"/>
    </row>
    <row r="36" spans="1:17" ht="15.5" x14ac:dyDescent="0.35">
      <c r="A36" s="124"/>
      <c r="B36" s="125"/>
      <c r="C36" s="126"/>
      <c r="D36" s="126"/>
      <c r="E36" s="126"/>
      <c r="F36" s="127"/>
      <c r="G36" s="125"/>
      <c r="H36" s="127"/>
      <c r="I36" s="127"/>
      <c r="J36" s="126"/>
      <c r="K36" s="129"/>
      <c r="L36" s="14">
        <f t="shared" si="0"/>
        <v>0</v>
      </c>
      <c r="M36" s="31">
        <f t="shared" si="1"/>
        <v>0</v>
      </c>
      <c r="N36" s="15" t="str">
        <f>IF(Table2683242[[#This Row],[Fault Type]]="PM",IF(L36&lt;=(D36-C36),"Yes","No"),"")</f>
        <v/>
      </c>
      <c r="O36" s="16" t="str">
        <f t="shared" si="2"/>
        <v/>
      </c>
      <c r="P3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6" s="17"/>
    </row>
    <row r="37" spans="1:17" ht="15.5" x14ac:dyDescent="0.35">
      <c r="A37" s="124"/>
      <c r="B37" s="125"/>
      <c r="C37" s="126"/>
      <c r="D37" s="126"/>
      <c r="E37" s="126"/>
      <c r="F37" s="127"/>
      <c r="G37" s="125"/>
      <c r="H37" s="127"/>
      <c r="I37" s="127"/>
      <c r="J37" s="126"/>
      <c r="K37" s="129"/>
      <c r="L37" s="14">
        <f t="shared" si="0"/>
        <v>0</v>
      </c>
      <c r="M37" s="31">
        <f t="shared" si="1"/>
        <v>0</v>
      </c>
      <c r="N37" s="15" t="str">
        <f>IF(Table2683242[[#This Row],[Fault Type]]="PM",IF(L37&lt;=(D37-C37),"Yes","No"),"")</f>
        <v/>
      </c>
      <c r="O37" s="16" t="str">
        <f t="shared" si="2"/>
        <v/>
      </c>
      <c r="P3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7" s="17"/>
    </row>
    <row r="38" spans="1:17" ht="15.5" x14ac:dyDescent="0.35">
      <c r="A38" s="4"/>
      <c r="B38" s="12"/>
      <c r="C38" s="13"/>
      <c r="D38" s="13"/>
      <c r="E38" s="13"/>
      <c r="F38" s="18"/>
      <c r="G38" s="12"/>
      <c r="H38" s="18"/>
      <c r="I38" s="18"/>
      <c r="J38" s="13"/>
      <c r="K38" s="32"/>
      <c r="L38" s="14">
        <f t="shared" si="0"/>
        <v>0</v>
      </c>
      <c r="M38" s="31">
        <f t="shared" si="1"/>
        <v>0</v>
      </c>
      <c r="N38" s="15" t="str">
        <f>IF(Table2683242[[#This Row],[Fault Type]]="PM",IF(L38&lt;=(D38-C38),"Yes","No"),"")</f>
        <v/>
      </c>
      <c r="O38" s="16" t="str">
        <f t="shared" si="2"/>
        <v/>
      </c>
      <c r="P3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8" s="17"/>
    </row>
    <row r="39" spans="1:17" ht="15.5" x14ac:dyDescent="0.35">
      <c r="A39" s="4"/>
      <c r="B39" s="12"/>
      <c r="C39" s="13"/>
      <c r="D39" s="13"/>
      <c r="E39" s="13"/>
      <c r="F39" s="18"/>
      <c r="G39" s="12"/>
      <c r="H39" s="18"/>
      <c r="I39" s="18"/>
      <c r="J39" s="13"/>
      <c r="K39" s="32"/>
      <c r="L39" s="14">
        <f t="shared" si="0"/>
        <v>0</v>
      </c>
      <c r="M39" s="31">
        <f t="shared" si="1"/>
        <v>0</v>
      </c>
      <c r="N39" s="15" t="str">
        <f>IF(Table2683242[[#This Row],[Fault Type]]="PM",IF(L39&lt;=(D39-C39),"Yes","No"),"")</f>
        <v/>
      </c>
      <c r="O39" s="16" t="str">
        <f t="shared" si="2"/>
        <v/>
      </c>
      <c r="P3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39" s="17"/>
    </row>
    <row r="40" spans="1:17" ht="15.5" x14ac:dyDescent="0.35">
      <c r="A40" s="4"/>
      <c r="B40" s="12"/>
      <c r="C40" s="13"/>
      <c r="D40" s="13"/>
      <c r="E40" s="13"/>
      <c r="F40" s="18"/>
      <c r="G40" s="12"/>
      <c r="H40" s="18"/>
      <c r="I40" s="18"/>
      <c r="J40" s="13"/>
      <c r="K40" s="32"/>
      <c r="L40" s="14">
        <f t="shared" si="0"/>
        <v>0</v>
      </c>
      <c r="M40" s="31">
        <f t="shared" si="1"/>
        <v>0</v>
      </c>
      <c r="N40" s="15" t="str">
        <f>IF(Table2683242[[#This Row],[Fault Type]]="PM",IF(L40&lt;=(D40-C40),"Yes","No"),"")</f>
        <v/>
      </c>
      <c r="O40" s="16" t="str">
        <f t="shared" si="2"/>
        <v/>
      </c>
      <c r="P4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0" s="17"/>
    </row>
    <row r="41" spans="1:17" ht="15.5" x14ac:dyDescent="0.35">
      <c r="A41" s="4"/>
      <c r="B41" s="12"/>
      <c r="C41" s="13"/>
      <c r="D41" s="13"/>
      <c r="E41" s="13"/>
      <c r="F41" s="18"/>
      <c r="G41" s="12"/>
      <c r="H41" s="18"/>
      <c r="I41" s="18"/>
      <c r="J41" s="13"/>
      <c r="K41" s="32"/>
      <c r="L41" s="14">
        <f t="shared" si="0"/>
        <v>0</v>
      </c>
      <c r="M41" s="31">
        <f t="shared" si="1"/>
        <v>0</v>
      </c>
      <c r="N41" s="15" t="str">
        <f>IF(Table2683242[[#This Row],[Fault Type]]="PM",IF(L41&lt;=(D41-C41),"Yes","No"),"")</f>
        <v/>
      </c>
      <c r="O41" s="16" t="str">
        <f t="shared" si="2"/>
        <v/>
      </c>
      <c r="P4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1" s="17"/>
    </row>
    <row r="42" spans="1:17" ht="15.5" x14ac:dyDescent="0.35">
      <c r="A42" s="4"/>
      <c r="B42" s="12"/>
      <c r="C42" s="13"/>
      <c r="D42" s="13"/>
      <c r="E42" s="13"/>
      <c r="F42" s="18"/>
      <c r="G42" s="12"/>
      <c r="H42" s="18"/>
      <c r="I42" s="18"/>
      <c r="J42" s="13"/>
      <c r="K42" s="32"/>
      <c r="L42" s="14">
        <f t="shared" si="0"/>
        <v>0</v>
      </c>
      <c r="M42" s="31">
        <f t="shared" si="1"/>
        <v>0</v>
      </c>
      <c r="N42" s="15" t="str">
        <f>IF(Table2683242[[#This Row],[Fault Type]]="PM",IF(L42&lt;=(D42-C42),"Yes","No"),"")</f>
        <v/>
      </c>
      <c r="O42" s="16" t="str">
        <f t="shared" si="2"/>
        <v/>
      </c>
      <c r="P4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2" s="17"/>
    </row>
    <row r="43" spans="1:17" ht="15.5" x14ac:dyDescent="0.35">
      <c r="A43" s="4"/>
      <c r="B43" s="12"/>
      <c r="C43" s="13"/>
      <c r="D43" s="13"/>
      <c r="E43" s="13"/>
      <c r="F43" s="18"/>
      <c r="G43" s="12"/>
      <c r="H43" s="18"/>
      <c r="I43" s="18"/>
      <c r="J43" s="13"/>
      <c r="K43" s="32"/>
      <c r="L43" s="14">
        <f t="shared" si="0"/>
        <v>0</v>
      </c>
      <c r="M43" s="31">
        <f t="shared" si="1"/>
        <v>0</v>
      </c>
      <c r="N43" s="15" t="str">
        <f>IF(Table2683242[[#This Row],[Fault Type]]="PM",IF(L43&lt;=(D43-C43),"Yes","No"),"")</f>
        <v/>
      </c>
      <c r="O43" s="16" t="str">
        <f t="shared" si="2"/>
        <v/>
      </c>
      <c r="P4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3" s="17"/>
    </row>
    <row r="44" spans="1:17" ht="15.5" x14ac:dyDescent="0.35">
      <c r="A44" s="4"/>
      <c r="B44" s="12"/>
      <c r="C44" s="13"/>
      <c r="D44" s="13"/>
      <c r="E44" s="13"/>
      <c r="F44" s="18"/>
      <c r="G44" s="12"/>
      <c r="H44" s="18"/>
      <c r="I44" s="18"/>
      <c r="J44" s="13"/>
      <c r="K44" s="32"/>
      <c r="L44" s="14">
        <f t="shared" si="0"/>
        <v>0</v>
      </c>
      <c r="M44" s="31">
        <f t="shared" si="1"/>
        <v>0</v>
      </c>
      <c r="N44" s="15" t="str">
        <f>IF(Table2683242[[#This Row],[Fault Type]]="PM",IF(L44&lt;=(D44-C44),"Yes","No"),"")</f>
        <v/>
      </c>
      <c r="O44" s="16" t="str">
        <f t="shared" si="2"/>
        <v/>
      </c>
      <c r="P4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4" s="17"/>
    </row>
    <row r="45" spans="1:17" ht="15.5" x14ac:dyDescent="0.35">
      <c r="A45" s="4"/>
      <c r="B45" s="12"/>
      <c r="C45" s="13"/>
      <c r="D45" s="13"/>
      <c r="E45" s="13"/>
      <c r="F45" s="18"/>
      <c r="G45" s="12"/>
      <c r="H45" s="18"/>
      <c r="I45" s="18"/>
      <c r="J45" s="13"/>
      <c r="K45" s="32"/>
      <c r="L45" s="14">
        <f t="shared" si="0"/>
        <v>0</v>
      </c>
      <c r="M45" s="31">
        <f t="shared" si="1"/>
        <v>0</v>
      </c>
      <c r="N45" s="15" t="str">
        <f>IF(Table2683242[[#This Row],[Fault Type]]="PM",IF(L45&lt;=(D45-C45),"Yes","No"),"")</f>
        <v/>
      </c>
      <c r="O45" s="16" t="str">
        <f t="shared" si="2"/>
        <v/>
      </c>
      <c r="P4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5" s="17"/>
    </row>
    <row r="46" spans="1:17" ht="15.5" x14ac:dyDescent="0.35">
      <c r="A46" s="4"/>
      <c r="B46" s="12"/>
      <c r="C46" s="13"/>
      <c r="D46" s="13"/>
      <c r="E46" s="13"/>
      <c r="F46" s="18"/>
      <c r="G46" s="12"/>
      <c r="H46" s="18"/>
      <c r="I46" s="18"/>
      <c r="J46" s="13"/>
      <c r="K46" s="32"/>
      <c r="L46" s="14">
        <f t="shared" si="0"/>
        <v>0</v>
      </c>
      <c r="M46" s="31">
        <f t="shared" si="1"/>
        <v>0</v>
      </c>
      <c r="N46" s="15" t="str">
        <f>IF(Table2683242[[#This Row],[Fault Type]]="PM",IF(L46&lt;=(D46-C46),"Yes","No"),"")</f>
        <v/>
      </c>
      <c r="O46" s="16" t="str">
        <f t="shared" si="2"/>
        <v/>
      </c>
      <c r="P4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6" s="17"/>
    </row>
    <row r="47" spans="1:17" ht="15.75" customHeight="1" x14ac:dyDescent="0.35">
      <c r="A47" s="4"/>
      <c r="B47" s="12"/>
      <c r="C47" s="13"/>
      <c r="D47" s="13"/>
      <c r="E47" s="13"/>
      <c r="F47" s="12"/>
      <c r="G47" s="12"/>
      <c r="H47" s="12"/>
      <c r="I47" s="12"/>
      <c r="J47" s="13"/>
      <c r="K47" s="32"/>
      <c r="L47" s="14">
        <f t="shared" si="0"/>
        <v>0</v>
      </c>
      <c r="M47" s="31">
        <f t="shared" si="1"/>
        <v>0</v>
      </c>
      <c r="N47" s="15" t="str">
        <f>IF(Table2683242[[#This Row],[Fault Type]]="PM",IF(L47&lt;=(D47-C47),"Yes","No"),"")</f>
        <v/>
      </c>
      <c r="O47" s="16" t="str">
        <f t="shared" si="2"/>
        <v/>
      </c>
      <c r="P4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7" s="17"/>
    </row>
    <row r="48" spans="1:17" ht="15.5" x14ac:dyDescent="0.35">
      <c r="A48" s="4"/>
      <c r="B48" s="12"/>
      <c r="C48" s="13"/>
      <c r="D48" s="13"/>
      <c r="E48" s="13"/>
      <c r="F48" s="18"/>
      <c r="G48" s="12"/>
      <c r="H48" s="18"/>
      <c r="I48" s="18"/>
      <c r="J48" s="13"/>
      <c r="K48" s="32"/>
      <c r="L48" s="14">
        <f t="shared" si="0"/>
        <v>0</v>
      </c>
      <c r="M48" s="31">
        <f t="shared" si="1"/>
        <v>0</v>
      </c>
      <c r="N48" s="15" t="str">
        <f>IF(Table2683242[[#This Row],[Fault Type]]="PM",IF(L48&lt;=(D48-C48),"Yes","No"),"")</f>
        <v/>
      </c>
      <c r="O48" s="16" t="str">
        <f t="shared" si="2"/>
        <v/>
      </c>
      <c r="P4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8" s="17"/>
    </row>
    <row r="49" spans="1:17" ht="15.5" x14ac:dyDescent="0.35">
      <c r="A49" s="4"/>
      <c r="B49" s="49"/>
      <c r="C49" s="49"/>
      <c r="D49" s="49"/>
      <c r="E49" s="13"/>
      <c r="F49" s="64"/>
      <c r="G49" s="159"/>
      <c r="H49" s="54"/>
      <c r="I49" s="54"/>
      <c r="J49" s="13"/>
      <c r="K49" s="32"/>
      <c r="L49" s="14">
        <f t="shared" si="0"/>
        <v>0</v>
      </c>
      <c r="M49" s="31">
        <f t="shared" si="1"/>
        <v>0</v>
      </c>
      <c r="N49" s="50" t="str">
        <f>IF(Table2683242[[#This Row],[Fault Type]]="PM",IF(L49&lt;=(D49-C49),"Yes","No"),"")</f>
        <v/>
      </c>
      <c r="O49" s="51" t="str">
        <f t="shared" si="2"/>
        <v/>
      </c>
      <c r="P4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49" s="17"/>
    </row>
    <row r="50" spans="1:17" ht="15.5" x14ac:dyDescent="0.35">
      <c r="A50" s="158"/>
      <c r="B50" s="55"/>
      <c r="C50" s="56"/>
      <c r="D50" s="56"/>
      <c r="E50" s="13"/>
      <c r="F50" s="55"/>
      <c r="G50" s="55"/>
      <c r="H50" s="57"/>
      <c r="I50" s="18"/>
      <c r="J50" s="13"/>
      <c r="K50" s="32"/>
      <c r="L50" s="14">
        <f t="shared" si="0"/>
        <v>0</v>
      </c>
      <c r="M50" s="31">
        <f t="shared" si="1"/>
        <v>0</v>
      </c>
      <c r="N50" s="61" t="str">
        <f>IF(Table2683242[[#This Row],[Fault Type]]="PM",IF(L50&lt;=(D50-C50),"Yes","No"),"")</f>
        <v/>
      </c>
      <c r="O50" s="62" t="str">
        <f t="shared" si="2"/>
        <v/>
      </c>
      <c r="P5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0" s="17"/>
    </row>
    <row r="51" spans="1:17" ht="15.5" x14ac:dyDescent="0.35">
      <c r="A51" s="158"/>
      <c r="B51" s="55"/>
      <c r="C51" s="56"/>
      <c r="D51" s="56"/>
      <c r="E51" s="13"/>
      <c r="F51" s="55"/>
      <c r="G51" s="55"/>
      <c r="H51" s="57"/>
      <c r="I51" s="18"/>
      <c r="J51" s="13"/>
      <c r="K51" s="32"/>
      <c r="L51" s="14">
        <f t="shared" si="0"/>
        <v>0</v>
      </c>
      <c r="M51" s="31">
        <f t="shared" si="1"/>
        <v>0</v>
      </c>
      <c r="N51" s="61" t="str">
        <f>IF(Table2683242[[#This Row],[Fault Type]]="PM",IF(L51&lt;=(D51-C51),"Yes","No"),"")</f>
        <v/>
      </c>
      <c r="O51" s="62" t="str">
        <f t="shared" si="2"/>
        <v/>
      </c>
      <c r="P5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1" s="17"/>
    </row>
    <row r="52" spans="1:17" ht="15.5" x14ac:dyDescent="0.35">
      <c r="A52" s="158"/>
      <c r="B52" s="55"/>
      <c r="C52" s="56"/>
      <c r="D52" s="56"/>
      <c r="E52" s="13"/>
      <c r="F52" s="55"/>
      <c r="G52" s="55"/>
      <c r="H52" s="57"/>
      <c r="I52" s="18"/>
      <c r="J52" s="13"/>
      <c r="K52" s="32"/>
      <c r="L52" s="14">
        <f t="shared" si="0"/>
        <v>0</v>
      </c>
      <c r="M52" s="31">
        <f t="shared" si="1"/>
        <v>0</v>
      </c>
      <c r="N52" s="61" t="str">
        <f>IF(Table2683242[[#This Row],[Fault Type]]="PM",IF(L52&lt;=(D52-C52),"Yes","No"),"")</f>
        <v/>
      </c>
      <c r="O52" s="62" t="str">
        <f t="shared" si="2"/>
        <v/>
      </c>
      <c r="P5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2" s="63"/>
    </row>
    <row r="53" spans="1:17" ht="15.5" x14ac:dyDescent="0.35">
      <c r="A53" s="158"/>
      <c r="B53" s="55"/>
      <c r="C53" s="56"/>
      <c r="D53" s="56"/>
      <c r="E53" s="13"/>
      <c r="F53" s="55"/>
      <c r="G53" s="55"/>
      <c r="H53" s="57"/>
      <c r="I53" s="18"/>
      <c r="J53" s="13"/>
      <c r="K53" s="83"/>
      <c r="L53" s="14">
        <f t="shared" si="0"/>
        <v>0</v>
      </c>
      <c r="M53" s="31">
        <f t="shared" si="1"/>
        <v>0</v>
      </c>
      <c r="N53" s="61" t="str">
        <f>IF(Table2683242[[#This Row],[Fault Type]]="PM",IF(L53&lt;=(D53-C53),"Yes","No"),"")</f>
        <v/>
      </c>
      <c r="O53" s="62" t="str">
        <f t="shared" si="2"/>
        <v/>
      </c>
      <c r="P5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3" s="63"/>
    </row>
    <row r="54" spans="1:17" ht="15.5" x14ac:dyDescent="0.35">
      <c r="A54" s="158"/>
      <c r="B54" s="55"/>
      <c r="C54" s="56"/>
      <c r="D54" s="56"/>
      <c r="E54" s="13"/>
      <c r="F54" s="55"/>
      <c r="G54" s="55"/>
      <c r="H54" s="57"/>
      <c r="I54" s="18"/>
      <c r="J54" s="13"/>
      <c r="K54" s="83"/>
      <c r="L54" s="14">
        <f t="shared" si="0"/>
        <v>0</v>
      </c>
      <c r="M54" s="31">
        <f t="shared" si="1"/>
        <v>0</v>
      </c>
      <c r="N54" s="61" t="str">
        <f>IF(Table2683242[[#This Row],[Fault Type]]="PM",IF(L54&lt;=(D54-C54),"Yes","No"),"")</f>
        <v/>
      </c>
      <c r="O54" s="62" t="str">
        <f t="shared" si="2"/>
        <v/>
      </c>
      <c r="P5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4" s="63"/>
    </row>
    <row r="55" spans="1:17" ht="15.5" x14ac:dyDescent="0.35">
      <c r="A55" s="158"/>
      <c r="B55" s="55"/>
      <c r="C55" s="56"/>
      <c r="D55" s="56"/>
      <c r="E55" s="13"/>
      <c r="F55" s="55"/>
      <c r="G55" s="55"/>
      <c r="H55" s="57"/>
      <c r="I55" s="18"/>
      <c r="J55" s="13"/>
      <c r="K55" s="83"/>
      <c r="L55" s="14">
        <f t="shared" si="0"/>
        <v>0</v>
      </c>
      <c r="M55" s="31">
        <f t="shared" si="1"/>
        <v>0</v>
      </c>
      <c r="N55" s="61" t="str">
        <f>IF(Table2683242[[#This Row],[Fault Type]]="PM",IF(L55&lt;=(D55-C55),"Yes","No"),"")</f>
        <v/>
      </c>
      <c r="O55" s="62" t="str">
        <f t="shared" si="2"/>
        <v/>
      </c>
      <c r="P5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5" s="63"/>
    </row>
    <row r="56" spans="1:17" ht="15.5" x14ac:dyDescent="0.35">
      <c r="A56" s="158"/>
      <c r="B56" s="55"/>
      <c r="C56" s="56"/>
      <c r="D56" s="56"/>
      <c r="E56" s="13"/>
      <c r="F56" s="55"/>
      <c r="G56" s="55"/>
      <c r="H56" s="57"/>
      <c r="I56" s="18"/>
      <c r="J56" s="13"/>
      <c r="K56" s="83"/>
      <c r="L56" s="14">
        <f t="shared" si="0"/>
        <v>0</v>
      </c>
      <c r="M56" s="31">
        <f t="shared" si="1"/>
        <v>0</v>
      </c>
      <c r="N56" s="61" t="str">
        <f>IF(Table2683242[[#This Row],[Fault Type]]="PM",IF(L56&lt;=(D56-C56),"Yes","No"),"")</f>
        <v/>
      </c>
      <c r="O56" s="62" t="str">
        <f t="shared" si="2"/>
        <v/>
      </c>
      <c r="P5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6" s="63"/>
    </row>
    <row r="57" spans="1:17" ht="15.5" x14ac:dyDescent="0.35">
      <c r="A57" s="158"/>
      <c r="B57" s="55"/>
      <c r="C57" s="56"/>
      <c r="D57" s="56"/>
      <c r="E57" s="13"/>
      <c r="F57" s="55"/>
      <c r="G57" s="55"/>
      <c r="H57" s="57"/>
      <c r="I57" s="18"/>
      <c r="J57" s="13"/>
      <c r="K57" s="83"/>
      <c r="L57" s="14">
        <f t="shared" si="0"/>
        <v>0</v>
      </c>
      <c r="M57" s="31">
        <f t="shared" si="1"/>
        <v>0</v>
      </c>
      <c r="N57" s="61" t="str">
        <f>IF(Table2683242[[#This Row],[Fault Type]]="PM",IF(L57&lt;=(D57-C57),"Yes","No"),"")</f>
        <v/>
      </c>
      <c r="O57" s="62" t="str">
        <f t="shared" si="2"/>
        <v/>
      </c>
      <c r="P5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7" s="63"/>
    </row>
    <row r="58" spans="1:17" ht="15.5" x14ac:dyDescent="0.35">
      <c r="A58" s="158"/>
      <c r="B58" s="55"/>
      <c r="C58" s="56"/>
      <c r="D58" s="56"/>
      <c r="E58" s="13"/>
      <c r="F58" s="55"/>
      <c r="G58" s="55"/>
      <c r="H58" s="57"/>
      <c r="I58" s="18"/>
      <c r="J58" s="13"/>
      <c r="K58" s="83"/>
      <c r="L58" s="14">
        <f t="shared" si="0"/>
        <v>0</v>
      </c>
      <c r="M58" s="31">
        <f t="shared" si="1"/>
        <v>0</v>
      </c>
      <c r="N58" s="61" t="str">
        <f>IF(Table2683242[[#This Row],[Fault Type]]="PM",IF(L58&lt;=(D58-C58),"Yes","No"),"")</f>
        <v/>
      </c>
      <c r="O58" s="62" t="str">
        <f t="shared" si="2"/>
        <v/>
      </c>
      <c r="P5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8" s="63"/>
    </row>
    <row r="59" spans="1:17" ht="15.5" x14ac:dyDescent="0.35">
      <c r="A59" s="58"/>
      <c r="B59" s="55"/>
      <c r="C59" s="56"/>
      <c r="D59" s="56"/>
      <c r="E59" s="13"/>
      <c r="F59" s="55"/>
      <c r="G59" s="55"/>
      <c r="H59" s="57"/>
      <c r="I59" s="18"/>
      <c r="J59" s="13"/>
      <c r="K59" s="83"/>
      <c r="L59" s="14">
        <f t="shared" si="0"/>
        <v>0</v>
      </c>
      <c r="M59" s="31">
        <f t="shared" si="1"/>
        <v>0</v>
      </c>
      <c r="N59" s="61" t="str">
        <f>IF(Table2683242[[#This Row],[Fault Type]]="PM",IF(L59&lt;=(D59-C59),"Yes","No"),"")</f>
        <v/>
      </c>
      <c r="O59" s="62" t="str">
        <f t="shared" si="2"/>
        <v/>
      </c>
      <c r="P5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59" s="63"/>
    </row>
    <row r="60" spans="1:17" ht="15.5" x14ac:dyDescent="0.35">
      <c r="A60" s="58"/>
      <c r="B60" s="55"/>
      <c r="C60" s="56"/>
      <c r="D60" s="56"/>
      <c r="E60" s="13"/>
      <c r="F60" s="55"/>
      <c r="G60" s="55"/>
      <c r="H60" s="57"/>
      <c r="I60" s="18"/>
      <c r="J60" s="13"/>
      <c r="K60" s="83"/>
      <c r="L60" s="14">
        <f t="shared" si="0"/>
        <v>0</v>
      </c>
      <c r="M60" s="31">
        <f t="shared" si="1"/>
        <v>0</v>
      </c>
      <c r="N60" s="61" t="str">
        <f>IF(Table2683242[[#This Row],[Fault Type]]="PM",IF(L60&lt;=(D60-C60),"Yes","No"),"")</f>
        <v/>
      </c>
      <c r="O60" s="62" t="str">
        <f t="shared" si="2"/>
        <v/>
      </c>
      <c r="P6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0" s="63"/>
    </row>
    <row r="61" spans="1:17" ht="15.5" x14ac:dyDescent="0.35">
      <c r="A61" s="58"/>
      <c r="B61" s="55"/>
      <c r="C61" s="56"/>
      <c r="D61" s="56"/>
      <c r="E61" s="13"/>
      <c r="F61" s="55"/>
      <c r="G61" s="55"/>
      <c r="H61" s="57"/>
      <c r="I61" s="18"/>
      <c r="J61" s="13"/>
      <c r="K61" s="83"/>
      <c r="L61" s="14">
        <f t="shared" si="0"/>
        <v>0</v>
      </c>
      <c r="M61" s="31">
        <f t="shared" si="1"/>
        <v>0</v>
      </c>
      <c r="N61" s="61" t="str">
        <f>IF(Table2683242[[#This Row],[Fault Type]]="PM",IF(L61&lt;=(D61-C61),"Yes","No"),"")</f>
        <v/>
      </c>
      <c r="O61" s="62" t="str">
        <f t="shared" si="2"/>
        <v/>
      </c>
      <c r="P6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1" s="63"/>
    </row>
    <row r="62" spans="1:17" ht="15.5" x14ac:dyDescent="0.35">
      <c r="A62" s="58"/>
      <c r="B62" s="55"/>
      <c r="C62" s="56"/>
      <c r="D62" s="56"/>
      <c r="E62" s="13"/>
      <c r="F62" s="55"/>
      <c r="G62" s="55"/>
      <c r="H62" s="57"/>
      <c r="I62" s="18"/>
      <c r="J62" s="13"/>
      <c r="K62" s="83"/>
      <c r="L62" s="14">
        <f t="shared" si="0"/>
        <v>0</v>
      </c>
      <c r="M62" s="31">
        <f t="shared" si="1"/>
        <v>0</v>
      </c>
      <c r="N62" s="61" t="str">
        <f>IF(Table2683242[[#This Row],[Fault Type]]="PM",IF(L62&lt;=(D62-C62),"Yes","No"),"")</f>
        <v/>
      </c>
      <c r="O62" s="62" t="str">
        <f t="shared" si="2"/>
        <v/>
      </c>
      <c r="P6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2" s="63"/>
    </row>
    <row r="63" spans="1:17" ht="15.5" x14ac:dyDescent="0.35">
      <c r="A63" s="58"/>
      <c r="B63" s="55"/>
      <c r="C63" s="56"/>
      <c r="D63" s="56"/>
      <c r="E63" s="13"/>
      <c r="F63" s="55"/>
      <c r="G63" s="55"/>
      <c r="H63" s="57"/>
      <c r="I63" s="18"/>
      <c r="J63" s="13"/>
      <c r="K63" s="83"/>
      <c r="L63" s="14">
        <f t="shared" si="0"/>
        <v>0</v>
      </c>
      <c r="M63" s="31">
        <f t="shared" si="1"/>
        <v>0</v>
      </c>
      <c r="N63" s="61" t="str">
        <f>IF(Table2683242[[#This Row],[Fault Type]]="PM",IF(L63&lt;=(D63-C63),"Yes","No"),"")</f>
        <v/>
      </c>
      <c r="O63" s="62" t="str">
        <f t="shared" si="2"/>
        <v/>
      </c>
      <c r="P6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3" s="63"/>
    </row>
    <row r="64" spans="1:17" ht="15.5" x14ac:dyDescent="0.35">
      <c r="A64" s="58"/>
      <c r="B64" s="55"/>
      <c r="C64" s="56"/>
      <c r="D64" s="56"/>
      <c r="E64" s="13"/>
      <c r="F64" s="55"/>
      <c r="G64" s="55"/>
      <c r="H64" s="57"/>
      <c r="I64" s="18"/>
      <c r="J64" s="13"/>
      <c r="K64" s="83"/>
      <c r="L64" s="14">
        <f t="shared" si="0"/>
        <v>0</v>
      </c>
      <c r="M64" s="31">
        <f t="shared" si="1"/>
        <v>0</v>
      </c>
      <c r="N64" s="61" t="str">
        <f>IF(Table2683242[[#This Row],[Fault Type]]="PM",IF(L64&lt;=(D64-C64),"Yes","No"),"")</f>
        <v/>
      </c>
      <c r="O64" s="62" t="str">
        <f t="shared" si="2"/>
        <v/>
      </c>
      <c r="P6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4" s="63"/>
    </row>
    <row r="65" spans="1:17" ht="15.5" x14ac:dyDescent="0.35">
      <c r="A65" s="58"/>
      <c r="B65" s="55"/>
      <c r="C65" s="56"/>
      <c r="D65" s="56"/>
      <c r="E65" s="13"/>
      <c r="F65" s="55"/>
      <c r="G65" s="55"/>
      <c r="H65" s="57"/>
      <c r="I65" s="18"/>
      <c r="J65" s="13"/>
      <c r="K65" s="83"/>
      <c r="L65" s="14">
        <f t="shared" si="0"/>
        <v>0</v>
      </c>
      <c r="M65" s="59">
        <f t="shared" ref="M65:M81" si="3">L65*F65</f>
        <v>0</v>
      </c>
      <c r="N65" s="61" t="str">
        <f>IF(Table2683242[[#This Row],[Fault Type]]="PM",IF(L65&lt;=(D65-C65),"Yes","No"),"")</f>
        <v/>
      </c>
      <c r="O65" s="62" t="str">
        <f t="shared" si="2"/>
        <v/>
      </c>
      <c r="P6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5" s="63"/>
    </row>
    <row r="66" spans="1:17" ht="15.5" x14ac:dyDescent="0.35">
      <c r="A66" s="58"/>
      <c r="B66" s="55"/>
      <c r="C66" s="56"/>
      <c r="D66" s="56"/>
      <c r="E66" s="13"/>
      <c r="F66" s="55"/>
      <c r="G66" s="55"/>
      <c r="H66" s="57"/>
      <c r="I66" s="18"/>
      <c r="J66" s="13"/>
      <c r="K66" s="83"/>
      <c r="L66" s="14">
        <f t="shared" si="0"/>
        <v>0</v>
      </c>
      <c r="M66" s="59">
        <f t="shared" si="3"/>
        <v>0</v>
      </c>
      <c r="N66" s="61" t="str">
        <f>IF(Table2683242[[#This Row],[Fault Type]]="PM",IF(L66&lt;=(D66-C66),"Yes","No"),"")</f>
        <v/>
      </c>
      <c r="O66" s="62" t="str">
        <f t="shared" si="2"/>
        <v/>
      </c>
      <c r="P6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6" s="63"/>
    </row>
    <row r="67" spans="1:17" ht="15.5" x14ac:dyDescent="0.35">
      <c r="A67" s="58"/>
      <c r="B67" s="55"/>
      <c r="C67" s="56"/>
      <c r="D67" s="56"/>
      <c r="E67" s="13"/>
      <c r="F67" s="55"/>
      <c r="G67" s="55"/>
      <c r="H67" s="57"/>
      <c r="I67" s="18"/>
      <c r="J67" s="13"/>
      <c r="K67" s="83"/>
      <c r="L67" s="14">
        <f t="shared" si="0"/>
        <v>0</v>
      </c>
      <c r="M67" s="59">
        <f t="shared" si="3"/>
        <v>0</v>
      </c>
      <c r="N67" s="61" t="str">
        <f>IF(Table2683242[[#This Row],[Fault Type]]="PM",IF(L67&lt;=(D67-C67),"Yes","No"),"")</f>
        <v/>
      </c>
      <c r="O67" s="62" t="str">
        <f t="shared" si="2"/>
        <v/>
      </c>
      <c r="P6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7" s="63"/>
    </row>
    <row r="68" spans="1:17" ht="15.5" x14ac:dyDescent="0.35">
      <c r="A68" s="58"/>
      <c r="B68" s="55"/>
      <c r="C68" s="56"/>
      <c r="D68" s="56"/>
      <c r="E68" s="13"/>
      <c r="F68" s="55"/>
      <c r="G68" s="55"/>
      <c r="H68" s="57"/>
      <c r="I68" s="18"/>
      <c r="J68" s="13"/>
      <c r="K68" s="83"/>
      <c r="L68" s="14">
        <f t="shared" ref="L68:L81" si="4">J68-E68</f>
        <v>0</v>
      </c>
      <c r="M68" s="59">
        <f t="shared" si="3"/>
        <v>0</v>
      </c>
      <c r="N68" s="61" t="str">
        <f>IF(Table2683242[[#This Row],[Fault Type]]="PM",IF(L68&lt;=(D68-C68),"Yes","No"),"")</f>
        <v/>
      </c>
      <c r="O68" s="62" t="str">
        <f t="shared" ref="O68:O81" si="5">IF(N68="No",(L68-(D68-C68)),"")</f>
        <v/>
      </c>
      <c r="P6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8" s="63"/>
    </row>
    <row r="69" spans="1:17" ht="15.5" x14ac:dyDescent="0.35">
      <c r="A69" s="58"/>
      <c r="B69" s="55"/>
      <c r="C69" s="56"/>
      <c r="D69" s="56"/>
      <c r="E69" s="13"/>
      <c r="F69" s="55"/>
      <c r="G69" s="55"/>
      <c r="H69" s="57"/>
      <c r="I69" s="18"/>
      <c r="J69" s="13"/>
      <c r="K69" s="83"/>
      <c r="L69" s="14">
        <f t="shared" si="4"/>
        <v>0</v>
      </c>
      <c r="M69" s="59">
        <f t="shared" si="3"/>
        <v>0</v>
      </c>
      <c r="N69" s="61" t="str">
        <f>IF(Table2683242[[#This Row],[Fault Type]]="PM",IF(L69&lt;=(D69-C69),"Yes","No"),"")</f>
        <v/>
      </c>
      <c r="O69" s="62" t="str">
        <f t="shared" si="5"/>
        <v/>
      </c>
      <c r="P6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69" s="63"/>
    </row>
    <row r="70" spans="1:17" ht="15.5" x14ac:dyDescent="0.35">
      <c r="A70" s="58"/>
      <c r="B70" s="55"/>
      <c r="C70" s="56"/>
      <c r="D70" s="56"/>
      <c r="E70" s="13"/>
      <c r="F70" s="55"/>
      <c r="G70" s="55"/>
      <c r="H70" s="57"/>
      <c r="I70" s="18"/>
      <c r="J70" s="13"/>
      <c r="K70" s="83"/>
      <c r="L70" s="14">
        <f t="shared" si="4"/>
        <v>0</v>
      </c>
      <c r="M70" s="59">
        <f t="shared" si="3"/>
        <v>0</v>
      </c>
      <c r="N70" s="61" t="str">
        <f>IF(Table2683242[[#This Row],[Fault Type]]="PM",IF(L70&lt;=(D70-C70),"Yes","No"),"")</f>
        <v/>
      </c>
      <c r="O70" s="62" t="str">
        <f t="shared" si="5"/>
        <v/>
      </c>
      <c r="P7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0" s="63"/>
    </row>
    <row r="71" spans="1:17" ht="15.5" x14ac:dyDescent="0.35">
      <c r="A71" s="58"/>
      <c r="B71" s="55"/>
      <c r="C71" s="56"/>
      <c r="D71" s="56"/>
      <c r="E71" s="13"/>
      <c r="F71" s="55"/>
      <c r="G71" s="55"/>
      <c r="H71" s="57"/>
      <c r="I71" s="18"/>
      <c r="J71" s="13"/>
      <c r="K71" s="83"/>
      <c r="L71" s="14">
        <f t="shared" si="4"/>
        <v>0</v>
      </c>
      <c r="M71" s="59">
        <f t="shared" si="3"/>
        <v>0</v>
      </c>
      <c r="N71" s="61" t="str">
        <f>IF(Table2683242[[#This Row],[Fault Type]]="PM",IF(L71&lt;=(D71-C71),"Yes","No"),"")</f>
        <v/>
      </c>
      <c r="O71" s="62" t="str">
        <f t="shared" si="5"/>
        <v/>
      </c>
      <c r="P7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1" s="63"/>
    </row>
    <row r="72" spans="1:17" ht="15.5" x14ac:dyDescent="0.35">
      <c r="A72" s="58"/>
      <c r="B72" s="55"/>
      <c r="C72" s="56"/>
      <c r="D72" s="56"/>
      <c r="E72" s="13"/>
      <c r="F72" s="55"/>
      <c r="G72" s="55"/>
      <c r="H72" s="57"/>
      <c r="I72" s="18"/>
      <c r="J72" s="13"/>
      <c r="K72" s="83"/>
      <c r="L72" s="14">
        <f t="shared" si="4"/>
        <v>0</v>
      </c>
      <c r="M72" s="59">
        <f t="shared" si="3"/>
        <v>0</v>
      </c>
      <c r="N72" s="61" t="str">
        <f>IF(Table2683242[[#This Row],[Fault Type]]="PM",IF(L72&lt;=(D72-C72),"Yes","No"),"")</f>
        <v/>
      </c>
      <c r="O72" s="62" t="str">
        <f t="shared" si="5"/>
        <v/>
      </c>
      <c r="P7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2" s="63"/>
    </row>
    <row r="73" spans="1:17" ht="15.5" x14ac:dyDescent="0.35">
      <c r="A73" s="58"/>
      <c r="B73" s="55"/>
      <c r="C73" s="56"/>
      <c r="D73" s="56"/>
      <c r="E73" s="13"/>
      <c r="F73" s="55"/>
      <c r="G73" s="55"/>
      <c r="H73" s="57"/>
      <c r="I73" s="18"/>
      <c r="J73" s="13"/>
      <c r="K73" s="83"/>
      <c r="L73" s="14">
        <f t="shared" si="4"/>
        <v>0</v>
      </c>
      <c r="M73" s="59">
        <f t="shared" si="3"/>
        <v>0</v>
      </c>
      <c r="N73" s="61" t="str">
        <f>IF(Table2683242[[#This Row],[Fault Type]]="PM",IF(L73&lt;=(D73-C73),"Yes","No"),"")</f>
        <v/>
      </c>
      <c r="O73" s="62" t="str">
        <f t="shared" si="5"/>
        <v/>
      </c>
      <c r="P7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3" s="63"/>
    </row>
    <row r="74" spans="1:17" ht="15.5" x14ac:dyDescent="0.35">
      <c r="A74" s="58"/>
      <c r="B74" s="55"/>
      <c r="C74" s="56"/>
      <c r="D74" s="56"/>
      <c r="E74" s="13"/>
      <c r="F74" s="55"/>
      <c r="G74" s="55"/>
      <c r="H74" s="57"/>
      <c r="I74" s="18"/>
      <c r="J74" s="13"/>
      <c r="K74" s="83"/>
      <c r="L74" s="14">
        <f t="shared" si="4"/>
        <v>0</v>
      </c>
      <c r="M74" s="59">
        <f t="shared" si="3"/>
        <v>0</v>
      </c>
      <c r="N74" s="61" t="str">
        <f>IF(Table2683242[[#This Row],[Fault Type]]="PM",IF(L74&lt;=(D74-C74),"Yes","No"),"")</f>
        <v/>
      </c>
      <c r="O74" s="62" t="str">
        <f t="shared" si="5"/>
        <v/>
      </c>
      <c r="P7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4" s="63"/>
    </row>
    <row r="75" spans="1:17" ht="15.5" x14ac:dyDescent="0.35">
      <c r="A75" s="58"/>
      <c r="B75" s="55"/>
      <c r="C75" s="56"/>
      <c r="D75" s="56"/>
      <c r="E75" s="13"/>
      <c r="F75" s="55"/>
      <c r="G75" s="55"/>
      <c r="H75" s="57"/>
      <c r="I75" s="18"/>
      <c r="J75" s="13"/>
      <c r="K75" s="83"/>
      <c r="L75" s="14">
        <f t="shared" si="4"/>
        <v>0</v>
      </c>
      <c r="M75" s="59">
        <f t="shared" si="3"/>
        <v>0</v>
      </c>
      <c r="N75" s="61" t="str">
        <f>IF(Table2683242[[#This Row],[Fault Type]]="PM",IF(L75&lt;=(D75-C75),"Yes","No"),"")</f>
        <v/>
      </c>
      <c r="O75" s="62" t="str">
        <f t="shared" si="5"/>
        <v/>
      </c>
      <c r="P7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5" s="63"/>
    </row>
    <row r="76" spans="1:17" ht="15.5" x14ac:dyDescent="0.35">
      <c r="A76" s="58"/>
      <c r="B76" s="55"/>
      <c r="C76" s="56"/>
      <c r="D76" s="56"/>
      <c r="E76" s="13"/>
      <c r="F76" s="55"/>
      <c r="G76" s="55"/>
      <c r="H76" s="57"/>
      <c r="I76" s="18"/>
      <c r="J76" s="13"/>
      <c r="K76" s="83"/>
      <c r="L76" s="14">
        <f t="shared" si="4"/>
        <v>0</v>
      </c>
      <c r="M76" s="59">
        <f t="shared" si="3"/>
        <v>0</v>
      </c>
      <c r="N76" s="61" t="str">
        <f>IF(Table2683242[[#This Row],[Fault Type]]="PM",IF(L76&lt;=(D76-C76),"Yes","No"),"")</f>
        <v/>
      </c>
      <c r="O76" s="62" t="str">
        <f t="shared" si="5"/>
        <v/>
      </c>
      <c r="P7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6" s="63"/>
    </row>
    <row r="77" spans="1:17" ht="15.5" x14ac:dyDescent="0.35">
      <c r="A77" s="58"/>
      <c r="B77" s="55"/>
      <c r="C77" s="56"/>
      <c r="D77" s="56"/>
      <c r="E77" s="13"/>
      <c r="F77" s="55"/>
      <c r="G77" s="55"/>
      <c r="H77" s="57"/>
      <c r="I77" s="18"/>
      <c r="J77" s="13"/>
      <c r="K77" s="83"/>
      <c r="L77" s="14">
        <f t="shared" si="4"/>
        <v>0</v>
      </c>
      <c r="M77" s="59">
        <f t="shared" si="3"/>
        <v>0</v>
      </c>
      <c r="N77" s="61" t="str">
        <f>IF(Table2683242[[#This Row],[Fault Type]]="PM",IF(L77&lt;=(D77-C77),"Yes","No"),"")</f>
        <v/>
      </c>
      <c r="O77" s="62" t="str">
        <f t="shared" si="5"/>
        <v/>
      </c>
      <c r="P7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7" s="63"/>
    </row>
    <row r="78" spans="1:17" ht="15.5" x14ac:dyDescent="0.35">
      <c r="A78" s="58"/>
      <c r="B78" s="55"/>
      <c r="C78" s="56"/>
      <c r="D78" s="56"/>
      <c r="E78" s="13"/>
      <c r="F78" s="55"/>
      <c r="G78" s="55"/>
      <c r="H78" s="57"/>
      <c r="I78" s="18"/>
      <c r="J78" s="13"/>
      <c r="K78" s="83"/>
      <c r="L78" s="14">
        <f t="shared" si="4"/>
        <v>0</v>
      </c>
      <c r="M78" s="59">
        <f t="shared" si="3"/>
        <v>0</v>
      </c>
      <c r="N78" s="61" t="str">
        <f>IF(Table2683242[[#This Row],[Fault Type]]="PM",IF(L78&lt;=(D78-C78),"Yes","No"),"")</f>
        <v/>
      </c>
      <c r="O78" s="62" t="str">
        <f t="shared" si="5"/>
        <v/>
      </c>
      <c r="P7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8" s="63"/>
    </row>
    <row r="79" spans="1:17" ht="15.5" x14ac:dyDescent="0.35">
      <c r="A79" s="58"/>
      <c r="B79" s="55"/>
      <c r="C79" s="56"/>
      <c r="D79" s="56"/>
      <c r="E79" s="13"/>
      <c r="F79" s="55"/>
      <c r="G79" s="55"/>
      <c r="H79" s="57"/>
      <c r="I79" s="18"/>
      <c r="J79" s="13"/>
      <c r="K79" s="83"/>
      <c r="L79" s="14">
        <f t="shared" si="4"/>
        <v>0</v>
      </c>
      <c r="M79" s="59">
        <f t="shared" si="3"/>
        <v>0</v>
      </c>
      <c r="N79" s="61" t="str">
        <f>IF(Table2683242[[#This Row],[Fault Type]]="PM",IF(L79&lt;=(D79-C79),"Yes","No"),"")</f>
        <v/>
      </c>
      <c r="O79" s="62" t="str">
        <f t="shared" si="5"/>
        <v/>
      </c>
      <c r="P7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79" s="63"/>
    </row>
    <row r="80" spans="1:17" ht="15.5" x14ac:dyDescent="0.35">
      <c r="A80" s="58"/>
      <c r="B80" s="55"/>
      <c r="C80" s="56"/>
      <c r="D80" s="56"/>
      <c r="E80" s="13"/>
      <c r="F80" s="55"/>
      <c r="G80" s="55"/>
      <c r="H80" s="57"/>
      <c r="I80" s="18"/>
      <c r="J80" s="13"/>
      <c r="K80" s="83"/>
      <c r="L80" s="14">
        <f t="shared" si="4"/>
        <v>0</v>
      </c>
      <c r="M80" s="59">
        <f t="shared" si="3"/>
        <v>0</v>
      </c>
      <c r="N80" s="61" t="str">
        <f>IF(Table2683242[[#This Row],[Fault Type]]="PM",IF(L80&lt;=(D80-C80),"Yes","No"),"")</f>
        <v/>
      </c>
      <c r="O80" s="62" t="str">
        <f t="shared" si="5"/>
        <v/>
      </c>
      <c r="P8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0" s="63"/>
    </row>
    <row r="81" spans="1:17" ht="15.5" x14ac:dyDescent="0.35">
      <c r="A81" s="58"/>
      <c r="B81" s="55"/>
      <c r="C81" s="56"/>
      <c r="D81" s="56"/>
      <c r="E81" s="13"/>
      <c r="F81" s="55"/>
      <c r="G81" s="55"/>
      <c r="H81" s="57"/>
      <c r="I81" s="18"/>
      <c r="J81" s="13"/>
      <c r="K81" s="83"/>
      <c r="L81" s="14">
        <f t="shared" si="4"/>
        <v>0</v>
      </c>
      <c r="M81" s="59">
        <f t="shared" si="3"/>
        <v>0</v>
      </c>
      <c r="N81" s="61" t="str">
        <f>IF(Table2683242[[#This Row],[Fault Type]]="PM",IF(L81&lt;=(D81-C81),"Yes","No"),"")</f>
        <v/>
      </c>
      <c r="O81" s="62" t="str">
        <f t="shared" si="5"/>
        <v/>
      </c>
      <c r="P8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1" s="63"/>
    </row>
    <row r="82" spans="1:17" ht="15.5" x14ac:dyDescent="0.35">
      <c r="A82" s="92"/>
      <c r="B82" s="93"/>
      <c r="C82" s="94"/>
      <c r="D82" s="94"/>
      <c r="E82" s="94"/>
      <c r="F82" s="12"/>
      <c r="G82" s="93"/>
      <c r="H82" s="18"/>
      <c r="I82" s="95"/>
      <c r="J82" s="94"/>
      <c r="K82" s="100"/>
      <c r="L82" s="96">
        <f t="shared" ref="L82:L103" si="6">J82-E82</f>
        <v>0</v>
      </c>
      <c r="M82" s="97">
        <f t="shared" ref="M82:M103" si="7">L82*F82</f>
        <v>0</v>
      </c>
      <c r="N82" s="98" t="str">
        <f>IF(Table2683242[[#This Row],[Fault Type]]="PM",IF(L82&lt;=(D82-C82),"Yes","No"),"")</f>
        <v/>
      </c>
      <c r="O82" s="99" t="str">
        <f t="shared" ref="O82:O103" si="8">IF(N82="No",(L82-(D82-C82)),"")</f>
        <v/>
      </c>
      <c r="P8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2" s="91"/>
    </row>
    <row r="83" spans="1:17" ht="15.5" x14ac:dyDescent="0.35">
      <c r="A83" s="92"/>
      <c r="B83" s="93"/>
      <c r="C83" s="94"/>
      <c r="D83" s="94"/>
      <c r="E83" s="94"/>
      <c r="F83" s="12"/>
      <c r="G83" s="93"/>
      <c r="H83" s="95"/>
      <c r="I83" s="95"/>
      <c r="J83" s="94"/>
      <c r="K83" s="100"/>
      <c r="L83" s="96">
        <f t="shared" si="6"/>
        <v>0</v>
      </c>
      <c r="M83" s="97">
        <f t="shared" si="7"/>
        <v>0</v>
      </c>
      <c r="N83" s="98" t="str">
        <f>IF(Table2683242[[#This Row],[Fault Type]]="PM",IF(L83&lt;=(D83-C83),"Yes","No"),"")</f>
        <v/>
      </c>
      <c r="O83" s="99" t="str">
        <f t="shared" si="8"/>
        <v/>
      </c>
      <c r="P8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3" s="91"/>
    </row>
    <row r="84" spans="1:17" ht="15.5" x14ac:dyDescent="0.35">
      <c r="A84" s="92"/>
      <c r="B84" s="93"/>
      <c r="C84" s="94"/>
      <c r="D84" s="94"/>
      <c r="E84" s="94"/>
      <c r="F84" s="12"/>
      <c r="G84" s="93"/>
      <c r="H84" s="95"/>
      <c r="I84" s="95"/>
      <c r="J84" s="94"/>
      <c r="K84" s="100"/>
      <c r="L84" s="96">
        <f t="shared" si="6"/>
        <v>0</v>
      </c>
      <c r="M84" s="97">
        <f t="shared" si="7"/>
        <v>0</v>
      </c>
      <c r="N84" s="98" t="str">
        <f>IF(Table2683242[[#This Row],[Fault Type]]="PM",IF(L84&lt;=(D84-C84),"Yes","No"),"")</f>
        <v/>
      </c>
      <c r="O84" s="99" t="str">
        <f t="shared" si="8"/>
        <v/>
      </c>
      <c r="P8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4" s="91"/>
    </row>
    <row r="85" spans="1:17" ht="15.5" x14ac:dyDescent="0.35">
      <c r="A85" s="92"/>
      <c r="B85" s="93"/>
      <c r="C85" s="94"/>
      <c r="D85" s="94"/>
      <c r="E85" s="94"/>
      <c r="F85" s="12"/>
      <c r="G85" s="93"/>
      <c r="H85" s="18"/>
      <c r="I85" s="95"/>
      <c r="J85" s="94"/>
      <c r="K85" s="100"/>
      <c r="L85" s="96">
        <f t="shared" si="6"/>
        <v>0</v>
      </c>
      <c r="M85" s="97">
        <f t="shared" si="7"/>
        <v>0</v>
      </c>
      <c r="N85" s="98" t="str">
        <f>IF(Table2683242[[#This Row],[Fault Type]]="PM",IF(L85&lt;=(D85-C85),"Yes","No"),"")</f>
        <v/>
      </c>
      <c r="O85" s="99" t="str">
        <f t="shared" si="8"/>
        <v/>
      </c>
      <c r="P8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5" s="91"/>
    </row>
    <row r="86" spans="1:17" ht="15.5" x14ac:dyDescent="0.35">
      <c r="A86" s="92"/>
      <c r="B86" s="93"/>
      <c r="C86" s="94"/>
      <c r="D86" s="94"/>
      <c r="E86" s="94"/>
      <c r="F86" s="12"/>
      <c r="G86" s="93"/>
      <c r="H86" s="95"/>
      <c r="I86" s="95"/>
      <c r="J86" s="94"/>
      <c r="K86" s="100"/>
      <c r="L86" s="96">
        <f t="shared" si="6"/>
        <v>0</v>
      </c>
      <c r="M86" s="97">
        <f t="shared" si="7"/>
        <v>0</v>
      </c>
      <c r="N86" s="98" t="str">
        <f>IF(Table2683242[[#This Row],[Fault Type]]="PM",IF(L86&lt;=(D86-C86),"Yes","No"),"")</f>
        <v/>
      </c>
      <c r="O86" s="99" t="str">
        <f t="shared" si="8"/>
        <v/>
      </c>
      <c r="P8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6" s="91"/>
    </row>
    <row r="87" spans="1:17" ht="15.5" x14ac:dyDescent="0.35">
      <c r="A87" s="92"/>
      <c r="B87" s="93"/>
      <c r="C87" s="94"/>
      <c r="D87" s="94"/>
      <c r="E87" s="94"/>
      <c r="F87" s="12"/>
      <c r="G87" s="93"/>
      <c r="H87" s="18"/>
      <c r="I87" s="95"/>
      <c r="J87" s="94"/>
      <c r="K87" s="100"/>
      <c r="L87" s="96">
        <f t="shared" si="6"/>
        <v>0</v>
      </c>
      <c r="M87" s="97">
        <f t="shared" si="7"/>
        <v>0</v>
      </c>
      <c r="N87" s="98" t="str">
        <f>IF(Table2683242[[#This Row],[Fault Type]]="PM",IF(L87&lt;=(D87-C87),"Yes","No"),"")</f>
        <v/>
      </c>
      <c r="O87" s="99" t="str">
        <f t="shared" si="8"/>
        <v/>
      </c>
      <c r="P8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7" s="91"/>
    </row>
    <row r="88" spans="1:17" ht="15.5" x14ac:dyDescent="0.35">
      <c r="A88" s="92"/>
      <c r="B88" s="93"/>
      <c r="C88" s="94"/>
      <c r="D88" s="94"/>
      <c r="E88" s="94"/>
      <c r="F88" s="12"/>
      <c r="G88" s="93"/>
      <c r="H88" s="18"/>
      <c r="I88" s="95"/>
      <c r="J88" s="94"/>
      <c r="K88" s="100"/>
      <c r="L88" s="96">
        <f t="shared" si="6"/>
        <v>0</v>
      </c>
      <c r="M88" s="97">
        <f t="shared" si="7"/>
        <v>0</v>
      </c>
      <c r="N88" s="98" t="str">
        <f>IF(Table2683242[[#This Row],[Fault Type]]="PM",IF(L88&lt;=(D88-C88),"Yes","No"),"")</f>
        <v/>
      </c>
      <c r="O88" s="99" t="str">
        <f t="shared" si="8"/>
        <v/>
      </c>
      <c r="P8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8" s="91"/>
    </row>
    <row r="89" spans="1:17" ht="15.5" x14ac:dyDescent="0.35">
      <c r="A89" s="92"/>
      <c r="B89" s="93"/>
      <c r="C89" s="94"/>
      <c r="D89" s="94"/>
      <c r="E89" s="94"/>
      <c r="F89" s="12"/>
      <c r="G89" s="93"/>
      <c r="H89" s="18"/>
      <c r="I89" s="95"/>
      <c r="J89" s="94"/>
      <c r="K89" s="100"/>
      <c r="L89" s="96">
        <f t="shared" si="6"/>
        <v>0</v>
      </c>
      <c r="M89" s="97">
        <f t="shared" si="7"/>
        <v>0</v>
      </c>
      <c r="N89" s="98" t="str">
        <f>IF(Table2683242[[#This Row],[Fault Type]]="PM",IF(L89&lt;=(D89-C89),"Yes","No"),"")</f>
        <v/>
      </c>
      <c r="O89" s="99" t="str">
        <f t="shared" si="8"/>
        <v/>
      </c>
      <c r="P8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89" s="91"/>
    </row>
    <row r="90" spans="1:17" ht="15.5" x14ac:dyDescent="0.35">
      <c r="A90" s="92"/>
      <c r="B90" s="93"/>
      <c r="C90" s="94"/>
      <c r="D90" s="94"/>
      <c r="E90" s="94"/>
      <c r="F90" s="12"/>
      <c r="G90" s="93"/>
      <c r="H90" s="18"/>
      <c r="I90" s="95"/>
      <c r="J90" s="94"/>
      <c r="K90" s="100"/>
      <c r="L90" s="96">
        <f t="shared" si="6"/>
        <v>0</v>
      </c>
      <c r="M90" s="97">
        <f t="shared" si="7"/>
        <v>0</v>
      </c>
      <c r="N90" s="98" t="str">
        <f>IF(Table2683242[[#This Row],[Fault Type]]="PM",IF(L90&lt;=(D90-C90),"Yes","No"),"")</f>
        <v/>
      </c>
      <c r="O90" s="99" t="str">
        <f t="shared" si="8"/>
        <v/>
      </c>
      <c r="P9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0" s="91"/>
    </row>
    <row r="91" spans="1:17" ht="15.5" x14ac:dyDescent="0.35">
      <c r="A91" s="92"/>
      <c r="B91" s="12"/>
      <c r="C91" s="94"/>
      <c r="D91" s="94"/>
      <c r="E91" s="94"/>
      <c r="F91" s="12"/>
      <c r="G91" s="93"/>
      <c r="H91" s="18"/>
      <c r="I91" s="95"/>
      <c r="J91" s="94"/>
      <c r="K91" s="100"/>
      <c r="L91" s="96">
        <f t="shared" si="6"/>
        <v>0</v>
      </c>
      <c r="M91" s="97">
        <f t="shared" si="7"/>
        <v>0</v>
      </c>
      <c r="N91" s="98" t="str">
        <f>IF(Table2683242[[#This Row],[Fault Type]]="PM",IF(L91&lt;=(D91-C91),"Yes","No"),"")</f>
        <v/>
      </c>
      <c r="O91" s="99" t="str">
        <f t="shared" si="8"/>
        <v/>
      </c>
      <c r="P9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1" s="91"/>
    </row>
    <row r="92" spans="1:17" ht="15.5" x14ac:dyDescent="0.35">
      <c r="A92" s="92"/>
      <c r="B92" s="93"/>
      <c r="C92" s="94"/>
      <c r="D92" s="94"/>
      <c r="E92" s="94"/>
      <c r="F92" s="12"/>
      <c r="G92" s="93"/>
      <c r="H92" s="18"/>
      <c r="I92" s="95"/>
      <c r="J92" s="94"/>
      <c r="K92" s="100"/>
      <c r="L92" s="96">
        <f t="shared" si="6"/>
        <v>0</v>
      </c>
      <c r="M92" s="97">
        <f t="shared" si="7"/>
        <v>0</v>
      </c>
      <c r="N92" s="98" t="str">
        <f>IF(Table2683242[[#This Row],[Fault Type]]="PM",IF(L92&lt;=(D92-C92),"Yes","No"),"")</f>
        <v/>
      </c>
      <c r="O92" s="99" t="str">
        <f t="shared" si="8"/>
        <v/>
      </c>
      <c r="P9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2" s="91"/>
    </row>
    <row r="93" spans="1:17" ht="15.5" x14ac:dyDescent="0.35">
      <c r="A93" s="92"/>
      <c r="B93" s="93"/>
      <c r="C93" s="94"/>
      <c r="D93" s="94"/>
      <c r="E93" s="94"/>
      <c r="F93" s="12"/>
      <c r="G93" s="93"/>
      <c r="H93" s="95"/>
      <c r="I93" s="95"/>
      <c r="J93" s="94"/>
      <c r="K93" s="100"/>
      <c r="L93" s="96">
        <f t="shared" si="6"/>
        <v>0</v>
      </c>
      <c r="M93" s="97">
        <f t="shared" si="7"/>
        <v>0</v>
      </c>
      <c r="N93" s="98" t="str">
        <f>IF(Table2683242[[#This Row],[Fault Type]]="PM",IF(L93&lt;=(D93-C93),"Yes","No"),"")</f>
        <v/>
      </c>
      <c r="O93" s="99" t="str">
        <f t="shared" si="8"/>
        <v/>
      </c>
      <c r="P9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3" s="91"/>
    </row>
    <row r="94" spans="1:17" ht="15.5" x14ac:dyDescent="0.35">
      <c r="A94" s="92"/>
      <c r="B94" s="93"/>
      <c r="C94" s="94"/>
      <c r="D94" s="94"/>
      <c r="E94" s="94"/>
      <c r="F94" s="12"/>
      <c r="G94" s="93"/>
      <c r="H94" s="95"/>
      <c r="I94" s="95"/>
      <c r="J94" s="94"/>
      <c r="K94" s="100"/>
      <c r="L94" s="96">
        <f t="shared" si="6"/>
        <v>0</v>
      </c>
      <c r="M94" s="97">
        <f t="shared" si="7"/>
        <v>0</v>
      </c>
      <c r="N94" s="98" t="str">
        <f>IF(Table2683242[[#This Row],[Fault Type]]="PM",IF(L94&lt;=(D94-C94),"Yes","No"),"")</f>
        <v/>
      </c>
      <c r="O94" s="99" t="str">
        <f t="shared" si="8"/>
        <v/>
      </c>
      <c r="P94"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4" s="91"/>
    </row>
    <row r="95" spans="1:17" ht="15.5" x14ac:dyDescent="0.35">
      <c r="A95" s="92"/>
      <c r="B95" s="93"/>
      <c r="C95" s="94"/>
      <c r="D95" s="94"/>
      <c r="E95" s="94"/>
      <c r="F95" s="12"/>
      <c r="G95" s="93"/>
      <c r="H95" s="95"/>
      <c r="I95" s="95"/>
      <c r="J95" s="94"/>
      <c r="K95" s="100"/>
      <c r="L95" s="96">
        <f t="shared" si="6"/>
        <v>0</v>
      </c>
      <c r="M95" s="97">
        <f t="shared" si="7"/>
        <v>0</v>
      </c>
      <c r="N95" s="98" t="str">
        <f>IF(Table2683242[[#This Row],[Fault Type]]="PM",IF(L95&lt;=(D95-C95),"Yes","No"),"")</f>
        <v/>
      </c>
      <c r="O95" s="99" t="str">
        <f t="shared" si="8"/>
        <v/>
      </c>
      <c r="P95"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5" s="91"/>
    </row>
    <row r="96" spans="1:17" ht="15.5" x14ac:dyDescent="0.35">
      <c r="A96" s="92"/>
      <c r="B96" s="93"/>
      <c r="C96" s="94"/>
      <c r="D96" s="94"/>
      <c r="E96" s="94"/>
      <c r="F96" s="12"/>
      <c r="G96" s="93"/>
      <c r="H96" s="18"/>
      <c r="I96" s="95"/>
      <c r="J96" s="94"/>
      <c r="K96" s="100"/>
      <c r="L96" s="96">
        <f t="shared" si="6"/>
        <v>0</v>
      </c>
      <c r="M96" s="97">
        <f t="shared" si="7"/>
        <v>0</v>
      </c>
      <c r="N96" s="98" t="str">
        <f>IF(Table2683242[[#This Row],[Fault Type]]="PM",IF(L96&lt;=(D96-C96),"Yes","No"),"")</f>
        <v/>
      </c>
      <c r="O96" s="99" t="str">
        <f t="shared" si="8"/>
        <v/>
      </c>
      <c r="P96"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6" s="91"/>
    </row>
    <row r="97" spans="1:17" ht="15.5" x14ac:dyDescent="0.35">
      <c r="A97" s="92"/>
      <c r="B97" s="93"/>
      <c r="C97" s="94"/>
      <c r="D97" s="94"/>
      <c r="E97" s="94"/>
      <c r="F97" s="12"/>
      <c r="G97" s="93"/>
      <c r="H97" s="18"/>
      <c r="I97" s="95"/>
      <c r="J97" s="94"/>
      <c r="K97" s="100"/>
      <c r="L97" s="96">
        <f t="shared" si="6"/>
        <v>0</v>
      </c>
      <c r="M97" s="97">
        <f t="shared" si="7"/>
        <v>0</v>
      </c>
      <c r="N97" s="98" t="str">
        <f>IF(Table2683242[[#This Row],[Fault Type]]="PM",IF(L97&lt;=(D97-C97),"Yes","No"),"")</f>
        <v/>
      </c>
      <c r="O97" s="99" t="str">
        <f t="shared" si="8"/>
        <v/>
      </c>
      <c r="P97"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7" s="91"/>
    </row>
    <row r="98" spans="1:17" ht="15.5" x14ac:dyDescent="0.35">
      <c r="A98" s="92"/>
      <c r="B98" s="93"/>
      <c r="C98" s="94"/>
      <c r="D98" s="94"/>
      <c r="E98" s="94"/>
      <c r="F98" s="12"/>
      <c r="G98" s="93"/>
      <c r="H98" s="95"/>
      <c r="I98" s="95"/>
      <c r="J98" s="94"/>
      <c r="K98" s="100"/>
      <c r="L98" s="96">
        <f t="shared" si="6"/>
        <v>0</v>
      </c>
      <c r="M98" s="97">
        <f t="shared" si="7"/>
        <v>0</v>
      </c>
      <c r="N98" s="98" t="str">
        <f>IF(Table2683242[[#This Row],[Fault Type]]="PM",IF(L98&lt;=(D98-C98),"Yes","No"),"")</f>
        <v/>
      </c>
      <c r="O98" s="99" t="str">
        <f t="shared" si="8"/>
        <v/>
      </c>
      <c r="P98"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8" s="91"/>
    </row>
    <row r="99" spans="1:17" ht="15.5" x14ac:dyDescent="0.35">
      <c r="A99" s="92"/>
      <c r="B99" s="93"/>
      <c r="C99" s="94"/>
      <c r="D99" s="94"/>
      <c r="E99" s="94"/>
      <c r="F99" s="12"/>
      <c r="G99" s="93"/>
      <c r="H99" s="18"/>
      <c r="I99" s="95"/>
      <c r="J99" s="94"/>
      <c r="K99" s="100"/>
      <c r="L99" s="96">
        <f t="shared" si="6"/>
        <v>0</v>
      </c>
      <c r="M99" s="97">
        <f t="shared" si="7"/>
        <v>0</v>
      </c>
      <c r="N99" s="98" t="str">
        <f>IF(Table2683242[[#This Row],[Fault Type]]="PM",IF(L99&lt;=(D99-C99),"Yes","No"),"")</f>
        <v/>
      </c>
      <c r="O99" s="99" t="str">
        <f t="shared" si="8"/>
        <v/>
      </c>
      <c r="P99"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99" s="91"/>
    </row>
    <row r="100" spans="1:17" ht="15.5" x14ac:dyDescent="0.35">
      <c r="A100" s="92"/>
      <c r="B100" s="93"/>
      <c r="C100" s="94"/>
      <c r="D100" s="94"/>
      <c r="E100" s="94"/>
      <c r="F100" s="12"/>
      <c r="G100" s="93"/>
      <c r="H100" s="18"/>
      <c r="I100" s="95"/>
      <c r="J100" s="94"/>
      <c r="K100" s="100"/>
      <c r="L100" s="96">
        <f t="shared" si="6"/>
        <v>0</v>
      </c>
      <c r="M100" s="97">
        <f t="shared" si="7"/>
        <v>0</v>
      </c>
      <c r="N100" s="98" t="str">
        <f>IF(Table2683242[[#This Row],[Fault Type]]="PM",IF(L100&lt;=(D100-C100),"Yes","No"),"")</f>
        <v/>
      </c>
      <c r="O100" s="99" t="str">
        <f t="shared" si="8"/>
        <v/>
      </c>
      <c r="P100"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00" s="91"/>
    </row>
    <row r="101" spans="1:17" ht="15.5" x14ac:dyDescent="0.35">
      <c r="A101" s="92"/>
      <c r="B101" s="93"/>
      <c r="C101" s="94"/>
      <c r="D101" s="94"/>
      <c r="E101" s="94"/>
      <c r="F101" s="12"/>
      <c r="G101" s="93"/>
      <c r="H101" s="95"/>
      <c r="I101" s="95"/>
      <c r="J101" s="94"/>
      <c r="K101" s="100"/>
      <c r="L101" s="96">
        <f t="shared" si="6"/>
        <v>0</v>
      </c>
      <c r="M101" s="97">
        <f t="shared" si="7"/>
        <v>0</v>
      </c>
      <c r="N101" s="98" t="str">
        <f>IF(Table2683242[[#This Row],[Fault Type]]="PM",IF(L101&lt;=(D101-C101),"Yes","No"),"")</f>
        <v/>
      </c>
      <c r="O101" s="99" t="str">
        <f t="shared" si="8"/>
        <v/>
      </c>
      <c r="P101"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01" s="91"/>
    </row>
    <row r="102" spans="1:17" ht="15.5" x14ac:dyDescent="0.35">
      <c r="A102" s="92"/>
      <c r="B102" s="93"/>
      <c r="C102" s="94"/>
      <c r="D102" s="94"/>
      <c r="E102" s="94"/>
      <c r="F102" s="12"/>
      <c r="G102" s="93"/>
      <c r="H102" s="18"/>
      <c r="I102" s="95"/>
      <c r="J102" s="94"/>
      <c r="K102" s="100"/>
      <c r="L102" s="96">
        <f t="shared" si="6"/>
        <v>0</v>
      </c>
      <c r="M102" s="97">
        <f t="shared" si="7"/>
        <v>0</v>
      </c>
      <c r="N102" s="98" t="str">
        <f>IF(Table2683242[[#This Row],[Fault Type]]="PM",IF(L102&lt;=(D102-C102),"Yes","No"),"")</f>
        <v/>
      </c>
      <c r="O102" s="99" t="str">
        <f t="shared" si="8"/>
        <v/>
      </c>
      <c r="P102"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02" s="91"/>
    </row>
    <row r="103" spans="1:17" ht="15.5" x14ac:dyDescent="0.35">
      <c r="A103" s="92"/>
      <c r="B103" s="93"/>
      <c r="C103" s="94"/>
      <c r="D103" s="94"/>
      <c r="E103" s="94"/>
      <c r="F103" s="12"/>
      <c r="G103" s="93"/>
      <c r="H103" s="18"/>
      <c r="I103" s="95"/>
      <c r="J103" s="94"/>
      <c r="K103" s="100"/>
      <c r="L103" s="96">
        <f t="shared" si="6"/>
        <v>0</v>
      </c>
      <c r="M103" s="97">
        <f t="shared" si="7"/>
        <v>0</v>
      </c>
      <c r="N103" s="98" t="str">
        <f>IF(Table2683242[[#This Row],[Fault Type]]="PM",IF(L103&lt;=(D103-C103),"Yes","No"),"")</f>
        <v/>
      </c>
      <c r="O103" s="99" t="str">
        <f t="shared" si="8"/>
        <v/>
      </c>
      <c r="P103" s="30" t="str">
        <f>IF(AND(Table2683242[[#This Row],[Name of Feeder]]&lt;&gt;"",OR(Table2683242[[#This Row],[Fault Type]]="TL",Table2683242[[#This Row],[Fault Type]]="TS",Table2683242[[#This Row],[Fault Type]]="UF",Table2683242[[#This Row],[Fault Type]]="SE")),(IF(AND(VLOOKUP(Table2683242[[#This Row],[Name of Feeder]],Main!D:E,2,0)="URBAN",ISNUMBER(SEARCH("33KV",Table2683242[[#This Row],[Name of Feeder]]))),IF(AND(Table2683242[[#This Row],[Outage Duration]]&gt;0,Table2683242[[#This Row],[Outage Duration]]&lt;=0.25),"Yes","No"),IF(AND(VLOOKUP(Table2683242[[#This Row],[Name of Feeder]],Main!D:E,2,0)="RURAL",ISNUMBER(SEARCH("33KV",Table2683242[[#This Row],[Name of Feeder]]))),IF(AND(Table2683242[[#This Row],[Outage Duration]]&gt;0,Table2683242[[#This Row],[Outage Duration]]&lt;=0.33),"Yes","No"),IF(AND(VLOOKUP(Table2683242[[#This Row],[Name of Feeder]],Main!D:E,2,0)="RURAL",ISNUMBER(SEARCH("11KV",Table2683242[[#This Row],[Name of Feeder]]))),IF(AND(Table2683242[[#This Row],[Outage Duration]]&gt;0,Table2683242[[#This Row],[Outage Duration]]&lt;=0.17),"Yes","No"),IF(AND(VLOOKUP(Table2683242[[#This Row],[Name of Feeder]],Main!D:E,2,0)="URBAN",ISNUMBER(SEARCH("11KV",Table2683242[[#This Row],[Name of Feeder]]))),IF(AND(Table2683242[[#This Row],[Outage Duration]]&gt;0,Table2683242[[#This Row],[Outage Duration]]&lt;=0.17),"Yes","No"),""))))),"")</f>
        <v/>
      </c>
      <c r="Q103"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C00-000000000000}">
          <x14:formula1>
            <xm:f>Main!$F$226:$F$228</xm:f>
          </x14:formula1>
          <xm:sqref>I2:I103</xm:sqref>
        </x14:dataValidation>
        <x14:dataValidation type="list" allowBlank="1" showInputMessage="1" showErrorMessage="1" xr:uid="{00000000-0002-0000-1C00-000001000000}">
          <x14:formula1>
            <xm:f>Main!$D$2:$D$196</xm:f>
          </x14:formula1>
          <xm:sqref>A2:A103</xm:sqref>
        </x14:dataValidation>
        <x14:dataValidation type="list" allowBlank="1" showInputMessage="1" showErrorMessage="1" xr:uid="{00000000-0002-0000-1C00-000002000000}">
          <x14:formula1>
            <xm:f>Main!F$222:F$225</xm:f>
          </x14:formula1>
          <xm:sqref>G2:G103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228"/>
  <sheetViews>
    <sheetView tabSelected="1" topLeftCell="D1" zoomScale="80" zoomScaleNormal="80" workbookViewId="0">
      <selection activeCell="V205" sqref="V205"/>
    </sheetView>
  </sheetViews>
  <sheetFormatPr defaultRowHeight="14.5" x14ac:dyDescent="0.35"/>
  <cols>
    <col min="1" max="1" width="17.453125" hidden="1" customWidth="1"/>
    <col min="2" max="2" width="40.1796875" style="1" hidden="1" customWidth="1"/>
    <col min="3" max="3" width="22.54296875" style="1" hidden="1" customWidth="1"/>
    <col min="4" max="4" width="27.1796875" style="1" customWidth="1"/>
    <col min="5" max="5" width="9.26953125" style="1" customWidth="1"/>
    <col min="6" max="6" width="15.453125" customWidth="1"/>
    <col min="7" max="7" width="10.1796875" customWidth="1"/>
    <col min="8" max="8" width="10.453125" customWidth="1"/>
    <col min="9" max="9" width="7.26953125" bestFit="1" customWidth="1"/>
    <col min="10" max="10" width="6.81640625" style="157" customWidth="1"/>
    <col min="11" max="11" width="11.7265625" customWidth="1"/>
    <col min="12" max="12" width="11" customWidth="1"/>
    <col min="13" max="13" width="12.1796875" customWidth="1"/>
    <col min="14" max="14" width="6.1796875" hidden="1" customWidth="1"/>
    <col min="15" max="15" width="17.453125" hidden="1" customWidth="1"/>
    <col min="16" max="16" width="15.1796875" hidden="1" customWidth="1"/>
    <col min="17" max="17" width="17.1796875" hidden="1" customWidth="1"/>
    <col min="18" max="18" width="20.54296875" hidden="1" customWidth="1"/>
    <col min="19" max="19" width="16.453125" style="11" hidden="1" customWidth="1"/>
    <col min="20" max="20" width="14.453125" style="117" hidden="1" customWidth="1"/>
    <col min="21" max="22" width="10.1796875" customWidth="1"/>
    <col min="23" max="23" width="10.1796875" bestFit="1" customWidth="1"/>
    <col min="24" max="24" width="13.81640625" customWidth="1"/>
    <col min="25" max="25" width="14" customWidth="1"/>
    <col min="26" max="26" width="12.54296875" customWidth="1"/>
    <col min="27" max="27" width="13" customWidth="1"/>
    <col min="28" max="28" width="15.453125" customWidth="1"/>
    <col min="29" max="30" width="14.54296875" customWidth="1"/>
    <col min="31" max="32" width="14.7265625" customWidth="1"/>
    <col min="33" max="33" width="12.453125" customWidth="1"/>
    <col min="34" max="34" width="14.81640625" customWidth="1"/>
    <col min="35" max="35" width="12.54296875" customWidth="1"/>
    <col min="36" max="36" width="12.1796875" customWidth="1"/>
  </cols>
  <sheetData>
    <row r="1" spans="1:36" s="2" customFormat="1" ht="56" x14ac:dyDescent="0.35">
      <c r="A1" s="10" t="s">
        <v>0</v>
      </c>
      <c r="B1" s="10" t="s">
        <v>16</v>
      </c>
      <c r="C1" s="10" t="s">
        <v>214</v>
      </c>
      <c r="D1" s="10" t="s">
        <v>1</v>
      </c>
      <c r="E1" s="10" t="s">
        <v>268</v>
      </c>
      <c r="F1" s="10" t="s">
        <v>346</v>
      </c>
      <c r="G1" s="10" t="s">
        <v>2</v>
      </c>
      <c r="H1" s="10" t="s">
        <v>3</v>
      </c>
      <c r="I1" s="10" t="s">
        <v>4</v>
      </c>
      <c r="J1" s="10" t="s">
        <v>439</v>
      </c>
      <c r="K1" s="102" t="s">
        <v>340</v>
      </c>
      <c r="L1" s="102" t="s">
        <v>341</v>
      </c>
      <c r="M1" s="102" t="s">
        <v>342</v>
      </c>
      <c r="N1" s="10" t="s">
        <v>208</v>
      </c>
      <c r="O1" s="10" t="s">
        <v>204</v>
      </c>
      <c r="P1" s="10" t="s">
        <v>209</v>
      </c>
      <c r="Q1" s="10" t="s">
        <v>210</v>
      </c>
      <c r="R1" s="20" t="s">
        <v>203</v>
      </c>
      <c r="S1" s="20" t="s">
        <v>266</v>
      </c>
      <c r="T1" s="120" t="s">
        <v>349</v>
      </c>
      <c r="U1" s="10" t="s">
        <v>151</v>
      </c>
      <c r="V1" s="10" t="s">
        <v>365</v>
      </c>
      <c r="W1" s="10" t="s">
        <v>153</v>
      </c>
      <c r="X1" s="10" t="s">
        <v>155</v>
      </c>
      <c r="Y1" s="10" t="s">
        <v>157</v>
      </c>
      <c r="Z1" s="10" t="s">
        <v>159</v>
      </c>
      <c r="AA1" s="10" t="s">
        <v>161</v>
      </c>
      <c r="AB1" s="10" t="s">
        <v>202</v>
      </c>
      <c r="AC1" s="10" t="s">
        <v>302</v>
      </c>
      <c r="AD1" s="10" t="s">
        <v>348</v>
      </c>
      <c r="AE1" s="10" t="s">
        <v>264</v>
      </c>
      <c r="AF1" s="10" t="s">
        <v>303</v>
      </c>
      <c r="AG1" s="2" t="s">
        <v>306</v>
      </c>
      <c r="AH1" s="2" t="s">
        <v>307</v>
      </c>
      <c r="AI1" s="10" t="s">
        <v>331</v>
      </c>
      <c r="AJ1" s="194" t="s">
        <v>455</v>
      </c>
    </row>
    <row r="2" spans="1:36" ht="17.25" hidden="1" customHeight="1" x14ac:dyDescent="0.35">
      <c r="A2" s="38" t="s">
        <v>170</v>
      </c>
      <c r="B2" s="39" t="s">
        <v>6</v>
      </c>
      <c r="C2" s="39" t="s">
        <v>215</v>
      </c>
      <c r="D2" s="38" t="s">
        <v>17</v>
      </c>
      <c r="E2" s="38" t="s">
        <v>269</v>
      </c>
      <c r="F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13</v>
      </c>
      <c r="G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7</v>
      </c>
      <c r="H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5</v>
      </c>
      <c r="L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-44782.555555555562</v>
      </c>
      <c r="O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-44782.555555555562</v>
      </c>
      <c r="S2" s="41">
        <f t="shared" ref="S2:S34" si="0">Q$199-R2</f>
        <v>44812.555555555562</v>
      </c>
      <c r="T2" s="122">
        <f>Table436[[#This Row],[Total Hours in Service]]</f>
        <v>26.916666666666668</v>
      </c>
      <c r="U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13</v>
      </c>
      <c r="V2" s="42">
        <f>Table4[[#This Row],[Total Interrruption]]-Table4[[#This Row],[Planned shutdown for construction activity ]]-Table4[[#This Row],[Planned shutdown for O&amp;M activity ]]</f>
        <v>13</v>
      </c>
      <c r="W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11</v>
      </c>
      <c r="AD2" s="40">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162.80000000000001</v>
      </c>
      <c r="AF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 s="40">
        <f>Table4[[#This Row],[Load Interrupted (MW)]]-Table4[[#This Row],[Load at Restoration]]</f>
        <v>162.80000000000001</v>
      </c>
      <c r="AH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-761312.53555555572</v>
      </c>
      <c r="AI2" s="66">
        <f>(Table4[[#This Row],[Load Interrupted (MW)]]/0.85*1000)</f>
        <v>191529.4117647059</v>
      </c>
      <c r="AJ2" s="169" t="s">
        <v>457</v>
      </c>
    </row>
    <row r="3" spans="1:36" ht="17.25" hidden="1" customHeight="1" x14ac:dyDescent="0.35">
      <c r="A3" s="38" t="s">
        <v>170</v>
      </c>
      <c r="B3" s="39" t="s">
        <v>6</v>
      </c>
      <c r="C3" s="39" t="s">
        <v>310</v>
      </c>
      <c r="D3" s="38" t="s">
        <v>18</v>
      </c>
      <c r="E3" s="38" t="s">
        <v>269</v>
      </c>
      <c r="F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6</v>
      </c>
      <c r="G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0.63055555555911269</v>
      </c>
      <c r="O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0.63055555555911269</v>
      </c>
      <c r="S3" s="41">
        <f t="shared" si="0"/>
        <v>29.369444444440887</v>
      </c>
      <c r="T3" s="122">
        <f>Table436[[#This Row],[Total Hours in Service]]</f>
        <v>28.791666666666661</v>
      </c>
      <c r="U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3" s="42">
        <f>Table4[[#This Row],[Total Interrruption]]-Table4[[#This Row],[Planned shutdown for construction activity ]]-Table4[[#This Row],[Planned shutdown for O&amp;M activity ]]</f>
        <v>6</v>
      </c>
      <c r="W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55.5</v>
      </c>
      <c r="AF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 s="40">
        <f>Table4[[#This Row],[Load Interrupted (MW)]]-Table4[[#This Row],[Load at Restoration]]</f>
        <v>55.5</v>
      </c>
      <c r="AH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5.702569444458641</v>
      </c>
      <c r="AI3" s="66">
        <f>(Table4[[#This Row],[Load Interrupted (MW)]]/0.85*1000)</f>
        <v>65294.117647058825</v>
      </c>
      <c r="AJ3" s="169" t="s">
        <v>457</v>
      </c>
    </row>
    <row r="4" spans="1:36" ht="17.25" hidden="1" customHeight="1" x14ac:dyDescent="0.35">
      <c r="A4" s="38" t="s">
        <v>170</v>
      </c>
      <c r="B4" s="39" t="s">
        <v>6</v>
      </c>
      <c r="C4" s="39" t="s">
        <v>215</v>
      </c>
      <c r="D4" s="38" t="s">
        <v>24</v>
      </c>
      <c r="E4" s="38" t="s">
        <v>269</v>
      </c>
      <c r="F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 s="41">
        <f t="shared" si="0"/>
        <v>30</v>
      </c>
      <c r="T4" s="122">
        <f>Table436[[#This Row],[Total Hours in Service]]</f>
        <v>0</v>
      </c>
      <c r="U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 s="42">
        <f>Table4[[#This Row],[Total Interrruption]]-Table4[[#This Row],[Planned shutdown for construction activity ]]-Table4[[#This Row],[Planned shutdown for O&amp;M activity ]]</f>
        <v>0</v>
      </c>
      <c r="W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 s="40">
        <f>Table4[[#This Row],[Load Interrupted (MW)]]-Table4[[#This Row],[Load at Restoration]]</f>
        <v>0</v>
      </c>
      <c r="AH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 s="66">
        <f>(Table4[[#This Row],[Load Interrupted (MW)]]/0.85*1000)</f>
        <v>0</v>
      </c>
      <c r="AJ4" s="169" t="s">
        <v>457</v>
      </c>
    </row>
    <row r="5" spans="1:36" ht="17.25" hidden="1" customHeight="1" x14ac:dyDescent="0.35">
      <c r="A5" s="38" t="s">
        <v>170</v>
      </c>
      <c r="B5" s="39" t="s">
        <v>6</v>
      </c>
      <c r="C5" s="170" t="s">
        <v>350</v>
      </c>
      <c r="D5" s="38" t="s">
        <v>22</v>
      </c>
      <c r="E5" s="38" t="s">
        <v>269</v>
      </c>
      <c r="F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0.31874999999854481</v>
      </c>
      <c r="O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0.31874999999854481</v>
      </c>
      <c r="S5" s="41">
        <f t="shared" si="0"/>
        <v>29.681250000001455</v>
      </c>
      <c r="T5" s="122">
        <f>Table436[[#This Row],[Total Hours in Service]]</f>
        <v>27.774305555555554</v>
      </c>
      <c r="U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5" s="42">
        <f>Table4[[#This Row],[Total Interrruption]]-Table4[[#This Row],[Planned shutdown for construction activity ]]-Table4[[#This Row],[Planned shutdown for O&amp;M activity ]]</f>
        <v>2</v>
      </c>
      <c r="W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7.6</v>
      </c>
      <c r="AF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 s="40">
        <f>Table4[[#This Row],[Load Interrupted (MW)]]-Table4[[#This Row],[Load at Restoration]]</f>
        <v>7.6</v>
      </c>
      <c r="AH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1.3078472222194248</v>
      </c>
      <c r="AI5" s="66">
        <f>(Table4[[#This Row],[Load Interrupted (MW)]]/0.85*1000)</f>
        <v>8941.176470588236</v>
      </c>
      <c r="AJ5" s="169" t="s">
        <v>457</v>
      </c>
    </row>
    <row r="6" spans="1:36" ht="17.25" hidden="1" customHeight="1" x14ac:dyDescent="0.35">
      <c r="A6" s="38" t="s">
        <v>170</v>
      </c>
      <c r="B6" s="39" t="s">
        <v>6</v>
      </c>
      <c r="C6" s="39" t="s">
        <v>216</v>
      </c>
      <c r="D6" s="38" t="s">
        <v>19</v>
      </c>
      <c r="E6" s="38" t="s">
        <v>269</v>
      </c>
      <c r="F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6" s="41">
        <f t="shared" si="0"/>
        <v>30</v>
      </c>
      <c r="T6" s="122">
        <f>Table436[[#This Row],[Total Hours in Service]]</f>
        <v>27.916666666666661</v>
      </c>
      <c r="U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6" s="42">
        <f>Table4[[#This Row],[Total Interrruption]]-Table4[[#This Row],[Planned shutdown for construction activity ]]-Table4[[#This Row],[Planned shutdown for O&amp;M activity ]]</f>
        <v>0</v>
      </c>
      <c r="W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 s="40">
        <f>Table4[[#This Row],[Load Interrupted (MW)]]-Table4[[#This Row],[Load at Restoration]]</f>
        <v>0</v>
      </c>
      <c r="AH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6" s="66">
        <f>(Table4[[#This Row],[Load Interrupted (MW)]]/0.85*1000)</f>
        <v>0</v>
      </c>
      <c r="AJ6" s="169" t="s">
        <v>457</v>
      </c>
    </row>
    <row r="7" spans="1:36" ht="17.25" hidden="1" customHeight="1" x14ac:dyDescent="0.35">
      <c r="A7" s="38" t="s">
        <v>170</v>
      </c>
      <c r="B7" s="39" t="s">
        <v>6</v>
      </c>
      <c r="C7" s="39" t="s">
        <v>310</v>
      </c>
      <c r="D7" s="38" t="s">
        <v>20</v>
      </c>
      <c r="E7" s="38" t="s">
        <v>269</v>
      </c>
      <c r="F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6</v>
      </c>
      <c r="H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4</v>
      </c>
      <c r="L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0.89652777778246673</v>
      </c>
      <c r="O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0.89652777778246673</v>
      </c>
      <c r="S7" s="41">
        <f t="shared" si="0"/>
        <v>29.103472222217533</v>
      </c>
      <c r="T7" s="122">
        <f>Table436[[#This Row],[Total Hours in Service]]</f>
        <v>25.852777777777771</v>
      </c>
      <c r="U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7</v>
      </c>
      <c r="V7" s="42">
        <f>Table4[[#This Row],[Total Interrruption]]-Table4[[#This Row],[Planned shutdown for construction activity ]]-Table4[[#This Row],[Planned shutdown for O&amp;M activity ]]</f>
        <v>7</v>
      </c>
      <c r="W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7</v>
      </c>
      <c r="AD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130.30000000000001</v>
      </c>
      <c r="AF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 s="40">
        <f>Table4[[#This Row],[Load Interrupted (MW)]]-Table4[[#This Row],[Load at Restoration]]</f>
        <v>130.30000000000001</v>
      </c>
      <c r="AH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16.856388889038499</v>
      </c>
      <c r="AI7" s="66">
        <f>(Table4[[#This Row],[Load Interrupted (MW)]]/0.85*1000)</f>
        <v>153294.11764705885</v>
      </c>
      <c r="AJ7" s="169" t="s">
        <v>457</v>
      </c>
    </row>
    <row r="8" spans="1:36" ht="17.25" hidden="1" customHeight="1" x14ac:dyDescent="0.35">
      <c r="A8" s="38" t="s">
        <v>170</v>
      </c>
      <c r="B8" s="39" t="s">
        <v>9</v>
      </c>
      <c r="C8" s="39" t="s">
        <v>216</v>
      </c>
      <c r="D8" s="38" t="s">
        <v>29</v>
      </c>
      <c r="E8" s="38" t="s">
        <v>269</v>
      </c>
      <c r="F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18</v>
      </c>
      <c r="G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13</v>
      </c>
      <c r="H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8</v>
      </c>
      <c r="L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5</v>
      </c>
      <c r="N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0.95277777778392192</v>
      </c>
      <c r="O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0.10763888888322981</v>
      </c>
      <c r="P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1.0604166666671517</v>
      </c>
      <c r="S8" s="41">
        <f t="shared" si="0"/>
        <v>28.939583333332848</v>
      </c>
      <c r="T8" s="122">
        <f>Table436[[#This Row],[Total Hours in Service]]</f>
        <v>22.665277777777781</v>
      </c>
      <c r="U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17</v>
      </c>
      <c r="V8" s="42">
        <f>Table4[[#This Row],[Total Interrruption]]-Table4[[#This Row],[Planned shutdown for construction activity ]]-Table4[[#This Row],[Planned shutdown for O&amp;M activity ]]</f>
        <v>17</v>
      </c>
      <c r="W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16</v>
      </c>
      <c r="AD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248.40000000000003</v>
      </c>
      <c r="AF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 s="40">
        <f>Table4[[#This Row],[Load Interrupted (MW)]]-Table4[[#This Row],[Load at Restoration]]</f>
        <v>248.40000000000003</v>
      </c>
      <c r="AH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18.633750000066357</v>
      </c>
      <c r="AI8" s="66">
        <f>(Table4[[#This Row],[Load Interrupted (MW)]]/0.85*1000)</f>
        <v>292235.29411764711</v>
      </c>
      <c r="AJ8" s="169" t="s">
        <v>457</v>
      </c>
    </row>
    <row r="9" spans="1:36" ht="17.25" hidden="1" customHeight="1" x14ac:dyDescent="0.35">
      <c r="A9" s="38" t="s">
        <v>171</v>
      </c>
      <c r="B9" s="39" t="s">
        <v>9</v>
      </c>
      <c r="C9" s="39" t="s">
        <v>443</v>
      </c>
      <c r="D9" s="38" t="s">
        <v>28</v>
      </c>
      <c r="E9" s="38" t="s">
        <v>269</v>
      </c>
      <c r="F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0.15763888889341615</v>
      </c>
      <c r="O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0.20763888888905058</v>
      </c>
      <c r="P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1.0493055555634783</v>
      </c>
      <c r="S9" s="41">
        <f t="shared" si="0"/>
        <v>28.950694444436522</v>
      </c>
      <c r="T9" s="122">
        <f>Table436[[#This Row],[Total Hours in Service]]</f>
        <v>22.383333333333333</v>
      </c>
      <c r="U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 s="42">
        <f>Table4[[#This Row],[Total Interrruption]]-Table4[[#This Row],[Planned shutdown for construction activity ]]-Table4[[#This Row],[Planned shutdown for O&amp;M activity ]]</f>
        <v>3</v>
      </c>
      <c r="W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12.1</v>
      </c>
      <c r="AF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 s="40">
        <f>Table4[[#This Row],[Load Interrupted (MW)]]-Table4[[#This Row],[Load at Restoration]]</f>
        <v>12.1</v>
      </c>
      <c r="AH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2.232430555581959</v>
      </c>
      <c r="AI9" s="66">
        <f>(Table4[[#This Row],[Load Interrupted (MW)]]/0.85*1000)</f>
        <v>14235.294117647058</v>
      </c>
      <c r="AJ9" s="169" t="s">
        <v>457</v>
      </c>
    </row>
    <row r="10" spans="1:36" ht="17.25" hidden="1" customHeight="1" x14ac:dyDescent="0.35">
      <c r="A10" s="38" t="s">
        <v>171</v>
      </c>
      <c r="B10" s="39" t="s">
        <v>9</v>
      </c>
      <c r="C10" s="39" t="s">
        <v>257</v>
      </c>
      <c r="D10" s="38" t="s">
        <v>30</v>
      </c>
      <c r="E10" s="38" t="s">
        <v>269</v>
      </c>
      <c r="F1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18</v>
      </c>
      <c r="G1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7</v>
      </c>
      <c r="H1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8</v>
      </c>
      <c r="I1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4</v>
      </c>
      <c r="L1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9</v>
      </c>
      <c r="M1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-44872.263194444451</v>
      </c>
      <c r="O1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3.1944444439432118E-2</v>
      </c>
      <c r="P1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-44872.231250000012</v>
      </c>
      <c r="S10" s="41">
        <f t="shared" si="0"/>
        <v>44902.231250000012</v>
      </c>
      <c r="T10" s="122">
        <f>Table436[[#This Row],[Total Hours in Service]]</f>
        <v>25.77986111111111</v>
      </c>
      <c r="U1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16</v>
      </c>
      <c r="V10" s="42">
        <f>Table4[[#This Row],[Total Interrruption]]-Table4[[#This Row],[Planned shutdown for construction activity ]]-Table4[[#This Row],[Planned shutdown for O&amp;M activity ]]</f>
        <v>16</v>
      </c>
      <c r="W1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2</v>
      </c>
      <c r="Z1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14</v>
      </c>
      <c r="AD1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108.99999999999999</v>
      </c>
      <c r="AF1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 s="40">
        <f>Table4[[#This Row],[Load Interrupted (MW)]]-Table4[[#This Row],[Load at Restoration]]</f>
        <v>108.99999999999999</v>
      </c>
      <c r="AH1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-260365.95645833341</v>
      </c>
      <c r="AI10" s="66">
        <f>(Table4[[#This Row],[Load Interrupted (MW)]]/0.85*1000)</f>
        <v>128235.29411764705</v>
      </c>
      <c r="AJ10" s="169" t="s">
        <v>457</v>
      </c>
    </row>
    <row r="11" spans="1:36" ht="17.25" hidden="1" customHeight="1" x14ac:dyDescent="0.35">
      <c r="A11" s="38" t="s">
        <v>445</v>
      </c>
      <c r="B11" s="39" t="s">
        <v>9</v>
      </c>
      <c r="C11" s="39" t="s">
        <v>217</v>
      </c>
      <c r="D11" s="38" t="s">
        <v>32</v>
      </c>
      <c r="E11" s="38" t="s">
        <v>269</v>
      </c>
      <c r="F1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14</v>
      </c>
      <c r="G1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1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8</v>
      </c>
      <c r="J1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10</v>
      </c>
      <c r="M1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6601899.7090277774</v>
      </c>
      <c r="O1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6601899.7423611106</v>
      </c>
      <c r="S11" s="41">
        <f t="shared" si="0"/>
        <v>-6601869.7423611106</v>
      </c>
      <c r="T11" s="122">
        <f>Table436[[#This Row],[Total Hours in Service]]</f>
        <v>14.440277777777776</v>
      </c>
      <c r="U1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12</v>
      </c>
      <c r="V11" s="42">
        <f>Table4[[#This Row],[Total Interrruption]]-Table4[[#This Row],[Planned shutdown for construction activity ]]-Table4[[#This Row],[Planned shutdown for O&amp;M activity ]]</f>
        <v>14</v>
      </c>
      <c r="W1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1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12</v>
      </c>
      <c r="AD1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124.6</v>
      </c>
      <c r="AF1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 s="40">
        <f>Table4[[#This Row],[Load Interrupted (MW)]]-Table4[[#This Row],[Load at Restoration]]</f>
        <v>124.6</v>
      </c>
      <c r="AH1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-76125.34555555557</v>
      </c>
      <c r="AI11" s="66">
        <f>(Table4[[#This Row],[Load Interrupted (MW)]]/0.85*1000)</f>
        <v>146588.23529411765</v>
      </c>
      <c r="AJ11" s="169" t="s">
        <v>457</v>
      </c>
    </row>
    <row r="12" spans="1:36" ht="17.25" customHeight="1" x14ac:dyDescent="0.35">
      <c r="A12" s="169" t="s">
        <v>445</v>
      </c>
      <c r="B12" s="39" t="s">
        <v>9</v>
      </c>
      <c r="C12" s="39" t="s">
        <v>222</v>
      </c>
      <c r="D12" s="38" t="s">
        <v>31</v>
      </c>
      <c r="E12" s="38" t="s">
        <v>269</v>
      </c>
      <c r="F1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15</v>
      </c>
      <c r="G1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5</v>
      </c>
      <c r="I1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8</v>
      </c>
      <c r="J1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9</v>
      </c>
      <c r="M1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1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-44841.064583333311</v>
      </c>
      <c r="O1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-44840.622916666645</v>
      </c>
      <c r="S12" s="41">
        <f t="shared" si="0"/>
        <v>44870.622916666645</v>
      </c>
      <c r="T12" s="122">
        <f>Table436[[#This Row],[Total Hours in Service]]</f>
        <v>15.597222222222225</v>
      </c>
      <c r="U1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14</v>
      </c>
      <c r="V12" s="42">
        <f>Table4[[#This Row],[Total Interrruption]]-Table4[[#This Row],[Planned shutdown for construction activity ]]-Table4[[#This Row],[Planned shutdown for O&amp;M activity ]]</f>
        <v>15</v>
      </c>
      <c r="W1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9</v>
      </c>
      <c r="AD1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99.199999999999989</v>
      </c>
      <c r="AF1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 s="40">
        <f>Table4[[#This Row],[Load Interrupted (MW)]]-Table4[[#This Row],[Load at Restoration]]</f>
        <v>99.199999999999989</v>
      </c>
      <c r="AH1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-461611.51722222212</v>
      </c>
      <c r="AI12" s="66">
        <f>(Table4[[#This Row],[Load Interrupted (MW)]]/0.85*1000)</f>
        <v>116705.88235294116</v>
      </c>
      <c r="AJ12" s="169" t="s">
        <v>457</v>
      </c>
    </row>
    <row r="13" spans="1:36" ht="17.25" hidden="1" customHeight="1" x14ac:dyDescent="0.35">
      <c r="A13" s="169" t="s">
        <v>445</v>
      </c>
      <c r="B13" s="39" t="s">
        <v>311</v>
      </c>
      <c r="C13" s="39" t="s">
        <v>217</v>
      </c>
      <c r="D13" s="38" t="s">
        <v>35</v>
      </c>
      <c r="E13" s="38" t="s">
        <v>269</v>
      </c>
      <c r="F1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-44784.455555555556</v>
      </c>
      <c r="O1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-44784.455555555556</v>
      </c>
      <c r="S13" s="41">
        <f t="shared" si="0"/>
        <v>44814.455555555556</v>
      </c>
      <c r="T13" s="122">
        <f>Table436[[#This Row],[Total Hours in Service]]</f>
        <v>2.4298611111111112</v>
      </c>
      <c r="U1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3" s="42">
        <f>Table4[[#This Row],[Total Interrruption]]-Table4[[#This Row],[Planned shutdown for construction activity ]]-Table4[[#This Row],[Planned shutdown for O&amp;M activity ]]</f>
        <v>1</v>
      </c>
      <c r="W1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0.7</v>
      </c>
      <c r="AF1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 s="40">
        <f>Table4[[#This Row],[Load Interrupted (MW)]]-Table4[[#This Row],[Load at Restoration]]</f>
        <v>0.7</v>
      </c>
      <c r="AH1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-31349.118888888886</v>
      </c>
      <c r="AI13" s="66">
        <f>(Table4[[#This Row],[Load Interrupted (MW)]]/0.85*1000)</f>
        <v>823.52941176470586</v>
      </c>
      <c r="AJ13" s="169" t="s">
        <v>459</v>
      </c>
    </row>
    <row r="14" spans="1:36" ht="17.25" hidden="1" customHeight="1" x14ac:dyDescent="0.35">
      <c r="A14" s="169" t="s">
        <v>445</v>
      </c>
      <c r="B14" s="39" t="s">
        <v>9</v>
      </c>
      <c r="C14" s="39" t="s">
        <v>222</v>
      </c>
      <c r="D14" s="38" t="s">
        <v>33</v>
      </c>
      <c r="E14" s="38" t="s">
        <v>269</v>
      </c>
      <c r="F1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4" s="41">
        <f t="shared" si="0"/>
        <v>30</v>
      </c>
      <c r="T14" s="122">
        <f>Table436[[#This Row],[Total Hours in Service]]</f>
        <v>21.307638888888892</v>
      </c>
      <c r="U1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4" s="42">
        <f>Table4[[#This Row],[Total Interrruption]]-Table4[[#This Row],[Planned shutdown for construction activity ]]-Table4[[#This Row],[Planned shutdown for O&amp;M activity ]]</f>
        <v>0</v>
      </c>
      <c r="W1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 s="40">
        <f>Table4[[#This Row],[Load Interrupted (MW)]]-Table4[[#This Row],[Load at Restoration]]</f>
        <v>0</v>
      </c>
      <c r="AH1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4" s="66">
        <f>(Table4[[#This Row],[Load Interrupted (MW)]]/0.85*1000)</f>
        <v>0</v>
      </c>
      <c r="AJ14" s="169" t="s">
        <v>457</v>
      </c>
    </row>
    <row r="15" spans="1:36" ht="17.25" hidden="1" customHeight="1" x14ac:dyDescent="0.35">
      <c r="A15" s="169" t="s">
        <v>445</v>
      </c>
      <c r="B15" s="39" t="s">
        <v>9</v>
      </c>
      <c r="C15" s="39" t="s">
        <v>222</v>
      </c>
      <c r="D15" s="38" t="s">
        <v>34</v>
      </c>
      <c r="E15" s="38" t="s">
        <v>269</v>
      </c>
      <c r="F1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 s="41">
        <f t="shared" si="0"/>
        <v>30</v>
      </c>
      <c r="T15" s="122">
        <f>Table436[[#This Row],[Total Hours in Service]]</f>
        <v>19.391666666666666</v>
      </c>
      <c r="U1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 s="42">
        <f>Table4[[#This Row],[Total Interrruption]]-Table4[[#This Row],[Planned shutdown for construction activity ]]-Table4[[#This Row],[Planned shutdown for O&amp;M activity ]]</f>
        <v>0</v>
      </c>
      <c r="W1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 s="40">
        <f>Table4[[#This Row],[Load Interrupted (MW)]]-Table4[[#This Row],[Load at Restoration]]</f>
        <v>0</v>
      </c>
      <c r="AH1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 s="66">
        <f>(Table4[[#This Row],[Load Interrupted (MW)]]/0.85*1000)</f>
        <v>0</v>
      </c>
      <c r="AJ15" s="169" t="s">
        <v>458</v>
      </c>
    </row>
    <row r="16" spans="1:36" ht="17.25" hidden="1" customHeight="1" x14ac:dyDescent="0.35">
      <c r="A16" s="169" t="s">
        <v>445</v>
      </c>
      <c r="B16" s="39" t="s">
        <v>6</v>
      </c>
      <c r="C16" s="39" t="s">
        <v>217</v>
      </c>
      <c r="D16" s="38" t="s">
        <v>21</v>
      </c>
      <c r="E16" s="38" t="s">
        <v>269</v>
      </c>
      <c r="F1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14</v>
      </c>
      <c r="G1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16" s="172">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16" s="172">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4</v>
      </c>
      <c r="J1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 s="172">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16" s="172">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8</v>
      </c>
      <c r="M16" s="172">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1.0916666666744277</v>
      </c>
      <c r="O1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0.35069444444525288</v>
      </c>
      <c r="P1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1.5041666666729725</v>
      </c>
      <c r="S16" s="41">
        <f t="shared" si="0"/>
        <v>28.495833333327028</v>
      </c>
      <c r="T16" s="122">
        <f>Table436[[#This Row],[Total Hours in Service]]</f>
        <v>12.729166666666668</v>
      </c>
      <c r="U1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11</v>
      </c>
      <c r="V16" s="42">
        <f>Table4[[#This Row],[Total Interrruption]]-Table4[[#This Row],[Planned shutdown for construction activity ]]-Table4[[#This Row],[Planned shutdown for O&amp;M activity ]]</f>
        <v>13</v>
      </c>
      <c r="W1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1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13</v>
      </c>
      <c r="AD1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159.30000000000001</v>
      </c>
      <c r="AF1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 s="40">
        <f>Table4[[#This Row],[Load Interrupted (MW)]]-Table4[[#This Row],[Load at Restoration]]</f>
        <v>159.30000000000001</v>
      </c>
      <c r="AH1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15.156250000079307</v>
      </c>
      <c r="AI16" s="66">
        <f>(Table4[[#This Row],[Load Interrupted (MW)]]/0.85*1000)</f>
        <v>187411.76470588238</v>
      </c>
      <c r="AJ16" s="169" t="s">
        <v>457</v>
      </c>
    </row>
    <row r="17" spans="1:36" ht="17.25" hidden="1" customHeight="1" x14ac:dyDescent="0.35">
      <c r="A17" s="38" t="s">
        <v>171</v>
      </c>
      <c r="B17" s="39" t="s">
        <v>10</v>
      </c>
      <c r="C17" s="39" t="s">
        <v>221</v>
      </c>
      <c r="D17" s="38" t="s">
        <v>37</v>
      </c>
      <c r="E17" s="38" t="s">
        <v>269</v>
      </c>
      <c r="F1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13</v>
      </c>
      <c r="G1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4</v>
      </c>
      <c r="H17"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17"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3</v>
      </c>
      <c r="L17"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7</v>
      </c>
      <c r="M17"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1.4472222222029814</v>
      </c>
      <c r="O1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6.7361111112404615E-2</v>
      </c>
      <c r="P1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1.5826388888744987</v>
      </c>
      <c r="S17" s="41">
        <f t="shared" si="0"/>
        <v>28.417361111125501</v>
      </c>
      <c r="T17" s="122">
        <f>Table436[[#This Row],[Total Hours in Service]]</f>
        <v>18.643055555555563</v>
      </c>
      <c r="U1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10</v>
      </c>
      <c r="V17" s="42">
        <f>Table4[[#This Row],[Total Interrruption]]-Table4[[#This Row],[Planned shutdown for construction activity ]]-Table4[[#This Row],[Planned shutdown for O&amp;M activity ]]</f>
        <v>12</v>
      </c>
      <c r="W1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1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1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9</v>
      </c>
      <c r="AD1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1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131.30000000000001</v>
      </c>
      <c r="AF1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 s="40">
        <f>Table4[[#This Row],[Load Interrupted (MW)]]-Table4[[#This Row],[Load at Restoration]]</f>
        <v>131.30000000000001</v>
      </c>
      <c r="AH1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14.820347222068087</v>
      </c>
      <c r="AI17" s="66">
        <f>(Table4[[#This Row],[Load Interrupted (MW)]]/0.85*1000)</f>
        <v>154470.58823529416</v>
      </c>
      <c r="AJ17" s="169" t="s">
        <v>457</v>
      </c>
    </row>
    <row r="18" spans="1:36" ht="17.25" hidden="1" customHeight="1" x14ac:dyDescent="0.35">
      <c r="A18" s="38" t="s">
        <v>171</v>
      </c>
      <c r="B18" s="39" t="s">
        <v>10</v>
      </c>
      <c r="C18" s="39" t="s">
        <v>225</v>
      </c>
      <c r="D18" s="38" t="s">
        <v>38</v>
      </c>
      <c r="E18" s="38" t="s">
        <v>269</v>
      </c>
      <c r="F1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22</v>
      </c>
      <c r="G1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15</v>
      </c>
      <c r="H1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1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1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14</v>
      </c>
      <c r="L1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1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2.7777777766459621E-2</v>
      </c>
      <c r="O1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3.4027777779556345E-2</v>
      </c>
      <c r="P1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6.1805555546015967E-2</v>
      </c>
      <c r="S18" s="41">
        <f t="shared" si="0"/>
        <v>29.938194444453984</v>
      </c>
      <c r="T18" s="122">
        <f>Table436[[#This Row],[Total Hours in Service]]</f>
        <v>25.426388888888884</v>
      </c>
      <c r="U1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21</v>
      </c>
      <c r="V18" s="42">
        <f>Table4[[#This Row],[Total Interrruption]]-Table4[[#This Row],[Planned shutdown for construction activity ]]-Table4[[#This Row],[Planned shutdown for O&amp;M activity ]]</f>
        <v>21</v>
      </c>
      <c r="W1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17</v>
      </c>
      <c r="AD1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315.39999999999998</v>
      </c>
      <c r="AF1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 s="40">
        <f>Table4[[#This Row],[Load Interrupted (MW)]]-Table4[[#This Row],[Load at Restoration]]</f>
        <v>315.39999999999998</v>
      </c>
      <c r="AH1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-2.3898611112868817</v>
      </c>
      <c r="AI18" s="66">
        <f>(Table4[[#This Row],[Load Interrupted (MW)]]/0.85*1000)</f>
        <v>371058.82352941175</v>
      </c>
      <c r="AJ18" s="169" t="s">
        <v>457</v>
      </c>
    </row>
    <row r="19" spans="1:36" ht="17.25" hidden="1" customHeight="1" x14ac:dyDescent="0.35">
      <c r="A19" s="38" t="s">
        <v>171</v>
      </c>
      <c r="B19" s="39" t="s">
        <v>10</v>
      </c>
      <c r="C19" s="39" t="s">
        <v>225</v>
      </c>
      <c r="D19" s="38" t="s">
        <v>39</v>
      </c>
      <c r="E19" s="38" t="s">
        <v>269</v>
      </c>
      <c r="F1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19</v>
      </c>
      <c r="G1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10</v>
      </c>
      <c r="H1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1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5</v>
      </c>
      <c r="J1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9</v>
      </c>
      <c r="L1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1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6</v>
      </c>
      <c r="N1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1.5006944444394321</v>
      </c>
      <c r="O1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3.888888889196096E-2</v>
      </c>
      <c r="P1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1.5395833333313931</v>
      </c>
      <c r="S19" s="41">
        <f t="shared" si="0"/>
        <v>28.460416666668607</v>
      </c>
      <c r="T19" s="122">
        <f>Table436[[#This Row],[Total Hours in Service]]</f>
        <v>23.02986111111111</v>
      </c>
      <c r="U1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18</v>
      </c>
      <c r="V19" s="42">
        <f>Table4[[#This Row],[Total Interrruption]]-Table4[[#This Row],[Planned shutdown for construction activity ]]-Table4[[#This Row],[Planned shutdown for O&amp;M activity ]]</f>
        <v>18</v>
      </c>
      <c r="W1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14</v>
      </c>
      <c r="AD1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193.2</v>
      </c>
      <c r="AF1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 s="40">
        <f>Table4[[#This Row],[Load Interrupted (MW)]]-Table4[[#This Row],[Load at Restoration]]</f>
        <v>193.2</v>
      </c>
      <c r="AH1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14.18006944440058</v>
      </c>
      <c r="AI19" s="66">
        <f>(Table4[[#This Row],[Load Interrupted (MW)]]/0.85*1000)</f>
        <v>227294.11764705883</v>
      </c>
      <c r="AJ19" s="169" t="s">
        <v>457</v>
      </c>
    </row>
    <row r="20" spans="1:36" ht="17.25" hidden="1" customHeight="1" x14ac:dyDescent="0.35">
      <c r="A20" s="169" t="s">
        <v>171</v>
      </c>
      <c r="B20" s="39" t="s">
        <v>10</v>
      </c>
      <c r="C20" s="170" t="s">
        <v>225</v>
      </c>
      <c r="D20" s="38" t="s">
        <v>354</v>
      </c>
      <c r="E20" s="169" t="s">
        <v>269</v>
      </c>
      <c r="F2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2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2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2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4</v>
      </c>
      <c r="J2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2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2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20" s="41" t="e">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#VALUE!</v>
      </c>
      <c r="O2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0" s="41" t="e">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#VALUE!</v>
      </c>
      <c r="S20" s="41" t="e">
        <f t="shared" si="0"/>
        <v>#VALUE!</v>
      </c>
      <c r="T20" s="122">
        <f>Table436[[#This Row],[Total Hours in Service]]</f>
        <v>13.986111111111111</v>
      </c>
      <c r="U2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20" s="42">
        <f>Table4[[#This Row],[Total Interrruption]]-Table4[[#This Row],[Planned shutdown for construction activity ]]-Table4[[#This Row],[Planned shutdown for O&amp;M activity ]]</f>
        <v>8</v>
      </c>
      <c r="W2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5</v>
      </c>
      <c r="AD2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55.8</v>
      </c>
      <c r="AF2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0" s="40">
        <f>Table4[[#This Row],[Load Interrupted (MW)]]-Table4[[#This Row],[Load at Restoration]]</f>
        <v>55.8</v>
      </c>
      <c r="AH20" s="43" t="e">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#VALUE!</v>
      </c>
      <c r="AI20" s="66">
        <f>(Table4[[#This Row],[Load Interrupted (MW)]]/0.85*1000)</f>
        <v>65647.058823529413</v>
      </c>
      <c r="AJ20" s="169" t="s">
        <v>457</v>
      </c>
    </row>
    <row r="21" spans="1:36" s="157" customFormat="1" ht="17.25" hidden="1" customHeight="1" x14ac:dyDescent="0.35">
      <c r="A21" s="169" t="s">
        <v>176</v>
      </c>
      <c r="B21" s="170" t="s">
        <v>355</v>
      </c>
      <c r="C21" s="170" t="s">
        <v>224</v>
      </c>
      <c r="D21" s="169" t="s">
        <v>36</v>
      </c>
      <c r="E21" s="169" t="s">
        <v>270</v>
      </c>
      <c r="F21"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12</v>
      </c>
      <c r="G21"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21"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21"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10</v>
      </c>
      <c r="J2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1"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21"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11</v>
      </c>
      <c r="M21"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21"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2.0680555555445608</v>
      </c>
      <c r="O21"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1"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1"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1"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2.0680555555445608</v>
      </c>
      <c r="S21" s="122">
        <f t="shared" si="0"/>
        <v>27.931944444455439</v>
      </c>
      <c r="T21" s="122">
        <f>Table436[[#This Row],[Total Hours in Service]]</f>
        <v>8.9993055555555568</v>
      </c>
      <c r="U2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12</v>
      </c>
      <c r="V21" s="42">
        <f>Table4[[#This Row],[Total Interrruption]]-Table4[[#This Row],[Planned shutdown for construction activity ]]-Table4[[#This Row],[Planned shutdown for O&amp;M activity ]]</f>
        <v>12</v>
      </c>
      <c r="W2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1"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10</v>
      </c>
      <c r="AD2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1"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32.1</v>
      </c>
      <c r="AF21"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1" s="171">
        <f>Table4[[#This Row],[Load Interrupted (MW)]]-Table4[[#This Row],[Load at Restoration]]</f>
        <v>32.1</v>
      </c>
      <c r="AH2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4.68861111108854</v>
      </c>
      <c r="AI21" s="66">
        <f>(Table4[[#This Row],[Load Interrupted (MW)]]/0.85*1000)</f>
        <v>37764.705882352944</v>
      </c>
      <c r="AJ21" s="169" t="s">
        <v>459</v>
      </c>
    </row>
    <row r="22" spans="1:36" ht="17.25" customHeight="1" x14ac:dyDescent="0.35">
      <c r="A22" s="38" t="s">
        <v>176</v>
      </c>
      <c r="B22" s="39" t="s">
        <v>10</v>
      </c>
      <c r="C22" s="39" t="s">
        <v>224</v>
      </c>
      <c r="D22" s="38" t="s">
        <v>40</v>
      </c>
      <c r="E22" s="38" t="s">
        <v>269</v>
      </c>
      <c r="F2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22</v>
      </c>
      <c r="G2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7</v>
      </c>
      <c r="H2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6</v>
      </c>
      <c r="I2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8</v>
      </c>
      <c r="J2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5</v>
      </c>
      <c r="L2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10</v>
      </c>
      <c r="M2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2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-179132.00208333333</v>
      </c>
      <c r="O2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0.2541666666729725</v>
      </c>
      <c r="P2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-179131.74791666665</v>
      </c>
      <c r="S22" s="41">
        <f t="shared" si="0"/>
        <v>179161.74791666665</v>
      </c>
      <c r="T22" s="122">
        <f>Table436[[#This Row],[Total Hours in Service]]</f>
        <v>20.470138888888886</v>
      </c>
      <c r="U2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21</v>
      </c>
      <c r="V22" s="42">
        <f>Table4[[#This Row],[Total Interrruption]]-Table4[[#This Row],[Planned shutdown for construction activity ]]-Table4[[#This Row],[Planned shutdown for O&amp;M activity ]]</f>
        <v>21</v>
      </c>
      <c r="W2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2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2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14</v>
      </c>
      <c r="AD2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2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201.39999999999998</v>
      </c>
      <c r="AF2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2" s="40">
        <f>Table4[[#This Row],[Load Interrupted (MW)]]-Table4[[#This Row],[Load at Restoration]]</f>
        <v>201.39999999999998</v>
      </c>
      <c r="AH2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-1809229.665</v>
      </c>
      <c r="AI22" s="66">
        <f>(Table4[[#This Row],[Load Interrupted (MW)]]/0.85*1000)</f>
        <v>236941.17647058819</v>
      </c>
      <c r="AJ22" s="169" t="s">
        <v>457</v>
      </c>
    </row>
    <row r="23" spans="1:36" s="157" customFormat="1" ht="17.25" customHeight="1" x14ac:dyDescent="0.35">
      <c r="A23" s="169" t="s">
        <v>176</v>
      </c>
      <c r="B23" s="170" t="s">
        <v>10</v>
      </c>
      <c r="C23" s="170" t="s">
        <v>224</v>
      </c>
      <c r="D23" s="169" t="s">
        <v>500</v>
      </c>
      <c r="E23" s="169" t="s">
        <v>269</v>
      </c>
      <c r="F23"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23"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23"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23"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2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3"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23"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23"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23"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-44780.941666666673</v>
      </c>
      <c r="O23"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3"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3"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3"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-44780.941666666673</v>
      </c>
      <c r="S23" s="122">
        <f>Q$199-R23</f>
        <v>44810.941666666673</v>
      </c>
      <c r="T23" s="122">
        <f>Table436[[#This Row],[Total Hours in Service]]</f>
        <v>23.541666666666671</v>
      </c>
      <c r="U2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23" s="42">
        <f>Table4[[#This Row],[Total Interrruption]]-Table4[[#This Row],[Planned shutdown for construction activity ]]-Table4[[#This Row],[Planned shutdown for O&amp;M activity ]]</f>
        <v>3</v>
      </c>
      <c r="W2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3"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2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3"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0.30000000000000004</v>
      </c>
      <c r="AF23"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3" s="171">
        <f>Table4[[#This Row],[Load Interrupted (MW)]]-Table4[[#This Row],[Load at Restoration]]</f>
        <v>0.30000000000000004</v>
      </c>
      <c r="AH2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-4478.0941666666677</v>
      </c>
      <c r="AI23" s="66">
        <f>(Table4[[#This Row],[Load Interrupted (MW)]]/0.85*1000)</f>
        <v>352.94117647058829</v>
      </c>
      <c r="AJ23" s="169"/>
    </row>
    <row r="24" spans="1:36" ht="17.25" hidden="1" customHeight="1" x14ac:dyDescent="0.35">
      <c r="A24" s="38" t="s">
        <v>176</v>
      </c>
      <c r="B24" s="39" t="s">
        <v>10</v>
      </c>
      <c r="C24" s="39" t="s">
        <v>226</v>
      </c>
      <c r="D24" s="38" t="s">
        <v>41</v>
      </c>
      <c r="E24" s="38" t="s">
        <v>269</v>
      </c>
      <c r="F2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20</v>
      </c>
      <c r="G2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5</v>
      </c>
      <c r="H2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5</v>
      </c>
      <c r="I2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6</v>
      </c>
      <c r="J2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4</v>
      </c>
      <c r="L2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10</v>
      </c>
      <c r="M2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2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1.2368055555634783</v>
      </c>
      <c r="O2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-44783.424305555563</v>
      </c>
      <c r="P2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-44782.114583333336</v>
      </c>
      <c r="S24" s="41">
        <f t="shared" si="0"/>
        <v>44812.114583333336</v>
      </c>
      <c r="T24" s="122">
        <f>Table436[[#This Row],[Total Hours in Service]]</f>
        <v>18.262500000000003</v>
      </c>
      <c r="U2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16</v>
      </c>
      <c r="V24" s="42">
        <f>Table4[[#This Row],[Total Interrruption]]-Table4[[#This Row],[Planned shutdown for construction activity ]]-Table4[[#This Row],[Planned shutdown for O&amp;M activity ]]</f>
        <v>17</v>
      </c>
      <c r="W2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3</v>
      </c>
      <c r="Z2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2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3</v>
      </c>
      <c r="AC2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14</v>
      </c>
      <c r="AD2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3</v>
      </c>
      <c r="AE2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133</v>
      </c>
      <c r="AF2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4" s="40">
        <f>Table4[[#This Row],[Load Interrupted (MW)]]-Table4[[#This Row],[Load at Restoration]]</f>
        <v>133</v>
      </c>
      <c r="AH2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-147776.38645833335</v>
      </c>
      <c r="AI24" s="66">
        <f>(Table4[[#This Row],[Load Interrupted (MW)]]/0.85*1000)</f>
        <v>156470.58823529413</v>
      </c>
      <c r="AJ24" s="169" t="s">
        <v>457</v>
      </c>
    </row>
    <row r="25" spans="1:36" s="157" customFormat="1" ht="17.25" hidden="1" customHeight="1" x14ac:dyDescent="0.35">
      <c r="A25" s="169" t="s">
        <v>176</v>
      </c>
      <c r="B25" s="170" t="s">
        <v>10</v>
      </c>
      <c r="C25" s="170" t="s">
        <v>226</v>
      </c>
      <c r="D25" s="169" t="s">
        <v>462</v>
      </c>
      <c r="E25" s="169" t="s">
        <v>269</v>
      </c>
      <c r="F25"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25"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25"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25"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2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5"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25"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25"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25"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25"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5"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5"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5"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25" s="122">
        <f t="shared" si="0"/>
        <v>30</v>
      </c>
      <c r="T25" s="122">
        <f>Table436[[#This Row],[Total Hours in Service]]</f>
        <v>18.314583333333339</v>
      </c>
      <c r="U2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25" s="42">
        <f>Table4[[#This Row],[Total Interrruption]]-Table4[[#This Row],[Planned shutdown for construction activity ]]-Table4[[#This Row],[Planned shutdown for O&amp;M activity ]]</f>
        <v>0</v>
      </c>
      <c r="W2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5"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2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5"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25"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5" s="171">
        <f>Table4[[#This Row],[Load Interrupted (MW)]]-Table4[[#This Row],[Load at Restoration]]</f>
        <v>0</v>
      </c>
      <c r="AH2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25" s="66">
        <f>(Table4[[#This Row],[Load Interrupted (MW)]]/0.85*1000)</f>
        <v>0</v>
      </c>
      <c r="AJ25" s="169"/>
    </row>
    <row r="26" spans="1:36" s="157" customFormat="1" ht="17.25" hidden="1" customHeight="1" x14ac:dyDescent="0.35">
      <c r="A26" s="169" t="s">
        <v>176</v>
      </c>
      <c r="B26" s="170" t="s">
        <v>312</v>
      </c>
      <c r="C26" s="170" t="s">
        <v>353</v>
      </c>
      <c r="D26" s="169" t="s">
        <v>362</v>
      </c>
      <c r="E26" s="169" t="s">
        <v>269</v>
      </c>
      <c r="F26"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26"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26"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26"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2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6"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26"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26"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26"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26"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6"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6"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6"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26" s="122">
        <f t="shared" si="0"/>
        <v>30</v>
      </c>
      <c r="T26" s="122">
        <f>Table436[[#This Row],[Total Hours in Service]]</f>
        <v>15.309722222222218</v>
      </c>
      <c r="U2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26" s="42">
        <f>Table4[[#This Row],[Total Interrruption]]-Table4[[#This Row],[Planned shutdown for construction activity ]]-Table4[[#This Row],[Planned shutdown for O&amp;M activity ]]</f>
        <v>0</v>
      </c>
      <c r="W2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6"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2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6"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26"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6" s="171">
        <f>Table4[[#This Row],[Load Interrupted (MW)]]-Table4[[#This Row],[Load at Restoration]]</f>
        <v>0</v>
      </c>
      <c r="AH2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26" s="66">
        <f>(Table4[[#This Row],[Load Interrupted (MW)]]/0.85*1000)</f>
        <v>0</v>
      </c>
      <c r="AJ26" s="169" t="s">
        <v>461</v>
      </c>
    </row>
    <row r="27" spans="1:36" ht="17.25" hidden="1" customHeight="1" x14ac:dyDescent="0.35">
      <c r="A27" s="38" t="s">
        <v>176</v>
      </c>
      <c r="B27" s="39" t="s">
        <v>372</v>
      </c>
      <c r="C27" s="39" t="s">
        <v>353</v>
      </c>
      <c r="D27" s="38" t="s">
        <v>42</v>
      </c>
      <c r="E27" s="38" t="s">
        <v>269</v>
      </c>
      <c r="F2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2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2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5</v>
      </c>
      <c r="I2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2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2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2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2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-44781.270138888896</v>
      </c>
      <c r="O2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-44781.270138888896</v>
      </c>
      <c r="S27" s="41">
        <f t="shared" si="0"/>
        <v>44811.270138888896</v>
      </c>
      <c r="T27" s="122">
        <f>Table436[[#This Row],[Total Hours in Service]]</f>
        <v>25.497222222222224</v>
      </c>
      <c r="U2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27" s="42">
        <f>Table4[[#This Row],[Total Interrruption]]-Table4[[#This Row],[Planned shutdown for construction activity ]]-Table4[[#This Row],[Planned shutdown for O&amp;M activity ]]</f>
        <v>8</v>
      </c>
      <c r="W2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2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16.2</v>
      </c>
      <c r="AF2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7" s="40">
        <f>Table4[[#This Row],[Load Interrupted (MW)]]-Table4[[#This Row],[Load at Restoration]]</f>
        <v>16.2</v>
      </c>
      <c r="AH2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-111953.63284722224</v>
      </c>
      <c r="AI27" s="66">
        <f>(Table4[[#This Row],[Load Interrupted (MW)]]/0.85*1000)</f>
        <v>19058.823529411766</v>
      </c>
      <c r="AJ27" s="169" t="s">
        <v>457</v>
      </c>
    </row>
    <row r="28" spans="1:36" s="157" customFormat="1" ht="17.25" hidden="1" customHeight="1" x14ac:dyDescent="0.35">
      <c r="A28" s="169" t="s">
        <v>176</v>
      </c>
      <c r="B28" s="170" t="s">
        <v>372</v>
      </c>
      <c r="C28" s="170" t="s">
        <v>353</v>
      </c>
      <c r="D28" s="169" t="s">
        <v>370</v>
      </c>
      <c r="E28" s="169" t="s">
        <v>269</v>
      </c>
      <c r="F28"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14</v>
      </c>
      <c r="G28"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28"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9</v>
      </c>
      <c r="I28"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2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8"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28"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7</v>
      </c>
      <c r="M28"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28"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-44783.05000000001</v>
      </c>
      <c r="O28"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8"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8"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8"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-44782.426388888896</v>
      </c>
      <c r="S28" s="122">
        <f t="shared" si="0"/>
        <v>44812.426388888896</v>
      </c>
      <c r="T28" s="122">
        <f>Table436[[#This Row],[Total Hours in Service]]</f>
        <v>16.302777777777774</v>
      </c>
      <c r="U2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11</v>
      </c>
      <c r="V28" s="42">
        <f>Table4[[#This Row],[Total Interrruption]]-Table4[[#This Row],[Planned shutdown for construction activity ]]-Table4[[#This Row],[Planned shutdown for O&amp;M activity ]]</f>
        <v>14</v>
      </c>
      <c r="W2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3</v>
      </c>
      <c r="AA2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8"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8</v>
      </c>
      <c r="AD2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8"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68.8</v>
      </c>
      <c r="AF28"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8" s="171">
        <f>Table4[[#This Row],[Load Interrupted (MW)]]-Table4[[#This Row],[Load at Restoration]]</f>
        <v>68.8</v>
      </c>
      <c r="AH2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-22379.152708333389</v>
      </c>
      <c r="AI28" s="66">
        <f>(Table4[[#This Row],[Load Interrupted (MW)]]/0.85*1000)</f>
        <v>80941.176470588238</v>
      </c>
      <c r="AJ28" s="169" t="s">
        <v>461</v>
      </c>
    </row>
    <row r="29" spans="1:36" s="157" customFormat="1" ht="17.25" hidden="1" customHeight="1" x14ac:dyDescent="0.35">
      <c r="A29" s="169" t="s">
        <v>176</v>
      </c>
      <c r="B29" s="170" t="s">
        <v>372</v>
      </c>
      <c r="C29" s="170" t="s">
        <v>353</v>
      </c>
      <c r="D29" s="169" t="s">
        <v>371</v>
      </c>
      <c r="E29" s="169" t="s">
        <v>270</v>
      </c>
      <c r="F29"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16</v>
      </c>
      <c r="G29"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29"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14</v>
      </c>
      <c r="I29"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2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29"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29"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8</v>
      </c>
      <c r="M29"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7</v>
      </c>
      <c r="N29"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-44779.95208333333</v>
      </c>
      <c r="O29"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29"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29"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29"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-44779.95208333333</v>
      </c>
      <c r="S29" s="122">
        <f t="shared" si="0"/>
        <v>44809.95208333333</v>
      </c>
      <c r="T29" s="122">
        <f>Table436[[#This Row],[Total Hours in Service]]</f>
        <v>8.4583333333333321</v>
      </c>
      <c r="U2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16</v>
      </c>
      <c r="V29" s="42">
        <f>Table4[[#This Row],[Total Interrruption]]-Table4[[#This Row],[Planned shutdown for construction activity ]]-Table4[[#This Row],[Planned shutdown for O&amp;M activity ]]</f>
        <v>16</v>
      </c>
      <c r="W2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2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2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2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2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2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29"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2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29"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33.700000000000003</v>
      </c>
      <c r="AF29"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29" s="171">
        <f>Table4[[#This Row],[Load Interrupted (MW)]]-Table4[[#This Row],[Load at Restoration]]</f>
        <v>33.700000000000003</v>
      </c>
      <c r="AH2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-98516.578055555539</v>
      </c>
      <c r="AI29" s="66">
        <f>(Table4[[#This Row],[Load Interrupted (MW)]]/0.85*1000)</f>
        <v>39647.058823529413</v>
      </c>
      <c r="AJ29" s="169" t="s">
        <v>459</v>
      </c>
    </row>
    <row r="30" spans="1:36" s="157" customFormat="1" ht="17.25" hidden="1" customHeight="1" x14ac:dyDescent="0.35">
      <c r="A30" s="169" t="s">
        <v>176</v>
      </c>
      <c r="B30" s="170" t="s">
        <v>364</v>
      </c>
      <c r="C30" s="170" t="s">
        <v>353</v>
      </c>
      <c r="D30" s="169" t="s">
        <v>363</v>
      </c>
      <c r="E30" s="169" t="s">
        <v>270</v>
      </c>
      <c r="F30"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30"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30"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5</v>
      </c>
      <c r="I30"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3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0"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0"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6</v>
      </c>
      <c r="M30"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30"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5.1409722222088021</v>
      </c>
      <c r="O30"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0"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0"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0"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5.1409722222088021</v>
      </c>
      <c r="S30" s="122">
        <f t="shared" si="0"/>
        <v>24.859027777791198</v>
      </c>
      <c r="T30" s="122">
        <f>Table436[[#This Row],[Total Hours in Service]]</f>
        <v>7.3437500000000009</v>
      </c>
      <c r="U3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30" s="42">
        <f>Table4[[#This Row],[Total Interrruption]]-Table4[[#This Row],[Planned shutdown for construction activity ]]-Table4[[#This Row],[Planned shutdown for O&amp;M activity ]]</f>
        <v>8</v>
      </c>
      <c r="W3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0"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3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0"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8.5</v>
      </c>
      <c r="AF30"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0" s="171">
        <f>Table4[[#This Row],[Load Interrupted (MW)]]-Table4[[#This Row],[Load at Restoration]]</f>
        <v>8.5</v>
      </c>
      <c r="AH3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5.6031944444337567</v>
      </c>
      <c r="AI30" s="66">
        <f>(Table4[[#This Row],[Load Interrupted (MW)]]/0.85*1000)</f>
        <v>10000</v>
      </c>
      <c r="AJ30" s="169" t="s">
        <v>459</v>
      </c>
    </row>
    <row r="31" spans="1:36" ht="17.25" hidden="1" customHeight="1" x14ac:dyDescent="0.35">
      <c r="A31" s="169" t="s">
        <v>177</v>
      </c>
      <c r="B31" s="39" t="s">
        <v>11</v>
      </c>
      <c r="C31" s="170" t="s">
        <v>11</v>
      </c>
      <c r="D31" s="38" t="s">
        <v>43</v>
      </c>
      <c r="E31" s="38" t="s">
        <v>270</v>
      </c>
      <c r="F3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14</v>
      </c>
      <c r="G3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3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12</v>
      </c>
      <c r="I3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3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11</v>
      </c>
      <c r="M3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3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-89500.240277777761</v>
      </c>
      <c r="O3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-89500.240277777761</v>
      </c>
      <c r="S31" s="41">
        <f t="shared" si="0"/>
        <v>89530.240277777761</v>
      </c>
      <c r="T31" s="122">
        <f>Table436[[#This Row],[Total Hours in Service]]</f>
        <v>14.205555555555554</v>
      </c>
      <c r="U3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14</v>
      </c>
      <c r="V31" s="42">
        <f>Table4[[#This Row],[Total Interrruption]]-Table4[[#This Row],[Planned shutdown for construction activity ]]-Table4[[#This Row],[Planned shutdown for O&amp;M activity ]]</f>
        <v>14</v>
      </c>
      <c r="W3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3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23.1</v>
      </c>
      <c r="AF3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1" s="40">
        <f>Table4[[#This Row],[Load Interrupted (MW)]]-Table4[[#This Row],[Load at Restoration]]</f>
        <v>23.1</v>
      </c>
      <c r="AH3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-187934.00361111108</v>
      </c>
      <c r="AI31" s="66">
        <f>(Table4[[#This Row],[Load Interrupted (MW)]]/0.85*1000)</f>
        <v>27176.470588235297</v>
      </c>
      <c r="AJ31" s="169" t="s">
        <v>460</v>
      </c>
    </row>
    <row r="32" spans="1:36" ht="17.25" hidden="1" customHeight="1" x14ac:dyDescent="0.35">
      <c r="A32" s="38" t="s">
        <v>172</v>
      </c>
      <c r="B32" s="39" t="s">
        <v>6</v>
      </c>
      <c r="C32" s="39" t="s">
        <v>218</v>
      </c>
      <c r="D32" s="38" t="s">
        <v>23</v>
      </c>
      <c r="E32" s="38" t="s">
        <v>269</v>
      </c>
      <c r="F3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23</v>
      </c>
      <c r="G3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6</v>
      </c>
      <c r="H3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15</v>
      </c>
      <c r="I3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3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5</v>
      </c>
      <c r="L3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12</v>
      </c>
      <c r="M3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3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4.8333333333357587</v>
      </c>
      <c r="O3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0.47499999999854481</v>
      </c>
      <c r="P3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5.8277777777839219</v>
      </c>
      <c r="S32" s="41">
        <f t="shared" si="0"/>
        <v>24.172222222216078</v>
      </c>
      <c r="T32" s="122">
        <f>Table436[[#This Row],[Total Hours in Service]]</f>
        <v>12.541666666666666</v>
      </c>
      <c r="U3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20</v>
      </c>
      <c r="V32" s="42">
        <f>Table4[[#This Row],[Total Interrruption]]-Table4[[#This Row],[Planned shutdown for construction activity ]]-Table4[[#This Row],[Planned shutdown for O&amp;M activity ]]</f>
        <v>21</v>
      </c>
      <c r="W3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2</v>
      </c>
      <c r="Z3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11</v>
      </c>
      <c r="AD3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65.7</v>
      </c>
      <c r="AF3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2" s="40">
        <f>Table4[[#This Row],[Load Interrupted (MW)]]-Table4[[#This Row],[Load at Restoration]]</f>
        <v>65.7</v>
      </c>
      <c r="AH3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18.282152777820738</v>
      </c>
      <c r="AI32" s="66">
        <f>(Table4[[#This Row],[Load Interrupted (MW)]]/0.85*1000)</f>
        <v>77294.117647058825</v>
      </c>
      <c r="AJ32" s="169" t="s">
        <v>460</v>
      </c>
    </row>
    <row r="33" spans="1:36" s="157" customFormat="1" ht="17.25" hidden="1" customHeight="1" x14ac:dyDescent="0.35">
      <c r="A33" s="169" t="s">
        <v>172</v>
      </c>
      <c r="B33" s="170" t="s">
        <v>453</v>
      </c>
      <c r="C33" s="170" t="s">
        <v>218</v>
      </c>
      <c r="D33" s="169" t="s">
        <v>451</v>
      </c>
      <c r="E33" s="169" t="s">
        <v>269</v>
      </c>
      <c r="F33"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33"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33"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33"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3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3"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3"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33"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33"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33"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0.34097222222044365</v>
      </c>
      <c r="P33"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3"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3"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0.34097222222044365</v>
      </c>
      <c r="S33" s="122">
        <f t="shared" si="0"/>
        <v>29.659027777779556</v>
      </c>
      <c r="T33" s="122">
        <f>Table436[[#This Row],[Total Hours in Service]]</f>
        <v>23.318750000000001</v>
      </c>
      <c r="U3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33" s="42">
        <f>Table4[[#This Row],[Total Interrruption]]-Table4[[#This Row],[Planned shutdown for construction activity ]]-Table4[[#This Row],[Planned shutdown for O&amp;M activity ]]</f>
        <v>0</v>
      </c>
      <c r="W3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3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3"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3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3"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3.2</v>
      </c>
      <c r="AF33"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3" s="171">
        <f>Table4[[#This Row],[Load Interrupted (MW)]]-Table4[[#This Row],[Load at Restoration]]</f>
        <v>3.2</v>
      </c>
      <c r="AH3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1.0911111111054197</v>
      </c>
      <c r="AI33" s="66">
        <f>(Table4[[#This Row],[Load Interrupted (MW)]]/0.85*1000)</f>
        <v>3764.7058823529414</v>
      </c>
      <c r="AJ33" s="169"/>
    </row>
    <row r="34" spans="1:36" ht="17.25" hidden="1" customHeight="1" x14ac:dyDescent="0.35">
      <c r="A34" s="38" t="s">
        <v>172</v>
      </c>
      <c r="B34" s="39" t="s">
        <v>7</v>
      </c>
      <c r="C34" s="39" t="s">
        <v>219</v>
      </c>
      <c r="D34" s="38" t="s">
        <v>195</v>
      </c>
      <c r="E34" s="38" t="s">
        <v>270</v>
      </c>
      <c r="F3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12</v>
      </c>
      <c r="G3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3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7</v>
      </c>
      <c r="I3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3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3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11</v>
      </c>
      <c r="M3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3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1.7527777777431766</v>
      </c>
      <c r="O3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1.7527777777431766</v>
      </c>
      <c r="S34" s="41">
        <f t="shared" si="0"/>
        <v>28.247222222256823</v>
      </c>
      <c r="T34" s="122">
        <f>Table436[[#This Row],[Total Hours in Service]]</f>
        <v>18.999999999999996</v>
      </c>
      <c r="U3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12</v>
      </c>
      <c r="V34" s="42">
        <f>Table4[[#This Row],[Total Interrruption]]-Table4[[#This Row],[Planned shutdown for construction activity ]]-Table4[[#This Row],[Planned shutdown for O&amp;M activity ]]</f>
        <v>12</v>
      </c>
      <c r="W3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10</v>
      </c>
      <c r="AD3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31.1</v>
      </c>
      <c r="AF3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4" s="40">
        <f>Table4[[#This Row],[Load Interrupted (MW)]]-Table4[[#This Row],[Load at Restoration]]</f>
        <v>31.1</v>
      </c>
      <c r="AH3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4.7012499999138528</v>
      </c>
      <c r="AI34" s="66">
        <f>(Table4[[#This Row],[Load Interrupted (MW)]]/0.85*1000)</f>
        <v>36588.23529411765</v>
      </c>
      <c r="AJ34" s="169" t="s">
        <v>460</v>
      </c>
    </row>
    <row r="35" spans="1:36" ht="17.25" hidden="1" customHeight="1" x14ac:dyDescent="0.35">
      <c r="A35" s="38" t="s">
        <v>172</v>
      </c>
      <c r="B35" s="39" t="s">
        <v>7</v>
      </c>
      <c r="C35" s="39" t="s">
        <v>219</v>
      </c>
      <c r="D35" s="38" t="s">
        <v>25</v>
      </c>
      <c r="E35" s="38" t="s">
        <v>270</v>
      </c>
      <c r="F3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11</v>
      </c>
      <c r="G3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3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7</v>
      </c>
      <c r="I3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3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11</v>
      </c>
      <c r="M3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3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0.77222222222189885</v>
      </c>
      <c r="O3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0.77222222222189885</v>
      </c>
      <c r="S35" s="41">
        <f t="shared" ref="S35:S67" si="1">Q$199-R35</f>
        <v>29.227777777778101</v>
      </c>
      <c r="T35" s="122">
        <f>Table436[[#This Row],[Total Hours in Service]]</f>
        <v>22.791666666666664</v>
      </c>
      <c r="U3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11</v>
      </c>
      <c r="V35" s="42">
        <f>Table4[[#This Row],[Total Interrruption]]-Table4[[#This Row],[Planned shutdown for construction activity ]]-Table4[[#This Row],[Planned shutdown for O&amp;M activity ]]</f>
        <v>11</v>
      </c>
      <c r="W3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9</v>
      </c>
      <c r="AD3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36.299999999999997</v>
      </c>
      <c r="AF3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5" s="40">
        <f>Table4[[#This Row],[Load Interrupted (MW)]]-Table4[[#This Row],[Load at Restoration]]</f>
        <v>36.299999999999997</v>
      </c>
      <c r="AH3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3.2818749999889407</v>
      </c>
      <c r="AI35" s="66">
        <f>(Table4[[#This Row],[Load Interrupted (MW)]]/0.85*1000)</f>
        <v>42705.882352941175</v>
      </c>
      <c r="AJ35" s="169" t="s">
        <v>459</v>
      </c>
    </row>
    <row r="36" spans="1:36" ht="17.25" hidden="1" customHeight="1" x14ac:dyDescent="0.35">
      <c r="A36" s="38" t="s">
        <v>172</v>
      </c>
      <c r="B36" s="39" t="s">
        <v>7</v>
      </c>
      <c r="C36" s="39" t="s">
        <v>219</v>
      </c>
      <c r="D36" s="38" t="s">
        <v>26</v>
      </c>
      <c r="E36" s="38" t="s">
        <v>270</v>
      </c>
      <c r="F3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10</v>
      </c>
      <c r="G3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3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8</v>
      </c>
      <c r="I3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3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3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7</v>
      </c>
      <c r="M3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3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2.8090277777737356</v>
      </c>
      <c r="O3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2.8090277777737356</v>
      </c>
      <c r="S36" s="41">
        <f t="shared" si="1"/>
        <v>27.190972222226264</v>
      </c>
      <c r="T36" s="122">
        <f>Table436[[#This Row],[Total Hours in Service]]</f>
        <v>22.583333333333332</v>
      </c>
      <c r="U3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10</v>
      </c>
      <c r="V36" s="42">
        <f>Table4[[#This Row],[Total Interrruption]]-Table4[[#This Row],[Planned shutdown for construction activity ]]-Table4[[#This Row],[Planned shutdown for O&amp;M activity ]]</f>
        <v>10</v>
      </c>
      <c r="W3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7</v>
      </c>
      <c r="AD3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21.390277777777783</v>
      </c>
      <c r="AF3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6" s="40">
        <f>Table4[[#This Row],[Load Interrupted (MW)]]-Table4[[#This Row],[Load at Restoration]]</f>
        <v>21.390277777777783</v>
      </c>
      <c r="AH3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6.2283931327133253</v>
      </c>
      <c r="AI36" s="66">
        <f>(Table4[[#This Row],[Load Interrupted (MW)]]/0.85*1000)</f>
        <v>25165.032679738568</v>
      </c>
      <c r="AJ36" s="169" t="s">
        <v>459</v>
      </c>
    </row>
    <row r="37" spans="1:36" ht="17.25" hidden="1" customHeight="1" x14ac:dyDescent="0.35">
      <c r="A37" s="38" t="s">
        <v>172</v>
      </c>
      <c r="B37" s="39" t="s">
        <v>8</v>
      </c>
      <c r="C37" s="39" t="s">
        <v>220</v>
      </c>
      <c r="D37" s="38" t="s">
        <v>27</v>
      </c>
      <c r="E37" s="38" t="s">
        <v>270</v>
      </c>
      <c r="F3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15</v>
      </c>
      <c r="G3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3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7</v>
      </c>
      <c r="I3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7</v>
      </c>
      <c r="J3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13</v>
      </c>
      <c r="M3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3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4.0833333333357587</v>
      </c>
      <c r="O3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4.0833333333357587</v>
      </c>
      <c r="S37" s="41">
        <f t="shared" si="1"/>
        <v>25.916666666664241</v>
      </c>
      <c r="T37" s="122">
        <f>Table436[[#This Row],[Total Hours in Service]]</f>
        <v>12.027083333333334</v>
      </c>
      <c r="U3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15</v>
      </c>
      <c r="V37" s="42">
        <f>Table4[[#This Row],[Total Interrruption]]-Table4[[#This Row],[Planned shutdown for construction activity ]]-Table4[[#This Row],[Planned shutdown for O&amp;M activity ]]</f>
        <v>15</v>
      </c>
      <c r="W3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11</v>
      </c>
      <c r="AD3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46.8</v>
      </c>
      <c r="AF3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7" s="40">
        <f>Table4[[#This Row],[Load Interrupted (MW)]]-Table4[[#This Row],[Load at Restoration]]</f>
        <v>46.8</v>
      </c>
      <c r="AH3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10.426805555567261</v>
      </c>
      <c r="AI37" s="66">
        <f>(Table4[[#This Row],[Load Interrupted (MW)]]/0.85*1000)</f>
        <v>55058.823529411762</v>
      </c>
      <c r="AJ37" s="169" t="s">
        <v>459</v>
      </c>
    </row>
    <row r="38" spans="1:36" ht="17.25" hidden="1" customHeight="1" x14ac:dyDescent="0.35">
      <c r="A38" s="38" t="s">
        <v>170</v>
      </c>
      <c r="B38" s="39" t="s">
        <v>8</v>
      </c>
      <c r="C38" s="39" t="s">
        <v>215</v>
      </c>
      <c r="D38" s="38" t="s">
        <v>309</v>
      </c>
      <c r="E38" s="38" t="s">
        <v>269</v>
      </c>
      <c r="F3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3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3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3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3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3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3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8.5416666668606922E-2</v>
      </c>
      <c r="O3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9.0277777781011537E-2</v>
      </c>
      <c r="S38" s="41">
        <f t="shared" si="1"/>
        <v>29.909722222218988</v>
      </c>
      <c r="T38" s="122">
        <f>Table436[[#This Row],[Total Hours in Service]]</f>
        <v>27.048611111111114</v>
      </c>
      <c r="U3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38" s="42">
        <f>Table4[[#This Row],[Total Interrruption]]-Table4[[#This Row],[Planned shutdown for construction activity ]]-Table4[[#This Row],[Planned shutdown for O&amp;M activity ]]</f>
        <v>2</v>
      </c>
      <c r="W3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3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3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19.2</v>
      </c>
      <c r="AF3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8" s="40">
        <f>Table4[[#This Row],[Load Interrupted (MW)]]-Table4[[#This Row],[Load at Restoration]]</f>
        <v>19.2</v>
      </c>
      <c r="AH3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0.67333333336282519</v>
      </c>
      <c r="AI38" s="66">
        <f>(Table4[[#This Row],[Load Interrupted (MW)]]/0.85*1000)</f>
        <v>22588.235294117647</v>
      </c>
      <c r="AJ38" s="169" t="s">
        <v>457</v>
      </c>
    </row>
    <row r="39" spans="1:36" ht="17.25" hidden="1" customHeight="1" x14ac:dyDescent="0.35">
      <c r="A39" s="38" t="s">
        <v>172</v>
      </c>
      <c r="B39" s="39" t="s">
        <v>8</v>
      </c>
      <c r="C39" s="39" t="s">
        <v>220</v>
      </c>
      <c r="D39" s="38" t="s">
        <v>493</v>
      </c>
      <c r="E39" s="38" t="s">
        <v>269</v>
      </c>
      <c r="F3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3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3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3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3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3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3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3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3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3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3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3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3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39" s="41">
        <f t="shared" si="1"/>
        <v>30</v>
      </c>
      <c r="T39" s="122">
        <f>Table436[[#This Row],[Total Hours in Service]]</f>
        <v>27.453472222222228</v>
      </c>
      <c r="U3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39" s="42">
        <f>Table4[[#This Row],[Total Interrruption]]-Table4[[#This Row],[Planned shutdown for construction activity ]]-Table4[[#This Row],[Planned shutdown for O&amp;M activity ]]</f>
        <v>0</v>
      </c>
      <c r="W3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3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3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3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3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3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3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3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3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3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39" s="40">
        <f>Table4[[#This Row],[Load Interrupted (MW)]]-Table4[[#This Row],[Load at Restoration]]</f>
        <v>0</v>
      </c>
      <c r="AH3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39" s="66">
        <f>(Table4[[#This Row],[Load Interrupted (MW)]]/0.85*1000)</f>
        <v>0</v>
      </c>
      <c r="AJ39" s="169"/>
    </row>
    <row r="40" spans="1:36" ht="17.25" hidden="1" customHeight="1" x14ac:dyDescent="0.35">
      <c r="A40" s="38" t="s">
        <v>172</v>
      </c>
      <c r="B40" s="39" t="s">
        <v>8</v>
      </c>
      <c r="C40" s="39" t="s">
        <v>218</v>
      </c>
      <c r="D40" s="38" t="s">
        <v>472</v>
      </c>
      <c r="E40" s="38" t="s">
        <v>269</v>
      </c>
      <c r="F4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0" s="41">
        <f t="shared" si="1"/>
        <v>30</v>
      </c>
      <c r="T40" s="122">
        <f>Table436[[#This Row],[Total Hours in Service]]</f>
        <v>23.870138888888885</v>
      </c>
      <c r="U4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0" s="42">
        <f>Table4[[#This Row],[Total Interrruption]]-Table4[[#This Row],[Planned shutdown for construction activity ]]-Table4[[#This Row],[Planned shutdown for O&amp;M activity ]]</f>
        <v>0</v>
      </c>
      <c r="W4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0" s="40">
        <f>Table4[[#This Row],[Load Interrupted (MW)]]-Table4[[#This Row],[Load at Restoration]]</f>
        <v>0</v>
      </c>
      <c r="AH4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0" s="66">
        <f>(Table4[[#This Row],[Load Interrupted (MW)]]/0.85*1000)</f>
        <v>0</v>
      </c>
      <c r="AJ40" s="169" t="s">
        <v>457</v>
      </c>
    </row>
    <row r="41" spans="1:36" ht="17.25" hidden="1" customHeight="1" x14ac:dyDescent="0.35">
      <c r="A41" s="38" t="s">
        <v>172</v>
      </c>
      <c r="B41" s="39" t="s">
        <v>313</v>
      </c>
      <c r="C41" s="39" t="s">
        <v>218</v>
      </c>
      <c r="D41" s="38" t="s">
        <v>468</v>
      </c>
      <c r="E41" s="38" t="s">
        <v>269</v>
      </c>
      <c r="F4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1" s="41">
        <f t="shared" si="1"/>
        <v>30</v>
      </c>
      <c r="T41" s="122">
        <f>Table436[[#This Row],[Total Hours in Service]]</f>
        <v>22.231944444444444</v>
      </c>
      <c r="U4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1" s="42">
        <f>Table4[[#This Row],[Total Interrruption]]-Table4[[#This Row],[Planned shutdown for construction activity ]]-Table4[[#This Row],[Planned shutdown for O&amp;M activity ]]</f>
        <v>0</v>
      </c>
      <c r="W4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1" s="40">
        <f>Table4[[#This Row],[Load Interrupted (MW)]]-Table4[[#This Row],[Load at Restoration]]</f>
        <v>0</v>
      </c>
      <c r="AH4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1" s="66">
        <f>(Table4[[#This Row],[Load Interrupted (MW)]]/0.85*1000)</f>
        <v>0</v>
      </c>
      <c r="AJ41" s="169" t="s">
        <v>457</v>
      </c>
    </row>
    <row r="42" spans="1:36" ht="17.25" hidden="1" customHeight="1" x14ac:dyDescent="0.35">
      <c r="A42" s="38" t="s">
        <v>173</v>
      </c>
      <c r="B42" s="39" t="s">
        <v>12</v>
      </c>
      <c r="C42" s="39" t="s">
        <v>12</v>
      </c>
      <c r="D42" s="38" t="s">
        <v>47</v>
      </c>
      <c r="E42" s="38" t="s">
        <v>269</v>
      </c>
      <c r="F4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4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4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4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4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1.460416666661331</v>
      </c>
      <c r="O4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1.460416666661331</v>
      </c>
      <c r="S42" s="41">
        <f t="shared" si="1"/>
        <v>28.539583333338669</v>
      </c>
      <c r="T42" s="122">
        <f>Table436[[#This Row],[Total Hours in Service]]</f>
        <v>25.225000000000001</v>
      </c>
      <c r="U4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42" s="42">
        <f>Table4[[#This Row],[Total Interrruption]]-Table4[[#This Row],[Planned shutdown for construction activity ]]-Table4[[#This Row],[Planned shutdown for O&amp;M activity ]]</f>
        <v>4</v>
      </c>
      <c r="W4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13.5</v>
      </c>
      <c r="AF4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2" s="40">
        <f>Table4[[#This Row],[Load Interrupted (MW)]]-Table4[[#This Row],[Load at Restoration]]</f>
        <v>13.5</v>
      </c>
      <c r="AH4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4.9325694444269175</v>
      </c>
      <c r="AI42" s="66">
        <f>(Table4[[#This Row],[Load Interrupted (MW)]]/0.85*1000)</f>
        <v>15882.35294117647</v>
      </c>
      <c r="AJ42" s="169" t="s">
        <v>457</v>
      </c>
    </row>
    <row r="43" spans="1:36" ht="17.25" hidden="1" customHeight="1" x14ac:dyDescent="0.35">
      <c r="A43" s="38" t="s">
        <v>173</v>
      </c>
      <c r="B43" s="39" t="s">
        <v>12</v>
      </c>
      <c r="C43" s="39" t="s">
        <v>12</v>
      </c>
      <c r="D43" s="38" t="s">
        <v>308</v>
      </c>
      <c r="E43" s="38" t="s">
        <v>270</v>
      </c>
      <c r="F4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4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8</v>
      </c>
      <c r="I4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6</v>
      </c>
      <c r="M4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4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-55.536805555559113</v>
      </c>
      <c r="O4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-55.536805555559113</v>
      </c>
      <c r="S43" s="41">
        <f t="shared" si="1"/>
        <v>85.536805555559113</v>
      </c>
      <c r="T43" s="122">
        <f>Table436[[#This Row],[Total Hours in Service]]</f>
        <v>16.833333333333332</v>
      </c>
      <c r="U4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43" s="42">
        <f>Table4[[#This Row],[Total Interrruption]]-Table4[[#This Row],[Planned shutdown for construction activity ]]-Table4[[#This Row],[Planned shutdown for O&amp;M activity ]]</f>
        <v>8</v>
      </c>
      <c r="W4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4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5.1999999999999993</v>
      </c>
      <c r="AF4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3" s="40">
        <f>Table4[[#This Row],[Load Interrupted (MW)]]-Table4[[#This Row],[Load at Restoration]]</f>
        <v>5.1999999999999993</v>
      </c>
      <c r="AH4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-39.080625000001604</v>
      </c>
      <c r="AI43" s="66">
        <f>(Table4[[#This Row],[Load Interrupted (MW)]]/0.85*1000)</f>
        <v>6117.6470588235288</v>
      </c>
      <c r="AJ43" s="169" t="s">
        <v>460</v>
      </c>
    </row>
    <row r="44" spans="1:36" ht="17.25" hidden="1" customHeight="1" x14ac:dyDescent="0.35">
      <c r="A44" s="38" t="s">
        <v>173</v>
      </c>
      <c r="B44" s="39" t="s">
        <v>12</v>
      </c>
      <c r="C44" s="39" t="s">
        <v>228</v>
      </c>
      <c r="D44" s="38" t="s">
        <v>48</v>
      </c>
      <c r="E44" s="38" t="s">
        <v>270</v>
      </c>
      <c r="F4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4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4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4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4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-57.360416666662786</v>
      </c>
      <c r="O4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-57.360416666662786</v>
      </c>
      <c r="S44" s="41">
        <f t="shared" si="1"/>
        <v>87.360416666662786</v>
      </c>
      <c r="T44" s="122">
        <f>Table436[[#This Row],[Total Hours in Service]]</f>
        <v>10.015972222222222</v>
      </c>
      <c r="U4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44" s="42">
        <f>Table4[[#This Row],[Total Interrruption]]-Table4[[#This Row],[Planned shutdown for construction activity ]]-Table4[[#This Row],[Planned shutdown for O&amp;M activity ]]</f>
        <v>4</v>
      </c>
      <c r="W4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3.6</v>
      </c>
      <c r="AF4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4" s="40">
        <f>Table4[[#This Row],[Load Interrupted (MW)]]-Table4[[#This Row],[Load at Restoration]]</f>
        <v>3.6</v>
      </c>
      <c r="AH4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-51.6379166666622</v>
      </c>
      <c r="AI44" s="66">
        <f>(Table4[[#This Row],[Load Interrupted (MW)]]/0.85*1000)</f>
        <v>4235.2941176470586</v>
      </c>
      <c r="AJ44" s="169" t="s">
        <v>460</v>
      </c>
    </row>
    <row r="45" spans="1:36" ht="17.25" hidden="1" customHeight="1" x14ac:dyDescent="0.35">
      <c r="A45" s="38" t="s">
        <v>173</v>
      </c>
      <c r="B45" s="39" t="s">
        <v>12</v>
      </c>
      <c r="C45" s="39" t="s">
        <v>12</v>
      </c>
      <c r="D45" s="38" t="s">
        <v>49</v>
      </c>
      <c r="E45" s="38" t="s">
        <v>270</v>
      </c>
      <c r="F4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4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4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4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4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4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-0.2770833333270275</v>
      </c>
      <c r="O4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-0.2770833333270275</v>
      </c>
      <c r="S45" s="41">
        <f t="shared" si="1"/>
        <v>30.277083333327028</v>
      </c>
      <c r="T45" s="122">
        <f>Table436[[#This Row],[Total Hours in Service]]</f>
        <v>26.022222222222219</v>
      </c>
      <c r="U4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45" s="42">
        <f>Table4[[#This Row],[Total Interrruption]]-Table4[[#This Row],[Planned shutdown for construction activity ]]-Table4[[#This Row],[Planned shutdown for O&amp;M activity ]]</f>
        <v>4</v>
      </c>
      <c r="W4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8.5</v>
      </c>
      <c r="AF4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5" s="40">
        <f>Table4[[#This Row],[Load Interrupted (MW)]]-Table4[[#This Row],[Load at Restoration]]</f>
        <v>8.5</v>
      </c>
      <c r="AH4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0.45562500001324224</v>
      </c>
      <c r="AI45" s="66">
        <f>(Table4[[#This Row],[Load Interrupted (MW)]]/0.85*1000)</f>
        <v>10000</v>
      </c>
      <c r="AJ45" s="169" t="s">
        <v>457</v>
      </c>
    </row>
    <row r="46" spans="1:36" s="157" customFormat="1" ht="17.25" hidden="1" customHeight="1" x14ac:dyDescent="0.35">
      <c r="A46" s="169" t="s">
        <v>173</v>
      </c>
      <c r="B46" s="170" t="s">
        <v>12</v>
      </c>
      <c r="C46" s="170" t="s">
        <v>12</v>
      </c>
      <c r="D46" s="169" t="s">
        <v>463</v>
      </c>
      <c r="E46" s="169" t="s">
        <v>270</v>
      </c>
      <c r="F46"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6"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6"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6"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6"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6"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6"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6"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6"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6"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6"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6"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6" s="122">
        <f t="shared" si="1"/>
        <v>30</v>
      </c>
      <c r="T46" s="122">
        <f>Table436[[#This Row],[Total Hours in Service]]</f>
        <v>25.77708333333333</v>
      </c>
      <c r="U4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6" s="42">
        <f>Table4[[#This Row],[Total Interrruption]]-Table4[[#This Row],[Planned shutdown for construction activity ]]-Table4[[#This Row],[Planned shutdown for O&amp;M activity ]]</f>
        <v>0</v>
      </c>
      <c r="W4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6"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6"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6"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6" s="171">
        <f>Table4[[#This Row],[Load Interrupted (MW)]]-Table4[[#This Row],[Load at Restoration]]</f>
        <v>0</v>
      </c>
      <c r="AH4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6" s="66">
        <f>(Table4[[#This Row],[Load Interrupted (MW)]]/0.85*1000)</f>
        <v>0</v>
      </c>
      <c r="AJ46" s="169" t="s">
        <v>460</v>
      </c>
    </row>
    <row r="47" spans="1:36" s="157" customFormat="1" ht="17.25" hidden="1" customHeight="1" x14ac:dyDescent="0.35">
      <c r="A47" s="169" t="s">
        <v>173</v>
      </c>
      <c r="B47" s="170" t="s">
        <v>12</v>
      </c>
      <c r="C47" s="170" t="s">
        <v>12</v>
      </c>
      <c r="D47" s="169" t="s">
        <v>480</v>
      </c>
      <c r="E47" s="169" t="s">
        <v>269</v>
      </c>
      <c r="F47"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7"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7"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7"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7"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7"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7"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7"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7"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7"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7"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7"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7" s="122">
        <f t="shared" si="1"/>
        <v>30</v>
      </c>
      <c r="T47" s="122">
        <f>Table436[[#This Row],[Total Hours in Service]]</f>
        <v>22.125</v>
      </c>
      <c r="U4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7" s="42">
        <f>Table4[[#This Row],[Total Interrruption]]-Table4[[#This Row],[Planned shutdown for construction activity ]]-Table4[[#This Row],[Planned shutdown for O&amp;M activity ]]</f>
        <v>0</v>
      </c>
      <c r="W4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7"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7"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7"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7" s="171">
        <f>Table4[[#This Row],[Load Interrupted (MW)]]-Table4[[#This Row],[Load at Restoration]]</f>
        <v>0</v>
      </c>
      <c r="AH4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7" s="66">
        <f>(Table4[[#This Row],[Load Interrupted (MW)]]/0.85*1000)</f>
        <v>0</v>
      </c>
      <c r="AJ47" s="169" t="s">
        <v>457</v>
      </c>
    </row>
    <row r="48" spans="1:36" s="157" customFormat="1" ht="17.25" hidden="1" customHeight="1" x14ac:dyDescent="0.35">
      <c r="A48" s="169" t="s">
        <v>173</v>
      </c>
      <c r="B48" s="170" t="s">
        <v>454</v>
      </c>
      <c r="C48" s="170" t="s">
        <v>228</v>
      </c>
      <c r="D48" s="169" t="s">
        <v>479</v>
      </c>
      <c r="E48" s="169" t="s">
        <v>269</v>
      </c>
      <c r="F48"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48"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48"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8"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4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8"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48"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48"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8"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48"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8"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8"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8"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48" s="122">
        <f t="shared" si="1"/>
        <v>30</v>
      </c>
      <c r="T48" s="122">
        <f>Table436[[#This Row],[Total Hours in Service]]</f>
        <v>29.62222222222222</v>
      </c>
      <c r="U4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48" s="42">
        <f>Table4[[#This Row],[Total Interrruption]]-Table4[[#This Row],[Planned shutdown for construction activity ]]-Table4[[#This Row],[Planned shutdown for O&amp;M activity ]]</f>
        <v>0</v>
      </c>
      <c r="W4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8"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4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8"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48"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8" s="171">
        <f>Table4[[#This Row],[Load Interrupted (MW)]]-Table4[[#This Row],[Load at Restoration]]</f>
        <v>0</v>
      </c>
      <c r="AH4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48" s="66">
        <f>(Table4[[#This Row],[Load Interrupted (MW)]]/0.85*1000)</f>
        <v>0</v>
      </c>
      <c r="AJ48" s="169" t="s">
        <v>457</v>
      </c>
    </row>
    <row r="49" spans="1:36" s="157" customFormat="1" ht="17.25" hidden="1" customHeight="1" x14ac:dyDescent="0.35">
      <c r="A49" s="169" t="s">
        <v>173</v>
      </c>
      <c r="B49" s="170" t="s">
        <v>454</v>
      </c>
      <c r="C49" s="170" t="s">
        <v>228</v>
      </c>
      <c r="D49" s="169" t="s">
        <v>464</v>
      </c>
      <c r="E49" s="169" t="s">
        <v>269</v>
      </c>
      <c r="F49"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49"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49"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49"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4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49"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49"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49"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49"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0.34722222221898846</v>
      </c>
      <c r="O49"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49"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49"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49"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0.34722222221898846</v>
      </c>
      <c r="S49" s="122">
        <f t="shared" si="1"/>
        <v>29.652777777781012</v>
      </c>
      <c r="T49" s="122">
        <f>Table436[[#This Row],[Total Hours in Service]]</f>
        <v>29.564583333333335</v>
      </c>
      <c r="U4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49" s="42">
        <f>Table4[[#This Row],[Total Interrruption]]-Table4[[#This Row],[Planned shutdown for construction activity ]]-Table4[[#This Row],[Planned shutdown for O&amp;M activity ]]</f>
        <v>2</v>
      </c>
      <c r="W4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4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4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4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4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4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49"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4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49"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3.7</v>
      </c>
      <c r="AF49"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49" s="171">
        <f>Table4[[#This Row],[Load Interrupted (MW)]]-Table4[[#This Row],[Load at Restoration]]</f>
        <v>3.7</v>
      </c>
      <c r="AH4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0.63249999999388828</v>
      </c>
      <c r="AI49" s="66">
        <f>(Table4[[#This Row],[Load Interrupted (MW)]]/0.85*1000)</f>
        <v>4352.9411764705892</v>
      </c>
      <c r="AJ49" s="169" t="s">
        <v>458</v>
      </c>
    </row>
    <row r="50" spans="1:36" s="157" customFormat="1" ht="17.25" hidden="1" customHeight="1" x14ac:dyDescent="0.35">
      <c r="A50" s="169" t="s">
        <v>173</v>
      </c>
      <c r="B50" s="170" t="s">
        <v>454</v>
      </c>
      <c r="C50" s="170" t="s">
        <v>228</v>
      </c>
      <c r="D50" s="169" t="s">
        <v>498</v>
      </c>
      <c r="E50" s="169" t="s">
        <v>269</v>
      </c>
      <c r="F50"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50"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0"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50"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0"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0"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50"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50"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50"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0"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0"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0"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0.48680555554892635</v>
      </c>
      <c r="S50" s="122">
        <f>Q$199-R50</f>
        <v>29.513194444451074</v>
      </c>
      <c r="T50" s="122">
        <f>Table436[[#This Row],[Total Hours in Service]]</f>
        <v>29.62222222222222</v>
      </c>
      <c r="U5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50" s="42">
        <f>Table4[[#This Row],[Total Interrruption]]-Table4[[#This Row],[Planned shutdown for construction activity ]]-Table4[[#This Row],[Planned shutdown for O&amp;M activity ]]</f>
        <v>1</v>
      </c>
      <c r="W5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5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0"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5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0"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0.2</v>
      </c>
      <c r="AF50"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0" s="171">
        <f>Table4[[#This Row],[Load Interrupted (MW)]]-Table4[[#This Row],[Load at Restoration]]</f>
        <v>0.2</v>
      </c>
      <c r="AH5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9.7361111109785278E-2</v>
      </c>
      <c r="AI50" s="66">
        <f>(Table4[[#This Row],[Load Interrupted (MW)]]/0.85*1000)</f>
        <v>235.29411764705884</v>
      </c>
      <c r="AJ50" s="169"/>
    </row>
    <row r="51" spans="1:36" ht="17.25" hidden="1" customHeight="1" x14ac:dyDescent="0.35">
      <c r="A51" s="38" t="s">
        <v>177</v>
      </c>
      <c r="B51" s="39" t="s">
        <v>11</v>
      </c>
      <c r="C51" s="39" t="s">
        <v>227</v>
      </c>
      <c r="D51" s="38" t="s">
        <v>44</v>
      </c>
      <c r="E51" s="38" t="s">
        <v>270</v>
      </c>
      <c r="F5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14</v>
      </c>
      <c r="G5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5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10</v>
      </c>
      <c r="I5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5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12</v>
      </c>
      <c r="M5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5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2.3868055555576575</v>
      </c>
      <c r="O5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2.3868055555576575</v>
      </c>
      <c r="S51" s="41">
        <f t="shared" si="1"/>
        <v>27.613194444442343</v>
      </c>
      <c r="T51" s="122">
        <f>Table436[[#This Row],[Total Hours in Service]]</f>
        <v>15.864583333333336</v>
      </c>
      <c r="U5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14</v>
      </c>
      <c r="V51" s="42">
        <f>Table4[[#This Row],[Total Interrruption]]-Table4[[#This Row],[Planned shutdown for construction activity ]]-Table4[[#This Row],[Planned shutdown for O&amp;M activity ]]</f>
        <v>14</v>
      </c>
      <c r="W5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11</v>
      </c>
      <c r="AD5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38.200000000000003</v>
      </c>
      <c r="AF5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1" s="40">
        <f>Table4[[#This Row],[Load Interrupted (MW)]]-Table4[[#This Row],[Load at Restoration]]</f>
        <v>38.200000000000003</v>
      </c>
      <c r="AH5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6.7096527778063315</v>
      </c>
      <c r="AI51" s="66">
        <f>(Table4[[#This Row],[Load Interrupted (MW)]]/0.85*1000)</f>
        <v>44941.176470588238</v>
      </c>
      <c r="AJ51" s="169" t="s">
        <v>458</v>
      </c>
    </row>
    <row r="52" spans="1:36" ht="17.25" hidden="1" customHeight="1" x14ac:dyDescent="0.35">
      <c r="A52" s="38" t="s">
        <v>177</v>
      </c>
      <c r="B52" s="39" t="s">
        <v>11</v>
      </c>
      <c r="C52" s="39" t="s">
        <v>11</v>
      </c>
      <c r="D52" s="38" t="s">
        <v>45</v>
      </c>
      <c r="E52" s="38" t="s">
        <v>270</v>
      </c>
      <c r="F5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13</v>
      </c>
      <c r="G5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13</v>
      </c>
      <c r="I5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7</v>
      </c>
      <c r="M5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5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-134277.44236111111</v>
      </c>
      <c r="O5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-134277.44236111111</v>
      </c>
      <c r="S52" s="41">
        <f t="shared" si="1"/>
        <v>134307.44236111111</v>
      </c>
      <c r="T52" s="122">
        <f>Table436[[#This Row],[Total Hours in Service]]</f>
        <v>11.593055555555557</v>
      </c>
      <c r="U5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13</v>
      </c>
      <c r="V52" s="42">
        <f>Table4[[#This Row],[Total Interrruption]]-Table4[[#This Row],[Planned shutdown for construction activity ]]-Table4[[#This Row],[Planned shutdown for O&amp;M activity ]]</f>
        <v>13</v>
      </c>
      <c r="W5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5</v>
      </c>
      <c r="AD5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28.1</v>
      </c>
      <c r="AF5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2" s="40">
        <f>Table4[[#This Row],[Load Interrupted (MW)]]-Table4[[#This Row],[Load at Restoration]]</f>
        <v>28.1</v>
      </c>
      <c r="AH5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-290848.86729166663</v>
      </c>
      <c r="AI52" s="66">
        <f>(Table4[[#This Row],[Load Interrupted (MW)]]/0.85*1000)</f>
        <v>33058.823529411769</v>
      </c>
      <c r="AJ52" s="169" t="s">
        <v>460</v>
      </c>
    </row>
    <row r="53" spans="1:36" ht="17.25" hidden="1" customHeight="1" x14ac:dyDescent="0.35">
      <c r="A53" s="38" t="s">
        <v>177</v>
      </c>
      <c r="B53" s="39" t="s">
        <v>11</v>
      </c>
      <c r="C53" s="39" t="s">
        <v>11</v>
      </c>
      <c r="D53" s="38" t="s">
        <v>46</v>
      </c>
      <c r="E53" s="38" t="s">
        <v>269</v>
      </c>
      <c r="F5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5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5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5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5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5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0.75069444443215616</v>
      </c>
      <c r="O5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0.75069444443215616</v>
      </c>
      <c r="S53" s="41">
        <f t="shared" si="1"/>
        <v>29.249305555567844</v>
      </c>
      <c r="T53" s="122">
        <f>Table436[[#This Row],[Total Hours in Service]]</f>
        <v>26.844444444444441</v>
      </c>
      <c r="U5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53" s="42">
        <f>Table4[[#This Row],[Total Interrruption]]-Table4[[#This Row],[Planned shutdown for construction activity ]]-Table4[[#This Row],[Planned shutdown for O&amp;M activity ]]</f>
        <v>4</v>
      </c>
      <c r="W5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5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17.899999999999999</v>
      </c>
      <c r="AF5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3" s="40">
        <f>Table4[[#This Row],[Load Interrupted (MW)]]-Table4[[#This Row],[Load at Restoration]]</f>
        <v>17.899999999999999</v>
      </c>
      <c r="AH5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3.2022916666115635</v>
      </c>
      <c r="AI53" s="66">
        <f>(Table4[[#This Row],[Load Interrupted (MW)]]/0.85*1000)</f>
        <v>21058.823529411766</v>
      </c>
      <c r="AJ53" s="169" t="s">
        <v>457</v>
      </c>
    </row>
    <row r="54" spans="1:36" ht="17.25" hidden="1" customHeight="1" x14ac:dyDescent="0.35">
      <c r="A54" s="38" t="s">
        <v>174</v>
      </c>
      <c r="B54" s="39" t="s">
        <v>14</v>
      </c>
      <c r="C54" s="39" t="s">
        <v>231</v>
      </c>
      <c r="D54" s="38" t="s">
        <v>179</v>
      </c>
      <c r="E54" s="38" t="s">
        <v>269</v>
      </c>
      <c r="F5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5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5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5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5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5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-42584.73750000001</v>
      </c>
      <c r="O5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-42584.719444444454</v>
      </c>
      <c r="S54" s="41">
        <f t="shared" si="1"/>
        <v>42614.719444444454</v>
      </c>
      <c r="T54" s="122">
        <f>Table436[[#This Row],[Total Hours in Service]]</f>
        <v>26.462500000000002</v>
      </c>
      <c r="U5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54" s="42">
        <f>Table4[[#This Row],[Total Interrruption]]-Table4[[#This Row],[Planned shutdown for construction activity ]]-Table4[[#This Row],[Planned shutdown for O&amp;M activity ]]</f>
        <v>7</v>
      </c>
      <c r="W5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5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5</v>
      </c>
      <c r="AD5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19.100000000000001</v>
      </c>
      <c r="AF5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4" s="40">
        <f>Table4[[#This Row],[Load Interrupted (MW)]]-Table4[[#This Row],[Load at Restoration]]</f>
        <v>19.100000000000001</v>
      </c>
      <c r="AH5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-21510.710208333348</v>
      </c>
      <c r="AI54" s="66">
        <f>(Table4[[#This Row],[Load Interrupted (MW)]]/0.85*1000)</f>
        <v>22470.588235294119</v>
      </c>
      <c r="AJ54" s="169" t="s">
        <v>457</v>
      </c>
    </row>
    <row r="55" spans="1:36" ht="17.25" hidden="1" customHeight="1" x14ac:dyDescent="0.35">
      <c r="A55" s="38" t="s">
        <v>174</v>
      </c>
      <c r="B55" s="39" t="s">
        <v>14</v>
      </c>
      <c r="C55" s="39" t="s">
        <v>231</v>
      </c>
      <c r="D55" s="38" t="s">
        <v>54</v>
      </c>
      <c r="E55" s="38" t="s">
        <v>269</v>
      </c>
      <c r="F5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5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5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5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5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5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55" s="41">
        <f t="shared" si="1"/>
        <v>30</v>
      </c>
      <c r="T55" s="122">
        <f>Table436[[#This Row],[Total Hours in Service]]</f>
        <v>29.667361111111116</v>
      </c>
      <c r="U5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55" s="42">
        <f>Table4[[#This Row],[Total Interrruption]]-Table4[[#This Row],[Planned shutdown for construction activity ]]-Table4[[#This Row],[Planned shutdown for O&amp;M activity ]]</f>
        <v>0</v>
      </c>
      <c r="W5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5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5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5" s="40">
        <f>Table4[[#This Row],[Load Interrupted (MW)]]-Table4[[#This Row],[Load at Restoration]]</f>
        <v>0</v>
      </c>
      <c r="AH5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55" s="66">
        <f>(Table4[[#This Row],[Load Interrupted (MW)]]/0.85*1000)</f>
        <v>0</v>
      </c>
      <c r="AJ55" s="169" t="s">
        <v>457</v>
      </c>
    </row>
    <row r="56" spans="1:36" ht="17.25" hidden="1" customHeight="1" x14ac:dyDescent="0.35">
      <c r="A56" s="38" t="s">
        <v>174</v>
      </c>
      <c r="B56" s="39" t="s">
        <v>14</v>
      </c>
      <c r="C56" s="39" t="s">
        <v>231</v>
      </c>
      <c r="D56" s="38" t="s">
        <v>55</v>
      </c>
      <c r="E56" s="38" t="s">
        <v>270</v>
      </c>
      <c r="F5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5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5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5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5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5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56" s="41">
        <f t="shared" si="1"/>
        <v>30</v>
      </c>
      <c r="T56" s="122">
        <f>Table436[[#This Row],[Total Hours in Service]]</f>
        <v>22.834722222222222</v>
      </c>
      <c r="U5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56" s="42">
        <f>Table4[[#This Row],[Total Interrruption]]-Table4[[#This Row],[Planned shutdown for construction activity ]]-Table4[[#This Row],[Planned shutdown for O&amp;M activity ]]</f>
        <v>1</v>
      </c>
      <c r="W5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5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3.5</v>
      </c>
      <c r="AF5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6" s="40">
        <f>Table4[[#This Row],[Load Interrupted (MW)]]-Table4[[#This Row],[Load at Restoration]]</f>
        <v>3.5</v>
      </c>
      <c r="AH5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56" s="66">
        <f>(Table4[[#This Row],[Load Interrupted (MW)]]/0.85*1000)</f>
        <v>4117.6470588235297</v>
      </c>
      <c r="AJ56" s="169" t="s">
        <v>460</v>
      </c>
    </row>
    <row r="57" spans="1:36" ht="17.25" hidden="1" customHeight="1" x14ac:dyDescent="0.35">
      <c r="A57" s="38" t="s">
        <v>174</v>
      </c>
      <c r="B57" s="39" t="s">
        <v>14</v>
      </c>
      <c r="C57" s="39" t="s">
        <v>232</v>
      </c>
      <c r="D57" s="38" t="s">
        <v>314</v>
      </c>
      <c r="E57" s="38" t="s">
        <v>270</v>
      </c>
      <c r="F5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5</v>
      </c>
      <c r="G5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5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5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5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5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0.23263888888322981</v>
      </c>
      <c r="O5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0.23263888888322981</v>
      </c>
      <c r="S57" s="41">
        <f t="shared" si="1"/>
        <v>29.76736111111677</v>
      </c>
      <c r="T57" s="122">
        <f>Table436[[#This Row],[Total Hours in Service]]</f>
        <v>24.477083333333326</v>
      </c>
      <c r="U5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5</v>
      </c>
      <c r="V57" s="42">
        <f>Table4[[#This Row],[Total Interrruption]]-Table4[[#This Row],[Planned shutdown for construction activity ]]-Table4[[#This Row],[Planned shutdown for O&amp;M activity ]]</f>
        <v>5</v>
      </c>
      <c r="W5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5</v>
      </c>
      <c r="AD5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22.4</v>
      </c>
      <c r="AF5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7" s="40">
        <f>Table4[[#This Row],[Load Interrupted (MW)]]-Table4[[#This Row],[Load at Restoration]]</f>
        <v>22.4</v>
      </c>
      <c r="AH5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1.0170138888672229</v>
      </c>
      <c r="AI57" s="66">
        <f>(Table4[[#This Row],[Load Interrupted (MW)]]/0.85*1000)</f>
        <v>26352.941176470587</v>
      </c>
      <c r="AJ57" s="169" t="s">
        <v>460</v>
      </c>
    </row>
    <row r="58" spans="1:36" ht="17.25" hidden="1" customHeight="1" x14ac:dyDescent="0.35">
      <c r="A58" s="38" t="s">
        <v>174</v>
      </c>
      <c r="B58" s="39" t="s">
        <v>14</v>
      </c>
      <c r="C58" s="39" t="s">
        <v>231</v>
      </c>
      <c r="D58" s="38" t="s">
        <v>441</v>
      </c>
      <c r="E58" s="38" t="s">
        <v>269</v>
      </c>
      <c r="F5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5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5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5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5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5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58" s="41">
        <f t="shared" si="1"/>
        <v>30</v>
      </c>
      <c r="T58" s="122">
        <f>Table436[[#This Row],[Total Hours in Service]]</f>
        <v>0</v>
      </c>
      <c r="U5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58" s="42">
        <f>Table4[[#This Row],[Total Interrruption]]-Table4[[#This Row],[Planned shutdown for construction activity ]]-Table4[[#This Row],[Planned shutdown for O&amp;M activity ]]</f>
        <v>0</v>
      </c>
      <c r="W5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5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5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8" s="40">
        <f>Table4[[#This Row],[Load Interrupted (MW)]]-Table4[[#This Row],[Load at Restoration]]</f>
        <v>0</v>
      </c>
      <c r="AH5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58" s="66">
        <f>(Table4[[#This Row],[Load Interrupted (MW)]]/0.85*1000)</f>
        <v>0</v>
      </c>
      <c r="AJ58" s="169" t="s">
        <v>457</v>
      </c>
    </row>
    <row r="59" spans="1:36" ht="17.25" hidden="1" customHeight="1" x14ac:dyDescent="0.35">
      <c r="A59" s="38" t="s">
        <v>174</v>
      </c>
      <c r="B59" s="39" t="s">
        <v>14</v>
      </c>
      <c r="C59" s="39" t="s">
        <v>232</v>
      </c>
      <c r="D59" s="38" t="s">
        <v>56</v>
      </c>
      <c r="E59" s="38" t="s">
        <v>269</v>
      </c>
      <c r="F5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5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5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5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5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5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5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5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5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0.45486111110949423</v>
      </c>
      <c r="O5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5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5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5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0.45486111110949423</v>
      </c>
      <c r="S59" s="41">
        <f t="shared" si="1"/>
        <v>29.545138888890506</v>
      </c>
      <c r="T59" s="122">
        <f>Table436[[#This Row],[Total Hours in Service]]</f>
        <v>23.828472222222221</v>
      </c>
      <c r="U5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59" s="42">
        <f>Table4[[#This Row],[Total Interrruption]]-Table4[[#This Row],[Planned shutdown for construction activity ]]-Table4[[#This Row],[Planned shutdown for O&amp;M activity ]]</f>
        <v>3</v>
      </c>
      <c r="W5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5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5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5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5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5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5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5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5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12.6</v>
      </c>
      <c r="AF5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59" s="40">
        <f>Table4[[#This Row],[Load Interrupted (MW)]]-Table4[[#This Row],[Load at Restoration]]</f>
        <v>12.6</v>
      </c>
      <c r="AH5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1.8588888888814836</v>
      </c>
      <c r="AI59" s="66">
        <f>(Table4[[#This Row],[Load Interrupted (MW)]]/0.85*1000)</f>
        <v>14823.529411764706</v>
      </c>
      <c r="AJ59" s="169" t="s">
        <v>457</v>
      </c>
    </row>
    <row r="60" spans="1:36" ht="17.25" hidden="1" customHeight="1" x14ac:dyDescent="0.35">
      <c r="A60" s="38" t="s">
        <v>174</v>
      </c>
      <c r="B60" s="39" t="s">
        <v>230</v>
      </c>
      <c r="C60" s="39" t="s">
        <v>230</v>
      </c>
      <c r="D60" s="38" t="s">
        <v>53</v>
      </c>
      <c r="E60" s="38" t="s">
        <v>269</v>
      </c>
      <c r="F6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6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6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6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6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60" s="41">
        <f t="shared" si="1"/>
        <v>30</v>
      </c>
      <c r="T60" s="122">
        <f>Table436[[#This Row],[Total Hours in Service]]</f>
        <v>29.791666666666664</v>
      </c>
      <c r="U6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60" s="42">
        <f>Table4[[#This Row],[Total Interrruption]]-Table4[[#This Row],[Planned shutdown for construction activity ]]-Table4[[#This Row],[Planned shutdown for O&amp;M activity ]]</f>
        <v>0</v>
      </c>
      <c r="W6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6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0" s="40">
        <f>Table4[[#This Row],[Load Interrupted (MW)]]-Table4[[#This Row],[Load at Restoration]]</f>
        <v>0</v>
      </c>
      <c r="AH6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60" s="66">
        <f>(Table4[[#This Row],[Load Interrupted (MW)]]/0.85*1000)</f>
        <v>0</v>
      </c>
      <c r="AJ60" s="169" t="s">
        <v>457</v>
      </c>
    </row>
    <row r="61" spans="1:36" ht="17.25" hidden="1" customHeight="1" x14ac:dyDescent="0.35">
      <c r="A61" s="38" t="s">
        <v>174</v>
      </c>
      <c r="B61" s="39" t="s">
        <v>230</v>
      </c>
      <c r="C61" s="39" t="s">
        <v>230</v>
      </c>
      <c r="D61" s="38" t="s">
        <v>315</v>
      </c>
      <c r="E61" s="38" t="s">
        <v>270</v>
      </c>
      <c r="F6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6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6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6</v>
      </c>
      <c r="I6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7</v>
      </c>
      <c r="M6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6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2.5715277777708252</v>
      </c>
      <c r="O6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2.5715277777708252</v>
      </c>
      <c r="S61" s="41">
        <f t="shared" si="1"/>
        <v>27.428472222229175</v>
      </c>
      <c r="T61" s="122">
        <f>Table436[[#This Row],[Total Hours in Service]]</f>
        <v>15.583333333333336</v>
      </c>
      <c r="U6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61" s="42">
        <f>Table4[[#This Row],[Total Interrruption]]-Table4[[#This Row],[Planned shutdown for construction activity ]]-Table4[[#This Row],[Planned shutdown for O&amp;M activity ]]</f>
        <v>8</v>
      </c>
      <c r="W6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6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13.9</v>
      </c>
      <c r="AF6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1" s="40">
        <f>Table4[[#This Row],[Load Interrupted (MW)]]-Table4[[#This Row],[Load at Restoration]]</f>
        <v>13.9</v>
      </c>
      <c r="AH6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4.838055555553729</v>
      </c>
      <c r="AI61" s="66">
        <f>(Table4[[#This Row],[Load Interrupted (MW)]]/0.85*1000)</f>
        <v>16352.941176470591</v>
      </c>
      <c r="AJ61" s="169" t="s">
        <v>461</v>
      </c>
    </row>
    <row r="62" spans="1:36" ht="17.25" hidden="1" customHeight="1" x14ac:dyDescent="0.35">
      <c r="A62" s="38" t="s">
        <v>174</v>
      </c>
      <c r="B62" s="39" t="s">
        <v>230</v>
      </c>
      <c r="C62" s="39" t="s">
        <v>230</v>
      </c>
      <c r="D62" s="38" t="s">
        <v>316</v>
      </c>
      <c r="E62" s="38" t="s">
        <v>270</v>
      </c>
      <c r="F6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6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6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6</v>
      </c>
      <c r="I6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6</v>
      </c>
      <c r="M6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-44779.360416666656</v>
      </c>
      <c r="O6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-44779.360416666656</v>
      </c>
      <c r="S62" s="41">
        <f t="shared" si="1"/>
        <v>44809.360416666656</v>
      </c>
      <c r="T62" s="122">
        <f>Table436[[#This Row],[Total Hours in Service]]</f>
        <v>18.666666666666668</v>
      </c>
      <c r="U6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7</v>
      </c>
      <c r="V62" s="42">
        <f>Table4[[#This Row],[Total Interrruption]]-Table4[[#This Row],[Planned shutdown for construction activity ]]-Table4[[#This Row],[Planned shutdown for O&amp;M activity ]]</f>
        <v>7</v>
      </c>
      <c r="W6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6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v>
      </c>
      <c r="AF6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2" s="40">
        <f>Table4[[#This Row],[Load Interrupted (MW)]]-Table4[[#This Row],[Load at Restoration]]</f>
        <v>13</v>
      </c>
      <c r="AH6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-107471.37277777775</v>
      </c>
      <c r="AI62" s="66">
        <f>(Table4[[#This Row],[Load Interrupted (MW)]]/0.85*1000)</f>
        <v>15294.117647058823</v>
      </c>
      <c r="AJ62" s="169" t="s">
        <v>459</v>
      </c>
    </row>
    <row r="63" spans="1:36" ht="17.25" hidden="1" customHeight="1" x14ac:dyDescent="0.35">
      <c r="A63" s="38" t="s">
        <v>178</v>
      </c>
      <c r="B63" s="170" t="s">
        <v>230</v>
      </c>
      <c r="C63" s="39" t="s">
        <v>13</v>
      </c>
      <c r="D63" s="38" t="s">
        <v>50</v>
      </c>
      <c r="E63" s="38" t="s">
        <v>270</v>
      </c>
      <c r="F6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6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6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6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6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6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6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0.58888888888759539</v>
      </c>
      <c r="O6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0.58888888888759539</v>
      </c>
      <c r="S63" s="41">
        <f t="shared" si="1"/>
        <v>29.411111111112405</v>
      </c>
      <c r="T63" s="122">
        <f>Table436[[#This Row],[Total Hours in Service]]</f>
        <v>20.042361111111109</v>
      </c>
      <c r="U6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63" s="42">
        <f>Table4[[#This Row],[Total Interrruption]]-Table4[[#This Row],[Planned shutdown for construction activity ]]-Table4[[#This Row],[Planned shutdown for O&amp;M activity ]]</f>
        <v>3</v>
      </c>
      <c r="W6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6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4.2</v>
      </c>
      <c r="AF6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3" s="40">
        <f>Table4[[#This Row],[Load Interrupted (MW)]]-Table4[[#This Row],[Load at Restoration]]</f>
        <v>4.2</v>
      </c>
      <c r="AH6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0.93347222222364512</v>
      </c>
      <c r="AI63" s="66">
        <f>(Table4[[#This Row],[Load Interrupted (MW)]]/0.85*1000)</f>
        <v>4941.1764705882351</v>
      </c>
      <c r="AJ63" s="169" t="s">
        <v>461</v>
      </c>
    </row>
    <row r="64" spans="1:36" s="157" customFormat="1" ht="17.25" hidden="1" customHeight="1" x14ac:dyDescent="0.35">
      <c r="A64" s="169" t="s">
        <v>178</v>
      </c>
      <c r="B64" s="170" t="s">
        <v>13</v>
      </c>
      <c r="C64" s="170" t="s">
        <v>13</v>
      </c>
      <c r="D64" s="169" t="s">
        <v>444</v>
      </c>
      <c r="E64" s="169" t="s">
        <v>270</v>
      </c>
      <c r="F64"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64"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4"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64"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4"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4"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64"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4"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-44775.999305555553</v>
      </c>
      <c r="O64"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4"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4"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4"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-44775.999305555553</v>
      </c>
      <c r="S64" s="122">
        <f t="shared" si="1"/>
        <v>44805.999305555553</v>
      </c>
      <c r="T64" s="122">
        <f>Table436[[#This Row],[Total Hours in Service]]</f>
        <v>9.8375000000000004</v>
      </c>
      <c r="U6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64" s="42">
        <f>Table4[[#This Row],[Total Interrruption]]-Table4[[#This Row],[Planned shutdown for construction activity ]]-Table4[[#This Row],[Planned shutdown for O&amp;M activity ]]</f>
        <v>2</v>
      </c>
      <c r="W6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4"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6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4"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3.1</v>
      </c>
      <c r="AF64"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4" s="171">
        <f>Table4[[#This Row],[Load Interrupted (MW)]]-Table4[[#This Row],[Load at Restoration]]</f>
        <v>3.1</v>
      </c>
      <c r="AH6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-94029.622986111106</v>
      </c>
      <c r="AI64" s="66">
        <f>(Table4[[#This Row],[Load Interrupted (MW)]]/0.85*1000)</f>
        <v>3647.0588235294122</v>
      </c>
      <c r="AJ64" s="169" t="s">
        <v>459</v>
      </c>
    </row>
    <row r="65" spans="1:36" ht="17.25" hidden="1" customHeight="1" x14ac:dyDescent="0.35">
      <c r="A65" s="38" t="s">
        <v>178</v>
      </c>
      <c r="B65" s="39" t="s">
        <v>13</v>
      </c>
      <c r="C65" s="39" t="s">
        <v>13</v>
      </c>
      <c r="D65" s="38" t="s">
        <v>343</v>
      </c>
      <c r="E65" s="38" t="s">
        <v>269</v>
      </c>
      <c r="F6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6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6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6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6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65" s="41">
        <f t="shared" si="1"/>
        <v>30</v>
      </c>
      <c r="T65" s="122">
        <f>Table436[[#This Row],[Total Hours in Service]]</f>
        <v>28.333333333333332</v>
      </c>
      <c r="U6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65" s="42">
        <f>Table4[[#This Row],[Total Interrruption]]-Table4[[#This Row],[Planned shutdown for construction activity ]]-Table4[[#This Row],[Planned shutdown for O&amp;M activity ]]</f>
        <v>0</v>
      </c>
      <c r="W6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6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5" s="40">
        <f>Table4[[#This Row],[Load Interrupted (MW)]]-Table4[[#This Row],[Load at Restoration]]</f>
        <v>0</v>
      </c>
      <c r="AH6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65" s="66">
        <f>(Table4[[#This Row],[Load Interrupted (MW)]]/0.85*1000)</f>
        <v>0</v>
      </c>
      <c r="AJ65" s="169" t="s">
        <v>457</v>
      </c>
    </row>
    <row r="66" spans="1:36" ht="17.25" hidden="1" customHeight="1" x14ac:dyDescent="0.35">
      <c r="A66" s="38" t="s">
        <v>178</v>
      </c>
      <c r="B66" s="39" t="s">
        <v>13</v>
      </c>
      <c r="C66" s="39" t="s">
        <v>13</v>
      </c>
      <c r="D66" s="38" t="s">
        <v>51</v>
      </c>
      <c r="E66" s="38" t="s">
        <v>270</v>
      </c>
      <c r="F6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9</v>
      </c>
      <c r="G6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8</v>
      </c>
      <c r="I6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5</v>
      </c>
      <c r="M6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-179104.68611111114</v>
      </c>
      <c r="O6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-179104.68611111114</v>
      </c>
      <c r="S66" s="41">
        <f t="shared" si="1"/>
        <v>179134.68611111114</v>
      </c>
      <c r="T66" s="122">
        <f>Table436[[#This Row],[Total Hours in Service]]</f>
        <v>15.333333333333334</v>
      </c>
      <c r="U6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9</v>
      </c>
      <c r="V66" s="42">
        <f>Table4[[#This Row],[Total Interrruption]]-Table4[[#This Row],[Planned shutdown for construction activity ]]-Table4[[#This Row],[Planned shutdown for O&amp;M activity ]]</f>
        <v>9</v>
      </c>
      <c r="W6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6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29.499999999999996</v>
      </c>
      <c r="AF6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6" s="40">
        <f>Table4[[#This Row],[Load Interrupted (MW)]]-Table4[[#This Row],[Load at Restoration]]</f>
        <v>29.499999999999996</v>
      </c>
      <c r="AH6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-653737.81861111114</v>
      </c>
      <c r="AI66" s="66">
        <f>(Table4[[#This Row],[Load Interrupted (MW)]]/0.85*1000)</f>
        <v>34705.882352941175</v>
      </c>
      <c r="AJ66" s="169" t="s">
        <v>460</v>
      </c>
    </row>
    <row r="67" spans="1:36" ht="17.25" hidden="1" customHeight="1" x14ac:dyDescent="0.35">
      <c r="A67" s="38" t="s">
        <v>178</v>
      </c>
      <c r="B67" s="39" t="s">
        <v>13</v>
      </c>
      <c r="C67" s="39" t="s">
        <v>229</v>
      </c>
      <c r="D67" s="38" t="s">
        <v>52</v>
      </c>
      <c r="E67" s="38" t="s">
        <v>270</v>
      </c>
      <c r="F6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6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6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6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-44775.96875</v>
      </c>
      <c r="O6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-44775.96875</v>
      </c>
      <c r="S67" s="41">
        <f t="shared" si="1"/>
        <v>44805.96875</v>
      </c>
      <c r="T67" s="122">
        <f>Table436[[#This Row],[Total Hours in Service]]</f>
        <v>25.208333333333336</v>
      </c>
      <c r="U6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67" s="42">
        <f>Table4[[#This Row],[Total Interrruption]]-Table4[[#This Row],[Planned shutdown for construction activity ]]-Table4[[#This Row],[Planned shutdown for O&amp;M activity ]]</f>
        <v>1</v>
      </c>
      <c r="W6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2.2999999999999998</v>
      </c>
      <c r="AF6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7" s="40">
        <f>Table4[[#This Row],[Load Interrupted (MW)]]-Table4[[#This Row],[Load at Restoration]]</f>
        <v>2.2999999999999998</v>
      </c>
      <c r="AH6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-102984.72812499999</v>
      </c>
      <c r="AI67" s="66">
        <f>(Table4[[#This Row],[Load Interrupted (MW)]]/0.85*1000)</f>
        <v>2705.8823529411761</v>
      </c>
      <c r="AJ67" s="169" t="s">
        <v>461</v>
      </c>
    </row>
    <row r="68" spans="1:36" s="157" customFormat="1" ht="17.25" hidden="1" customHeight="1" x14ac:dyDescent="0.35">
      <c r="A68" s="169" t="s">
        <v>178</v>
      </c>
      <c r="B68" s="170" t="s">
        <v>13</v>
      </c>
      <c r="C68" s="170" t="s">
        <v>229</v>
      </c>
      <c r="D68" s="169" t="s">
        <v>499</v>
      </c>
      <c r="E68" s="169" t="s">
        <v>270</v>
      </c>
      <c r="F68"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68"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8"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68"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8"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8"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68"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68"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-44779.715277777774</v>
      </c>
      <c r="O68"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8"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8"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8"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-44779.715277777774</v>
      </c>
      <c r="S68" s="122">
        <f>Q$199-R68</f>
        <v>44809.715277777774</v>
      </c>
      <c r="T68" s="122">
        <f>Table436[[#This Row],[Total Hours in Service]]</f>
        <v>24.875</v>
      </c>
      <c r="U6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68" s="42">
        <f>Table4[[#This Row],[Total Interrruption]]-Table4[[#This Row],[Planned shutdown for construction activity ]]-Table4[[#This Row],[Planned shutdown for O&amp;M activity ]]</f>
        <v>2</v>
      </c>
      <c r="W6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8"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8"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0.5</v>
      </c>
      <c r="AF68"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8" s="171">
        <f>Table4[[#This Row],[Load Interrupted (MW)]]-Table4[[#This Row],[Load at Restoration]]</f>
        <v>0.5</v>
      </c>
      <c r="AH6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-4477.8690277777769</v>
      </c>
      <c r="AI68" s="66">
        <f>(Table4[[#This Row],[Load Interrupted (MW)]]/0.85*1000)</f>
        <v>588.23529411764707</v>
      </c>
      <c r="AJ68" s="169"/>
    </row>
    <row r="69" spans="1:36" ht="17.25" hidden="1" customHeight="1" x14ac:dyDescent="0.35">
      <c r="A69" s="38" t="s">
        <v>175</v>
      </c>
      <c r="B69" s="39" t="s">
        <v>15</v>
      </c>
      <c r="C69" s="39" t="s">
        <v>233</v>
      </c>
      <c r="D69" s="38" t="s">
        <v>57</v>
      </c>
      <c r="E69" s="38" t="s">
        <v>270</v>
      </c>
      <c r="F6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6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6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6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6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6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6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6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6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-44778.665277777771</v>
      </c>
      <c r="O6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6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6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6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-44778.665277777771</v>
      </c>
      <c r="S69" s="41">
        <f t="shared" ref="S69:S100" si="2">Q$199-R69</f>
        <v>44808.665277777771</v>
      </c>
      <c r="T69" s="122">
        <f>Table436[[#This Row],[Total Hours in Service]]</f>
        <v>10.673611111111114</v>
      </c>
      <c r="U6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69" s="42">
        <f>Table4[[#This Row],[Total Interrruption]]-Table4[[#This Row],[Planned shutdown for construction activity ]]-Table4[[#This Row],[Planned shutdown for O&amp;M activity ]]</f>
        <v>2</v>
      </c>
      <c r="W6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6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6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6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6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6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6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6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6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3.9000000000000004</v>
      </c>
      <c r="AF6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69" s="40">
        <f>Table4[[#This Row],[Load Interrupted (MW)]]-Table4[[#This Row],[Load at Restoration]]</f>
        <v>3.9000000000000004</v>
      </c>
      <c r="AH6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-80601.489791666652</v>
      </c>
      <c r="AI69" s="66">
        <f>(Table4[[#This Row],[Load Interrupted (MW)]]/0.85*1000)</f>
        <v>4588.2352941176478</v>
      </c>
      <c r="AJ69" s="169" t="s">
        <v>460</v>
      </c>
    </row>
    <row r="70" spans="1:36" s="157" customFormat="1" ht="17.25" hidden="1" customHeight="1" x14ac:dyDescent="0.35">
      <c r="A70" s="169" t="s">
        <v>175</v>
      </c>
      <c r="B70" s="170" t="s">
        <v>15</v>
      </c>
      <c r="C70" s="170" t="s">
        <v>233</v>
      </c>
      <c r="D70" s="169" t="s">
        <v>442</v>
      </c>
      <c r="E70" s="169" t="s">
        <v>269</v>
      </c>
      <c r="F70"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11</v>
      </c>
      <c r="G70"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0"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10</v>
      </c>
      <c r="I70"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7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0"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70"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6</v>
      </c>
      <c r="M70"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70"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-134395.11458333331</v>
      </c>
      <c r="O70"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0"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0"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0"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-134395.11458333331</v>
      </c>
      <c r="S70" s="122">
        <f t="shared" si="2"/>
        <v>134425.11458333331</v>
      </c>
      <c r="T70" s="122">
        <f>Table436[[#This Row],[Total Hours in Service]]</f>
        <v>12.954166666666666</v>
      </c>
      <c r="U7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11</v>
      </c>
      <c r="V70" s="42">
        <f>Table4[[#This Row],[Total Interrruption]]-Table4[[#This Row],[Planned shutdown for construction activity ]]-Table4[[#This Row],[Planned shutdown for O&amp;M activity ]]</f>
        <v>11</v>
      </c>
      <c r="W7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0"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7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0"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14.561805555555553</v>
      </c>
      <c r="AF70"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0" s="171">
        <f>Table4[[#This Row],[Load Interrupted (MW)]]-Table4[[#This Row],[Load at Restoration]]</f>
        <v>14.561805555555553</v>
      </c>
      <c r="AH7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-246352.75312114198</v>
      </c>
      <c r="AI70" s="66">
        <f>(Table4[[#This Row],[Load Interrupted (MW)]]/0.85*1000)</f>
        <v>17131.535947712415</v>
      </c>
      <c r="AJ70" s="169" t="s">
        <v>458</v>
      </c>
    </row>
    <row r="71" spans="1:36" ht="17.25" hidden="1" customHeight="1" x14ac:dyDescent="0.35">
      <c r="A71" s="38" t="s">
        <v>175</v>
      </c>
      <c r="B71" s="39" t="s">
        <v>15</v>
      </c>
      <c r="C71" s="39" t="s">
        <v>15</v>
      </c>
      <c r="D71" s="38" t="s">
        <v>58</v>
      </c>
      <c r="E71" s="38" t="s">
        <v>270</v>
      </c>
      <c r="F7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7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7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7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7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7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0.37777777777955635</v>
      </c>
      <c r="O7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0.37777777777955635</v>
      </c>
      <c r="S71" s="41">
        <f t="shared" si="2"/>
        <v>29.622222222220444</v>
      </c>
      <c r="T71" s="122">
        <f>Table436[[#This Row],[Total Hours in Service]]</f>
        <v>11.671527777777778</v>
      </c>
      <c r="U7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71" s="42">
        <f>Table4[[#This Row],[Total Interrruption]]-Table4[[#This Row],[Planned shutdown for construction activity ]]-Table4[[#This Row],[Planned shutdown for O&amp;M activity ]]</f>
        <v>2</v>
      </c>
      <c r="W7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7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5.3</v>
      </c>
      <c r="AF7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1" s="40">
        <f>Table4[[#This Row],[Load Interrupted (MW)]]-Table4[[#This Row],[Load at Restoration]]</f>
        <v>5.3</v>
      </c>
      <c r="AH7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0.80250000000523869</v>
      </c>
      <c r="AI71" s="66">
        <f>(Table4[[#This Row],[Load Interrupted (MW)]]/0.85*1000)</f>
        <v>6235.2941176470586</v>
      </c>
      <c r="AJ71" s="169" t="s">
        <v>459</v>
      </c>
    </row>
    <row r="72" spans="1:36" ht="17.25" hidden="1" customHeight="1" x14ac:dyDescent="0.35">
      <c r="A72" s="38" t="s">
        <v>175</v>
      </c>
      <c r="B72" s="39" t="s">
        <v>15</v>
      </c>
      <c r="C72" s="39" t="s">
        <v>15</v>
      </c>
      <c r="D72" s="38" t="s">
        <v>356</v>
      </c>
      <c r="E72" s="38" t="s">
        <v>269</v>
      </c>
      <c r="F7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7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7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7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7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7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7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72" s="41">
        <f t="shared" si="2"/>
        <v>30</v>
      </c>
      <c r="T72" s="122">
        <f>Table436[[#This Row],[Total Hours in Service]]</f>
        <v>26.327083333333334</v>
      </c>
      <c r="U7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72" s="42">
        <f>Table4[[#This Row],[Total Interrruption]]-Table4[[#This Row],[Planned shutdown for construction activity ]]-Table4[[#This Row],[Planned shutdown for O&amp;M activity ]]</f>
        <v>0</v>
      </c>
      <c r="W7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7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7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2" s="40">
        <f>Table4[[#This Row],[Load Interrupted (MW)]]-Table4[[#This Row],[Load at Restoration]]</f>
        <v>0</v>
      </c>
      <c r="AH7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72" s="66">
        <f>(Table4[[#This Row],[Load Interrupted (MW)]]/0.85*1000)</f>
        <v>0</v>
      </c>
      <c r="AJ72" s="169" t="s">
        <v>457</v>
      </c>
    </row>
    <row r="73" spans="1:36" s="157" customFormat="1" ht="17.25" hidden="1" customHeight="1" x14ac:dyDescent="0.35">
      <c r="A73" s="169" t="s">
        <v>175</v>
      </c>
      <c r="B73" s="170" t="s">
        <v>15</v>
      </c>
      <c r="C73" s="170" t="s">
        <v>15</v>
      </c>
      <c r="D73" s="169" t="s">
        <v>59</v>
      </c>
      <c r="E73" s="169" t="s">
        <v>269</v>
      </c>
      <c r="F73" s="178">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73" s="178">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3" s="178">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73" s="178">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3" s="179">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73" s="179">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73" s="179">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73" s="180">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-44783.992361111108</v>
      </c>
      <c r="O73" s="180">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3" s="18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3" s="18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3" s="18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-44783.992361111108</v>
      </c>
      <c r="S73" s="181">
        <f t="shared" si="2"/>
        <v>44813.992361111108</v>
      </c>
      <c r="T73" s="122">
        <f>Table436[[#This Row],[Total Hours in Service]]</f>
        <v>25.392361111111107</v>
      </c>
      <c r="U73" s="18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73" s="182">
        <f>Table4[[#This Row],[Total Interrruption]]-Table4[[#This Row],[Planned shutdown for construction activity ]]-Table4[[#This Row],[Planned shutdown for O&amp;M activity ]]</f>
        <v>3</v>
      </c>
      <c r="W73" s="18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3" s="18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3" s="18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3" s="18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3" s="18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3" s="18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3" s="178">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73" s="178">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3" s="178">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9.9</v>
      </c>
      <c r="AF73" s="178">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3" s="178">
        <f>Table4[[#This Row],[Load Interrupted (MW)]]-Table4[[#This Row],[Load at Restoration]]</f>
        <v>9.9</v>
      </c>
      <c r="AH73" s="18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-277661.85701388895</v>
      </c>
      <c r="AI73" s="178">
        <f>(Table4[[#This Row],[Load Interrupted (MW)]]/0.85*1000)</f>
        <v>11647.058823529413</v>
      </c>
      <c r="AJ73" s="169" t="s">
        <v>457</v>
      </c>
    </row>
    <row r="74" spans="1:36" ht="17.25" hidden="1" customHeight="1" x14ac:dyDescent="0.35">
      <c r="A74" s="169" t="s">
        <v>445</v>
      </c>
      <c r="B74" s="39" t="s">
        <v>373</v>
      </c>
      <c r="C74" s="39" t="s">
        <v>222</v>
      </c>
      <c r="D74" s="38" t="s">
        <v>92</v>
      </c>
      <c r="E74" s="38" t="s">
        <v>269</v>
      </c>
      <c r="F7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5</v>
      </c>
      <c r="G7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7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7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7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7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7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7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0.73749999999563443</v>
      </c>
      <c r="O7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0.73749999999563443</v>
      </c>
      <c r="S74" s="41">
        <f t="shared" si="2"/>
        <v>29.262500000004366</v>
      </c>
      <c r="T74" s="122">
        <f>Table436[[#This Row],[Total Hours in Service]]</f>
        <v>16.098611111111115</v>
      </c>
      <c r="U7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5</v>
      </c>
      <c r="V74" s="42">
        <f>Table4[[#This Row],[Total Interrruption]]-Table4[[#This Row],[Planned shutdown for construction activity ]]-Table4[[#This Row],[Planned shutdown for O&amp;M activity ]]</f>
        <v>5</v>
      </c>
      <c r="W7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4</v>
      </c>
      <c r="AD7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14.399999999999999</v>
      </c>
      <c r="AF7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4" s="40">
        <f>Table4[[#This Row],[Load Interrupted (MW)]]-Table4[[#This Row],[Load at Restoration]]</f>
        <v>14.399999999999999</v>
      </c>
      <c r="AH7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2.5873611111084758</v>
      </c>
      <c r="AI74" s="66">
        <f>(Table4[[#This Row],[Load Interrupted (MW)]]/0.85*1000)</f>
        <v>16941.176470588234</v>
      </c>
      <c r="AJ74" s="169" t="s">
        <v>461</v>
      </c>
    </row>
    <row r="75" spans="1:36" ht="17.25" hidden="1" customHeight="1" x14ac:dyDescent="0.35">
      <c r="A75" s="38" t="s">
        <v>170</v>
      </c>
      <c r="B75" s="170" t="s">
        <v>373</v>
      </c>
      <c r="C75" s="39" t="s">
        <v>310</v>
      </c>
      <c r="D75" s="38" t="s">
        <v>93</v>
      </c>
      <c r="E75" s="38" t="s">
        <v>269</v>
      </c>
      <c r="F7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5</v>
      </c>
      <c r="G7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7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7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7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7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7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0.53055555555329192</v>
      </c>
      <c r="O7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0.13194444444525288</v>
      </c>
      <c r="P7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0.75347222222626442</v>
      </c>
      <c r="S75" s="41">
        <f t="shared" si="2"/>
        <v>29.246527777773736</v>
      </c>
      <c r="T75" s="122">
        <f>Table436[[#This Row],[Total Hours in Service]]</f>
        <v>17.526388888888885</v>
      </c>
      <c r="U7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75" s="42">
        <f>Table4[[#This Row],[Total Interrruption]]-Table4[[#This Row],[Planned shutdown for construction activity ]]-Table4[[#This Row],[Planned shutdown for O&amp;M activity ]]</f>
        <v>4</v>
      </c>
      <c r="W7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7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7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7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7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7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9.5999999999999979</v>
      </c>
      <c r="AF7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5" s="40">
        <f>Table4[[#This Row],[Load Interrupted (MW)]]-Table4[[#This Row],[Load at Restoration]]</f>
        <v>9.5999999999999979</v>
      </c>
      <c r="AH7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1.5206944444522379</v>
      </c>
      <c r="AI75" s="66">
        <f>(Table4[[#This Row],[Load Interrupted (MW)]]/0.85*1000)</f>
        <v>11294.117647058822</v>
      </c>
      <c r="AJ75" s="169" t="s">
        <v>457</v>
      </c>
    </row>
    <row r="76" spans="1:36" ht="17.25" hidden="1" customHeight="1" x14ac:dyDescent="0.35">
      <c r="A76" s="169" t="s">
        <v>445</v>
      </c>
      <c r="B76" s="170" t="s">
        <v>373</v>
      </c>
      <c r="C76" s="39" t="s">
        <v>222</v>
      </c>
      <c r="D76" s="38" t="s">
        <v>94</v>
      </c>
      <c r="E76" s="38" t="s">
        <v>269</v>
      </c>
      <c r="F7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7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7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7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7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7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7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0.94444444444525288</v>
      </c>
      <c r="O7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0.94444444444525288</v>
      </c>
      <c r="S76" s="41">
        <f t="shared" si="2"/>
        <v>29.055555555554747</v>
      </c>
      <c r="T76" s="122">
        <f>Table436[[#This Row],[Total Hours in Service]]</f>
        <v>17.387499999999996</v>
      </c>
      <c r="U7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76" s="42">
        <f>Table4[[#This Row],[Total Interrruption]]-Table4[[#This Row],[Planned shutdown for construction activity ]]-Table4[[#This Row],[Planned shutdown for O&amp;M activity ]]</f>
        <v>3</v>
      </c>
      <c r="W7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7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3.3</v>
      </c>
      <c r="AF7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6" s="40">
        <f>Table4[[#This Row],[Load Interrupted (MW)]]-Table4[[#This Row],[Load at Restoration]]</f>
        <v>3.3</v>
      </c>
      <c r="AH7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0.33104166667399115</v>
      </c>
      <c r="AI76" s="66">
        <f>(Table4[[#This Row],[Load Interrupted (MW)]]/0.85*1000)</f>
        <v>3882.3529411764707</v>
      </c>
      <c r="AJ76" s="169" t="s">
        <v>461</v>
      </c>
    </row>
    <row r="77" spans="1:36" ht="17.25" hidden="1" customHeight="1" x14ac:dyDescent="0.35">
      <c r="A77" s="169" t="s">
        <v>445</v>
      </c>
      <c r="B77" s="170" t="s">
        <v>374</v>
      </c>
      <c r="C77" s="39" t="s">
        <v>222</v>
      </c>
      <c r="D77" s="38" t="s">
        <v>95</v>
      </c>
      <c r="E77" s="38" t="s">
        <v>269</v>
      </c>
      <c r="F7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7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7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7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7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7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7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0.18888888888614019</v>
      </c>
      <c r="O7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0.18888888888614019</v>
      </c>
      <c r="S77" s="41">
        <f t="shared" si="2"/>
        <v>29.81111111111386</v>
      </c>
      <c r="T77" s="122">
        <f>Table436[[#This Row],[Total Hours in Service]]</f>
        <v>16.628472222222221</v>
      </c>
      <c r="U7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77" s="42">
        <f>Table4[[#This Row],[Total Interrruption]]-Table4[[#This Row],[Planned shutdown for construction activity ]]-Table4[[#This Row],[Planned shutdown for O&amp;M activity ]]</f>
        <v>2</v>
      </c>
      <c r="W7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7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3.3</v>
      </c>
      <c r="AF7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7" s="40">
        <f>Table4[[#This Row],[Load Interrupted (MW)]]-Table4[[#This Row],[Load at Restoration]]</f>
        <v>3.3</v>
      </c>
      <c r="AH7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0.28562499999607099</v>
      </c>
      <c r="AI77" s="66">
        <f>(Table4[[#This Row],[Load Interrupted (MW)]]/0.85*1000)</f>
        <v>3882.3529411764707</v>
      </c>
      <c r="AJ77" s="169" t="s">
        <v>461</v>
      </c>
    </row>
    <row r="78" spans="1:36" ht="17.25" hidden="1" customHeight="1" x14ac:dyDescent="0.35">
      <c r="A78" s="169" t="s">
        <v>445</v>
      </c>
      <c r="B78" s="170" t="s">
        <v>374</v>
      </c>
      <c r="C78" s="39" t="s">
        <v>222</v>
      </c>
      <c r="D78" s="38" t="s">
        <v>469</v>
      </c>
      <c r="E78" s="38" t="s">
        <v>269</v>
      </c>
      <c r="F7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7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7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7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7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7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7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7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78" s="41">
        <f t="shared" si="2"/>
        <v>30</v>
      </c>
      <c r="T78" s="122">
        <f>Table436[[#This Row],[Total Hours in Service]]</f>
        <v>13.190972222222221</v>
      </c>
      <c r="U7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78" s="42">
        <f>Table4[[#This Row],[Total Interrruption]]-Table4[[#This Row],[Planned shutdown for construction activity ]]-Table4[[#This Row],[Planned shutdown for O&amp;M activity ]]</f>
        <v>0</v>
      </c>
      <c r="W7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7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7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8" s="40">
        <f>Table4[[#This Row],[Load Interrupted (MW)]]-Table4[[#This Row],[Load at Restoration]]</f>
        <v>0</v>
      </c>
      <c r="AH7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78" s="66">
        <f>(Table4[[#This Row],[Load Interrupted (MW)]]/0.85*1000)</f>
        <v>0</v>
      </c>
      <c r="AJ78" s="169" t="s">
        <v>461</v>
      </c>
    </row>
    <row r="79" spans="1:36" ht="17.25" hidden="1" customHeight="1" x14ac:dyDescent="0.35">
      <c r="A79" s="169" t="s">
        <v>445</v>
      </c>
      <c r="B79" s="39" t="s">
        <v>375</v>
      </c>
      <c r="C79" s="39" t="s">
        <v>222</v>
      </c>
      <c r="D79" s="38" t="s">
        <v>84</v>
      </c>
      <c r="E79" s="38" t="s">
        <v>269</v>
      </c>
      <c r="F7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7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7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7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7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7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7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7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7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0.65763888888614019</v>
      </c>
      <c r="O7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7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7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7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0.65763888888614019</v>
      </c>
      <c r="S79" s="41">
        <f t="shared" si="2"/>
        <v>29.34236111111386</v>
      </c>
      <c r="T79" s="122">
        <f>Table436[[#This Row],[Total Hours in Service]]</f>
        <v>5.6486111111111112</v>
      </c>
      <c r="U7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79" s="42">
        <f>Table4[[#This Row],[Total Interrruption]]-Table4[[#This Row],[Planned shutdown for construction activity ]]-Table4[[#This Row],[Planned shutdown for O&amp;M activity ]]</f>
        <v>3</v>
      </c>
      <c r="W7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7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7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7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7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7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7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7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7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4.4000000000000004</v>
      </c>
      <c r="AF7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79" s="40">
        <f>Table4[[#This Row],[Load Interrupted (MW)]]-Table4[[#This Row],[Load at Restoration]]</f>
        <v>4.4000000000000004</v>
      </c>
      <c r="AH7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0.99194444444146934</v>
      </c>
      <c r="AI79" s="66">
        <f>(Table4[[#This Row],[Load Interrupted (MW)]]/0.85*1000)</f>
        <v>5176.4705882352946</v>
      </c>
      <c r="AJ79" s="169" t="s">
        <v>460</v>
      </c>
    </row>
    <row r="80" spans="1:36" ht="17.25" hidden="1" customHeight="1" x14ac:dyDescent="0.35">
      <c r="A80" s="169" t="s">
        <v>445</v>
      </c>
      <c r="B80" s="170" t="s">
        <v>375</v>
      </c>
      <c r="C80" s="39" t="s">
        <v>217</v>
      </c>
      <c r="D80" s="38" t="s">
        <v>86</v>
      </c>
      <c r="E80" s="38" t="s">
        <v>269</v>
      </c>
      <c r="F8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8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8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8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8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1.9965277777810115</v>
      </c>
      <c r="O8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9.9305555551836733E-2</v>
      </c>
      <c r="P8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2.0958333333328483</v>
      </c>
      <c r="S80" s="41">
        <f t="shared" si="2"/>
        <v>27.904166666667152</v>
      </c>
      <c r="T80" s="122">
        <f>Table436[[#This Row],[Total Hours in Service]]</f>
        <v>7.2270833333333337</v>
      </c>
      <c r="U8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80" s="42">
        <f>Table4[[#This Row],[Total Interrruption]]-Table4[[#This Row],[Planned shutdown for construction activity ]]-Table4[[#This Row],[Planned shutdown for O&amp;M activity ]]</f>
        <v>1</v>
      </c>
      <c r="W8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8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8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8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3.4</v>
      </c>
      <c r="AF8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0" s="40">
        <f>Table4[[#This Row],[Load Interrupted (MW)]]-Table4[[#This Row],[Load at Restoration]]</f>
        <v>3.4</v>
      </c>
      <c r="AH8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6.7881944444554394</v>
      </c>
      <c r="AI80" s="66">
        <f>(Table4[[#This Row],[Load Interrupted (MW)]]/0.85*1000)</f>
        <v>4000</v>
      </c>
      <c r="AJ80" s="169" t="s">
        <v>461</v>
      </c>
    </row>
    <row r="81" spans="1:36" ht="17.25" hidden="1" customHeight="1" x14ac:dyDescent="0.35">
      <c r="A81" s="169" t="s">
        <v>445</v>
      </c>
      <c r="B81" s="170" t="s">
        <v>376</v>
      </c>
      <c r="C81" s="39" t="s">
        <v>217</v>
      </c>
      <c r="D81" s="38" t="s">
        <v>83</v>
      </c>
      <c r="E81" s="38" t="s">
        <v>269</v>
      </c>
      <c r="F8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8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8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8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8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8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8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1.2493055555532919</v>
      </c>
      <c r="O8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1.2493055555532919</v>
      </c>
      <c r="S81" s="41">
        <f t="shared" si="2"/>
        <v>28.750694444446708</v>
      </c>
      <c r="T81" s="122">
        <f>Table436[[#This Row],[Total Hours in Service]]</f>
        <v>6.9833333333333316</v>
      </c>
      <c r="U8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81" s="42">
        <f>Table4[[#This Row],[Total Interrruption]]-Table4[[#This Row],[Planned shutdown for construction activity ]]-Table4[[#This Row],[Planned shutdown for O&amp;M activity ]]</f>
        <v>3</v>
      </c>
      <c r="W8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8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6.3</v>
      </c>
      <c r="AF8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1" s="40">
        <f>Table4[[#This Row],[Load Interrupted (MW)]]-Table4[[#This Row],[Load at Restoration]]</f>
        <v>6.3</v>
      </c>
      <c r="AH8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2.3707638888838121</v>
      </c>
      <c r="AI81" s="66">
        <f>(Table4[[#This Row],[Load Interrupted (MW)]]/0.85*1000)</f>
        <v>7411.7647058823532</v>
      </c>
      <c r="AJ81" s="169" t="s">
        <v>461</v>
      </c>
    </row>
    <row r="82" spans="1:36" ht="17.25" hidden="1" customHeight="1" x14ac:dyDescent="0.35">
      <c r="A82" s="169" t="s">
        <v>445</v>
      </c>
      <c r="B82" s="170" t="s">
        <v>376</v>
      </c>
      <c r="C82" s="39" t="s">
        <v>217</v>
      </c>
      <c r="D82" s="38" t="s">
        <v>85</v>
      </c>
      <c r="E82" s="38" t="s">
        <v>269</v>
      </c>
      <c r="F8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6</v>
      </c>
      <c r="G8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8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8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8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8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8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-44779.728472222218</v>
      </c>
      <c r="O8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-44778.663194444438</v>
      </c>
      <c r="S82" s="41">
        <f t="shared" si="2"/>
        <v>44808.663194444438</v>
      </c>
      <c r="T82" s="122">
        <f>Table436[[#This Row],[Total Hours in Service]]</f>
        <v>7.0284722222222227</v>
      </c>
      <c r="U8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82" s="42">
        <f>Table4[[#This Row],[Total Interrruption]]-Table4[[#This Row],[Planned shutdown for construction activity ]]-Table4[[#This Row],[Planned shutdown for O&amp;M activity ]]</f>
        <v>6</v>
      </c>
      <c r="W8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8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8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21.4</v>
      </c>
      <c r="AF8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2" s="40">
        <f>Table4[[#This Row],[Load Interrupted (MW)]]-Table4[[#This Row],[Load at Restoration]]</f>
        <v>21.4</v>
      </c>
      <c r="AH8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-156723.96187499998</v>
      </c>
      <c r="AI82" s="66">
        <f>(Table4[[#This Row],[Load Interrupted (MW)]]/0.85*1000)</f>
        <v>25176.470588235294</v>
      </c>
      <c r="AJ82" s="169" t="s">
        <v>458</v>
      </c>
    </row>
    <row r="83" spans="1:36" ht="17.25" hidden="1" customHeight="1" x14ac:dyDescent="0.35">
      <c r="A83" s="169" t="s">
        <v>445</v>
      </c>
      <c r="B83" s="39" t="s">
        <v>377</v>
      </c>
      <c r="C83" s="39" t="s">
        <v>222</v>
      </c>
      <c r="D83" s="38" t="s">
        <v>146</v>
      </c>
      <c r="E83" s="38" t="s">
        <v>269</v>
      </c>
      <c r="F8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8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8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8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8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8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0.17916666666860692</v>
      </c>
      <c r="O8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0.17916666666860692</v>
      </c>
      <c r="S83" s="41">
        <f t="shared" si="2"/>
        <v>29.820833333331393</v>
      </c>
      <c r="T83" s="122">
        <f>Table436[[#This Row],[Total Hours in Service]]</f>
        <v>15.056249999999999</v>
      </c>
      <c r="U8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83" s="42">
        <f>Table4[[#This Row],[Total Interrruption]]-Table4[[#This Row],[Planned shutdown for construction activity ]]-Table4[[#This Row],[Planned shutdown for O&amp;M activity ]]</f>
        <v>1</v>
      </c>
      <c r="W8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0.03</v>
      </c>
      <c r="AF8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3" s="40">
        <f>Table4[[#This Row],[Load Interrupted (MW)]]-Table4[[#This Row],[Load at Restoration]]</f>
        <v>0.03</v>
      </c>
      <c r="AH8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5.3750000000582073E-3</v>
      </c>
      <c r="AI83" s="66">
        <f>(Table4[[#This Row],[Load Interrupted (MW)]]/0.85*1000)</f>
        <v>35.294117647058826</v>
      </c>
      <c r="AJ83" s="169" t="s">
        <v>457</v>
      </c>
    </row>
    <row r="84" spans="1:36" ht="17.25" hidden="1" customHeight="1" x14ac:dyDescent="0.35">
      <c r="A84" s="169" t="s">
        <v>445</v>
      </c>
      <c r="B84" s="39" t="s">
        <v>378</v>
      </c>
      <c r="C84" s="39" t="s">
        <v>222</v>
      </c>
      <c r="D84" s="38" t="s">
        <v>145</v>
      </c>
      <c r="E84" s="38" t="s">
        <v>269</v>
      </c>
      <c r="F8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8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8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8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8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1.0625</v>
      </c>
      <c r="O8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1.0625</v>
      </c>
      <c r="S84" s="41">
        <f t="shared" si="2"/>
        <v>28.9375</v>
      </c>
      <c r="T84" s="122">
        <f>Table436[[#This Row],[Total Hours in Service]]</f>
        <v>12.565277777777776</v>
      </c>
      <c r="U8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84" s="42">
        <f>Table4[[#This Row],[Total Interrruption]]-Table4[[#This Row],[Planned shutdown for construction activity ]]-Table4[[#This Row],[Planned shutdown for O&amp;M activity ]]</f>
        <v>2</v>
      </c>
      <c r="W8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2.9</v>
      </c>
      <c r="AF8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4" s="40">
        <f>Table4[[#This Row],[Load Interrupted (MW)]]-Table4[[#This Row],[Load at Restoration]]</f>
        <v>2.9</v>
      </c>
      <c r="AH8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1.6747916666608944</v>
      </c>
      <c r="AI84" s="66">
        <f>(Table4[[#This Row],[Load Interrupted (MW)]]/0.85*1000)</f>
        <v>3411.7647058823527</v>
      </c>
      <c r="AJ84" s="169" t="s">
        <v>460</v>
      </c>
    </row>
    <row r="85" spans="1:36" ht="17.25" hidden="1" customHeight="1" x14ac:dyDescent="0.35">
      <c r="A85" s="169" t="s">
        <v>445</v>
      </c>
      <c r="B85" s="39" t="s">
        <v>379</v>
      </c>
      <c r="C85" s="39" t="s">
        <v>217</v>
      </c>
      <c r="D85" s="38" t="s">
        <v>98</v>
      </c>
      <c r="E85" s="38" t="s">
        <v>269</v>
      </c>
      <c r="F8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8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8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8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8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8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-44782.863888888882</v>
      </c>
      <c r="O8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-44782.863888888882</v>
      </c>
      <c r="S85" s="41">
        <f t="shared" si="2"/>
        <v>44812.863888888882</v>
      </c>
      <c r="T85" s="122">
        <f>Table436[[#This Row],[Total Hours in Service]]</f>
        <v>6.0583333333333327</v>
      </c>
      <c r="U8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85" s="42">
        <f>Table4[[#This Row],[Total Interrruption]]-Table4[[#This Row],[Planned shutdown for construction activity ]]-Table4[[#This Row],[Planned shutdown for O&amp;M activity ]]</f>
        <v>4</v>
      </c>
      <c r="W8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2.5</v>
      </c>
      <c r="AF8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5" s="40">
        <f>Table4[[#This Row],[Load Interrupted (MW)]]-Table4[[#This Row],[Load at Restoration]]</f>
        <v>2.5</v>
      </c>
      <c r="AH8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1.4739583333357587</v>
      </c>
      <c r="AI85" s="66">
        <f>(Table4[[#This Row],[Load Interrupted (MW)]]/0.85*1000)</f>
        <v>2941.1764705882356</v>
      </c>
      <c r="AJ85" s="169" t="s">
        <v>461</v>
      </c>
    </row>
    <row r="86" spans="1:36" ht="17.25" hidden="1" customHeight="1" x14ac:dyDescent="0.35">
      <c r="A86" s="38" t="s">
        <v>171</v>
      </c>
      <c r="B86" s="170" t="s">
        <v>379</v>
      </c>
      <c r="C86" s="39" t="s">
        <v>221</v>
      </c>
      <c r="D86" s="38" t="s">
        <v>481</v>
      </c>
      <c r="E86" s="38" t="s">
        <v>269</v>
      </c>
      <c r="F8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8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8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8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8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8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86" s="41">
        <f t="shared" si="2"/>
        <v>30</v>
      </c>
      <c r="T86" s="122">
        <f>Table436[[#This Row],[Total Hours in Service]]</f>
        <v>8.9576388888888889</v>
      </c>
      <c r="U8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86" s="42">
        <f>Table4[[#This Row],[Total Interrruption]]-Table4[[#This Row],[Planned shutdown for construction activity ]]-Table4[[#This Row],[Planned shutdown for O&amp;M activity ]]</f>
        <v>0</v>
      </c>
      <c r="W8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8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6" s="40">
        <f>Table4[[#This Row],[Load Interrupted (MW)]]-Table4[[#This Row],[Load at Restoration]]</f>
        <v>0</v>
      </c>
      <c r="AH8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86" s="66">
        <f>(Table4[[#This Row],[Load Interrupted (MW)]]/0.85*1000)</f>
        <v>0</v>
      </c>
      <c r="AJ86" s="169" t="s">
        <v>458</v>
      </c>
    </row>
    <row r="87" spans="1:36" ht="17.25" hidden="1" customHeight="1" x14ac:dyDescent="0.35">
      <c r="A87" s="169" t="s">
        <v>445</v>
      </c>
      <c r="B87" s="170" t="s">
        <v>380</v>
      </c>
      <c r="C87" s="39" t="s">
        <v>223</v>
      </c>
      <c r="D87" s="38" t="s">
        <v>361</v>
      </c>
      <c r="E87" s="38" t="s">
        <v>269</v>
      </c>
      <c r="F8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8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8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8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8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8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8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0.57291666665696539</v>
      </c>
      <c r="O8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0.62499999998544808</v>
      </c>
      <c r="S87" s="41">
        <f t="shared" si="2"/>
        <v>29.375000000014552</v>
      </c>
      <c r="T87" s="122">
        <f>Table436[[#This Row],[Total Hours in Service]]</f>
        <v>6.6409722222222225</v>
      </c>
      <c r="U8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87" s="42">
        <f>Table4[[#This Row],[Total Interrruption]]-Table4[[#This Row],[Planned shutdown for construction activity ]]-Table4[[#This Row],[Planned shutdown for O&amp;M activity ]]</f>
        <v>4</v>
      </c>
      <c r="W8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8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8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5.5</v>
      </c>
      <c r="AF8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7" s="40">
        <f>Table4[[#This Row],[Load Interrupted (MW)]]-Table4[[#This Row],[Load at Restoration]]</f>
        <v>5.5</v>
      </c>
      <c r="AH8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1.1874999999636202</v>
      </c>
      <c r="AI87" s="66">
        <f>(Table4[[#This Row],[Load Interrupted (MW)]]/0.85*1000)</f>
        <v>6470.588235294118</v>
      </c>
      <c r="AJ87" s="169" t="s">
        <v>461</v>
      </c>
    </row>
    <row r="88" spans="1:36" ht="17.25" hidden="1" customHeight="1" x14ac:dyDescent="0.35">
      <c r="A88" s="169" t="s">
        <v>445</v>
      </c>
      <c r="B88" s="170" t="s">
        <v>380</v>
      </c>
      <c r="C88" s="39" t="s">
        <v>223</v>
      </c>
      <c r="D88" s="38" t="s">
        <v>97</v>
      </c>
      <c r="E88" s="38" t="s">
        <v>269</v>
      </c>
      <c r="F8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8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8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8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8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8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8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0.96874999997817213</v>
      </c>
      <c r="O8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0.96874999997817213</v>
      </c>
      <c r="S88" s="41">
        <f t="shared" si="2"/>
        <v>29.031250000021828</v>
      </c>
      <c r="T88" s="122">
        <f>Table436[[#This Row],[Total Hours in Service]]</f>
        <v>7.3638888888888898</v>
      </c>
      <c r="U8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88" s="42">
        <f>Table4[[#This Row],[Total Interrruption]]-Table4[[#This Row],[Planned shutdown for construction activity ]]-Table4[[#This Row],[Planned shutdown for O&amp;M activity ]]</f>
        <v>4</v>
      </c>
      <c r="W8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8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4.3</v>
      </c>
      <c r="AF8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8" s="40">
        <f>Table4[[#This Row],[Load Interrupted (MW)]]-Table4[[#This Row],[Load at Restoration]]</f>
        <v>4.3</v>
      </c>
      <c r="AH8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1.4140277777543817</v>
      </c>
      <c r="AI88" s="66">
        <f>(Table4[[#This Row],[Load Interrupted (MW)]]/0.85*1000)</f>
        <v>5058.8235294117649</v>
      </c>
      <c r="AJ88" s="169" t="s">
        <v>461</v>
      </c>
    </row>
    <row r="89" spans="1:36" ht="17.25" hidden="1" customHeight="1" x14ac:dyDescent="0.35">
      <c r="A89" s="38" t="s">
        <v>171</v>
      </c>
      <c r="B89" s="170" t="s">
        <v>380</v>
      </c>
      <c r="C89" s="39" t="s">
        <v>221</v>
      </c>
      <c r="D89" s="38" t="s">
        <v>96</v>
      </c>
      <c r="E89" s="38" t="s">
        <v>269</v>
      </c>
      <c r="F8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8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8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8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8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8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8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8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8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3.898611111115315</v>
      </c>
      <c r="O8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8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8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8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3.898611111115315</v>
      </c>
      <c r="S89" s="41">
        <f t="shared" si="2"/>
        <v>26.101388888884685</v>
      </c>
      <c r="T89" s="122">
        <f>Table436[[#This Row],[Total Hours in Service]]</f>
        <v>6.0291666666666677</v>
      </c>
      <c r="U8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89" s="42">
        <f>Table4[[#This Row],[Total Interrruption]]-Table4[[#This Row],[Planned shutdown for construction activity ]]-Table4[[#This Row],[Planned shutdown for O&amp;M activity ]]</f>
        <v>4</v>
      </c>
      <c r="W8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8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8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8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8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8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8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8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8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5.3000000000000007</v>
      </c>
      <c r="AF8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89" s="40">
        <f>Table4[[#This Row],[Load Interrupted (MW)]]-Table4[[#This Row],[Load at Restoration]]</f>
        <v>5.3000000000000007</v>
      </c>
      <c r="AH8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3.1242361111173524</v>
      </c>
      <c r="AI89" s="66">
        <f>(Table4[[#This Row],[Load Interrupted (MW)]]/0.85*1000)</f>
        <v>6235.2941176470595</v>
      </c>
      <c r="AJ89" s="169" t="s">
        <v>460</v>
      </c>
    </row>
    <row r="90" spans="1:36" ht="17.25" hidden="1" customHeight="1" x14ac:dyDescent="0.35">
      <c r="A90" s="169" t="s">
        <v>445</v>
      </c>
      <c r="B90" s="39" t="s">
        <v>381</v>
      </c>
      <c r="C90" s="39" t="s">
        <v>223</v>
      </c>
      <c r="D90" s="38" t="s">
        <v>79</v>
      </c>
      <c r="E90" s="38" t="s">
        <v>269</v>
      </c>
      <c r="F9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9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9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7.2916666664241347E-2</v>
      </c>
      <c r="O9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7.2916666664241347E-2</v>
      </c>
      <c r="S90" s="41">
        <f t="shared" si="2"/>
        <v>29.927083333335759</v>
      </c>
      <c r="T90" s="122">
        <f>Table436[[#This Row],[Total Hours in Service]]</f>
        <v>12.68333333333333</v>
      </c>
      <c r="U9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0" s="42">
        <f>Table4[[#This Row],[Total Interrruption]]-Table4[[#This Row],[Planned shutdown for construction activity ]]-Table4[[#This Row],[Planned shutdown for O&amp;M activity ]]</f>
        <v>1</v>
      </c>
      <c r="W9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9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1.9</v>
      </c>
      <c r="AF9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0" s="40">
        <f>Table4[[#This Row],[Load Interrupted (MW)]]-Table4[[#This Row],[Load at Restoration]]</f>
        <v>1.9</v>
      </c>
      <c r="AH9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0.13854166666205855</v>
      </c>
      <c r="AI90" s="66">
        <f>(Table4[[#This Row],[Load Interrupted (MW)]]/0.85*1000)</f>
        <v>2235.294117647059</v>
      </c>
      <c r="AJ90" s="169" t="s">
        <v>461</v>
      </c>
    </row>
    <row r="91" spans="1:36" ht="17.25" hidden="1" customHeight="1" x14ac:dyDescent="0.35">
      <c r="A91" s="169" t="s">
        <v>445</v>
      </c>
      <c r="B91" s="170" t="s">
        <v>382</v>
      </c>
      <c r="C91" s="39" t="s">
        <v>223</v>
      </c>
      <c r="D91" s="38" t="s">
        <v>80</v>
      </c>
      <c r="E91" s="38" t="s">
        <v>269</v>
      </c>
      <c r="F9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9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9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5.694444444088731E-2</v>
      </c>
      <c r="S91" s="41">
        <f t="shared" si="2"/>
        <v>29.943055555559113</v>
      </c>
      <c r="T91" s="122">
        <f>Table436[[#This Row],[Total Hours in Service]]</f>
        <v>9.0222222222222221</v>
      </c>
      <c r="U9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91" s="42">
        <f>Table4[[#This Row],[Total Interrruption]]-Table4[[#This Row],[Planned shutdown for construction activity ]]-Table4[[#This Row],[Planned shutdown for O&amp;M activity ]]</f>
        <v>1</v>
      </c>
      <c r="W9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9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9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2.2000000000000002</v>
      </c>
      <c r="AF9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1" s="40">
        <f>Table4[[#This Row],[Load Interrupted (MW)]]-Table4[[#This Row],[Load at Restoration]]</f>
        <v>2.2000000000000002</v>
      </c>
      <c r="AH9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0.12527777776995208</v>
      </c>
      <c r="AI91" s="66">
        <f>(Table4[[#This Row],[Load Interrupted (MW)]]/0.85*1000)</f>
        <v>2588.2352941176473</v>
      </c>
      <c r="AJ91" s="169" t="s">
        <v>460</v>
      </c>
    </row>
    <row r="92" spans="1:36" ht="17.25" hidden="1" customHeight="1" x14ac:dyDescent="0.35">
      <c r="A92" s="38" t="s">
        <v>171</v>
      </c>
      <c r="B92" s="170" t="s">
        <v>382</v>
      </c>
      <c r="C92" s="39" t="s">
        <v>221</v>
      </c>
      <c r="D92" s="38" t="s">
        <v>81</v>
      </c>
      <c r="E92" s="38" t="s">
        <v>269</v>
      </c>
      <c r="F9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9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9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9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0.28611111111240461</v>
      </c>
      <c r="O9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0.29861111110949423</v>
      </c>
      <c r="S92" s="41">
        <f t="shared" si="2"/>
        <v>29.701388888890506</v>
      </c>
      <c r="T92" s="122">
        <f>Table436[[#This Row],[Total Hours in Service]]</f>
        <v>13.70833333333333</v>
      </c>
      <c r="U9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2" s="42">
        <f>Table4[[#This Row],[Total Interrruption]]-Table4[[#This Row],[Planned shutdown for construction activity ]]-Table4[[#This Row],[Planned shutdown for O&amp;M activity ]]</f>
        <v>2</v>
      </c>
      <c r="W9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9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9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v>
      </c>
      <c r="AF9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2" s="40">
        <f>Table4[[#This Row],[Load Interrupted (MW)]]-Table4[[#This Row],[Load at Restoration]]</f>
        <v>4</v>
      </c>
      <c r="AH9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0.46041666666133096</v>
      </c>
      <c r="AI92" s="66">
        <f>(Table4[[#This Row],[Load Interrupted (MW)]]/0.85*1000)</f>
        <v>4705.8823529411766</v>
      </c>
      <c r="AJ92" s="169" t="s">
        <v>458</v>
      </c>
    </row>
    <row r="93" spans="1:36" ht="17.25" hidden="1" customHeight="1" x14ac:dyDescent="0.35">
      <c r="A93" s="38" t="s">
        <v>171</v>
      </c>
      <c r="B93" s="170" t="s">
        <v>383</v>
      </c>
      <c r="C93" s="39" t="s">
        <v>221</v>
      </c>
      <c r="D93" s="38" t="s">
        <v>82</v>
      </c>
      <c r="E93" s="38" t="s">
        <v>269</v>
      </c>
      <c r="F9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9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9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9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93" s="41">
        <f t="shared" si="2"/>
        <v>30</v>
      </c>
      <c r="T93" s="122">
        <f>Table436[[#This Row],[Total Hours in Service]]</f>
        <v>13.713888888888892</v>
      </c>
      <c r="U9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93" s="42">
        <f>Table4[[#This Row],[Total Interrruption]]-Table4[[#This Row],[Planned shutdown for construction activity ]]-Table4[[#This Row],[Planned shutdown for O&amp;M activity ]]</f>
        <v>0</v>
      </c>
      <c r="W9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9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3" s="40">
        <f>Table4[[#This Row],[Load Interrupted (MW)]]-Table4[[#This Row],[Load at Restoration]]</f>
        <v>0</v>
      </c>
      <c r="AH9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93" s="66">
        <f>(Table4[[#This Row],[Load Interrupted (MW)]]/0.85*1000)</f>
        <v>0</v>
      </c>
      <c r="AJ93" s="169" t="s">
        <v>458</v>
      </c>
    </row>
    <row r="94" spans="1:36" ht="17.25" hidden="1" customHeight="1" x14ac:dyDescent="0.35">
      <c r="A94" s="169" t="s">
        <v>445</v>
      </c>
      <c r="B94" s="170" t="s">
        <v>383</v>
      </c>
      <c r="C94" s="39" t="s">
        <v>223</v>
      </c>
      <c r="D94" s="38" t="s">
        <v>369</v>
      </c>
      <c r="E94" s="38" t="s">
        <v>269</v>
      </c>
      <c r="F9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9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9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-0.86458333332848269</v>
      </c>
      <c r="O9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-0.86458333332848269</v>
      </c>
      <c r="S94" s="41">
        <f t="shared" si="2"/>
        <v>30.864583333328483</v>
      </c>
      <c r="T94" s="122">
        <f>Table436[[#This Row],[Total Hours in Service]]</f>
        <v>12.293749999999998</v>
      </c>
      <c r="U9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4" s="42">
        <f>Table4[[#This Row],[Total Interrruption]]-Table4[[#This Row],[Planned shutdown for construction activity ]]-Table4[[#This Row],[Planned shutdown for O&amp;M activity ]]</f>
        <v>1</v>
      </c>
      <c r="W9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9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4" s="40">
        <f>Table4[[#This Row],[Load Interrupted (MW)]]-Table4[[#This Row],[Load at Restoration]]</f>
        <v>0</v>
      </c>
      <c r="AH9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94" s="66">
        <f>(Table4[[#This Row],[Load Interrupted (MW)]]/0.85*1000)</f>
        <v>0</v>
      </c>
      <c r="AJ94" s="169" t="s">
        <v>460</v>
      </c>
    </row>
    <row r="95" spans="1:36" s="157" customFormat="1" ht="17.25" hidden="1" customHeight="1" x14ac:dyDescent="0.35">
      <c r="A95" s="169" t="s">
        <v>171</v>
      </c>
      <c r="B95" s="170" t="s">
        <v>384</v>
      </c>
      <c r="C95" s="170" t="s">
        <v>225</v>
      </c>
      <c r="D95" s="169" t="s">
        <v>357</v>
      </c>
      <c r="E95" s="169" t="s">
        <v>269</v>
      </c>
      <c r="F95"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5"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5"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5"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9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5"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5"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5"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95"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-44784.241666666669</v>
      </c>
      <c r="O95"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5"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5"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5"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-44784.241666666669</v>
      </c>
      <c r="S95" s="122">
        <f t="shared" si="2"/>
        <v>44814.241666666669</v>
      </c>
      <c r="T95" s="122">
        <f>Table436[[#This Row],[Total Hours in Service]]</f>
        <v>12.677083333333336</v>
      </c>
      <c r="U9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5" s="42">
        <f>Table4[[#This Row],[Total Interrruption]]-Table4[[#This Row],[Planned shutdown for construction activity ]]-Table4[[#This Row],[Planned shutdown for O&amp;M activity ]]</f>
        <v>1</v>
      </c>
      <c r="W9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5"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5"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v>
      </c>
      <c r="AF95"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5" s="171">
        <f>Table4[[#This Row],[Load Interrupted (MW)]]-Table4[[#This Row],[Load at Restoration]]</f>
        <v>1.2</v>
      </c>
      <c r="AH9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-53741.090000000004</v>
      </c>
      <c r="AI95" s="66">
        <f>(Table4[[#This Row],[Load Interrupted (MW)]]/0.85*1000)</f>
        <v>1411.7647058823529</v>
      </c>
      <c r="AJ95" s="169" t="s">
        <v>460</v>
      </c>
    </row>
    <row r="96" spans="1:36" s="157" customFormat="1" ht="17.25" hidden="1" customHeight="1" x14ac:dyDescent="0.35">
      <c r="A96" s="169" t="s">
        <v>171</v>
      </c>
      <c r="B96" s="170" t="s">
        <v>384</v>
      </c>
      <c r="C96" s="170" t="s">
        <v>225</v>
      </c>
      <c r="D96" s="169" t="s">
        <v>368</v>
      </c>
      <c r="E96" s="169" t="s">
        <v>269</v>
      </c>
      <c r="F96"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6"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96"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6"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6"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96"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6"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96"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9.1666666667151731E-2</v>
      </c>
      <c r="O96"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6"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6"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6"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9.1666666667151731E-2</v>
      </c>
      <c r="S96" s="122">
        <f t="shared" si="2"/>
        <v>29.908333333332848</v>
      </c>
      <c r="T96" s="122">
        <f>Table436[[#This Row],[Total Hours in Service]]</f>
        <v>13.023611111111114</v>
      </c>
      <c r="U9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6" s="42">
        <f>Table4[[#This Row],[Total Interrruption]]-Table4[[#This Row],[Planned shutdown for construction activity ]]-Table4[[#This Row],[Planned shutdown for O&amp;M activity ]]</f>
        <v>1</v>
      </c>
      <c r="W9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6"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9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6"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2.6</v>
      </c>
      <c r="AF96"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6" s="171">
        <f>Table4[[#This Row],[Load Interrupted (MW)]]-Table4[[#This Row],[Load at Restoration]]</f>
        <v>2.6</v>
      </c>
      <c r="AH9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0.2383333333345945</v>
      </c>
      <c r="AI96" s="66">
        <f>(Table4[[#This Row],[Load Interrupted (MW)]]/0.85*1000)</f>
        <v>3058.8235294117649</v>
      </c>
      <c r="AJ96" s="169" t="s">
        <v>460</v>
      </c>
    </row>
    <row r="97" spans="1:36" ht="17.25" hidden="1" customHeight="1" x14ac:dyDescent="0.35">
      <c r="A97" s="38" t="s">
        <v>170</v>
      </c>
      <c r="B97" s="39" t="s">
        <v>385</v>
      </c>
      <c r="C97" s="39" t="s">
        <v>215</v>
      </c>
      <c r="D97" s="38" t="s">
        <v>91</v>
      </c>
      <c r="E97" s="38" t="s">
        <v>269</v>
      </c>
      <c r="F9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9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9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9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0.18263888888759539</v>
      </c>
      <c r="O9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-44784.402777777774</v>
      </c>
      <c r="P9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-44784.220138888886</v>
      </c>
      <c r="S97" s="41">
        <f t="shared" si="2"/>
        <v>44814.220138888886</v>
      </c>
      <c r="T97" s="122">
        <f>Table436[[#This Row],[Total Hours in Service]]</f>
        <v>16.877083333333335</v>
      </c>
      <c r="U9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7" s="42">
        <f>Table4[[#This Row],[Total Interrruption]]-Table4[[#This Row],[Planned shutdown for construction activity ]]-Table4[[#This Row],[Planned shutdown for O&amp;M activity ]]</f>
        <v>1</v>
      </c>
      <c r="W9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2</v>
      </c>
      <c r="Z9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9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9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9.1</v>
      </c>
      <c r="AF9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7" s="40">
        <f>Table4[[#This Row],[Load Interrupted (MW)]]-Table4[[#This Row],[Load at Restoration]]</f>
        <v>9.1</v>
      </c>
      <c r="AH9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-161223.46069444442</v>
      </c>
      <c r="AI97" s="66">
        <f>(Table4[[#This Row],[Load Interrupted (MW)]]/0.85*1000)</f>
        <v>10705.882352941177</v>
      </c>
      <c r="AJ97" s="169" t="s">
        <v>458</v>
      </c>
    </row>
    <row r="98" spans="1:36" ht="17.25" hidden="1" customHeight="1" x14ac:dyDescent="0.35">
      <c r="A98" s="38" t="s">
        <v>170</v>
      </c>
      <c r="B98" s="170" t="s">
        <v>385</v>
      </c>
      <c r="C98" s="39" t="s">
        <v>215</v>
      </c>
      <c r="D98" s="38" t="s">
        <v>471</v>
      </c>
      <c r="E98" s="38" t="s">
        <v>269</v>
      </c>
      <c r="F9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9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9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9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9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9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98" s="41">
        <f t="shared" si="2"/>
        <v>30</v>
      </c>
      <c r="T98" s="122">
        <f>Table436[[#This Row],[Total Hours in Service]]</f>
        <v>13.910416666666666</v>
      </c>
      <c r="U9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98" s="42">
        <f>Table4[[#This Row],[Total Interrruption]]-Table4[[#This Row],[Planned shutdown for construction activity ]]-Table4[[#This Row],[Planned shutdown for O&amp;M activity ]]</f>
        <v>0</v>
      </c>
      <c r="W9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9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8" s="40">
        <f>Table4[[#This Row],[Load Interrupted (MW)]]-Table4[[#This Row],[Load at Restoration]]</f>
        <v>0</v>
      </c>
      <c r="AH9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98" s="66">
        <f>(Table4[[#This Row],[Load Interrupted (MW)]]/0.85*1000)</f>
        <v>0</v>
      </c>
      <c r="AJ98" s="169" t="s">
        <v>458</v>
      </c>
    </row>
    <row r="99" spans="1:36" ht="17.25" hidden="1" customHeight="1" x14ac:dyDescent="0.35">
      <c r="A99" s="38" t="s">
        <v>170</v>
      </c>
      <c r="B99" s="170" t="s">
        <v>386</v>
      </c>
      <c r="C99" s="39" t="s">
        <v>310</v>
      </c>
      <c r="D99" s="38" t="s">
        <v>89</v>
      </c>
      <c r="E99" s="38" t="s">
        <v>269</v>
      </c>
      <c r="F9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9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9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9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9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9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9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9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9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0.20902777778246673</v>
      </c>
      <c r="O9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9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9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9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0.20902777778246673</v>
      </c>
      <c r="S99" s="41">
        <f t="shared" si="2"/>
        <v>29.790972222217533</v>
      </c>
      <c r="T99" s="122">
        <f>Table436[[#This Row],[Total Hours in Service]]</f>
        <v>11.375694444444445</v>
      </c>
      <c r="U9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99" s="42">
        <f>Table4[[#This Row],[Total Interrruption]]-Table4[[#This Row],[Planned shutdown for construction activity ]]-Table4[[#This Row],[Planned shutdown for O&amp;M activity ]]</f>
        <v>1</v>
      </c>
      <c r="W9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9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9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9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9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9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9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9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9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v>
      </c>
      <c r="AF9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99" s="40">
        <f>Table4[[#This Row],[Load Interrupted (MW)]]-Table4[[#This Row],[Load at Restoration]]</f>
        <v>2</v>
      </c>
      <c r="AH9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0.41805555556493346</v>
      </c>
      <c r="AI99" s="66">
        <f>(Table4[[#This Row],[Load Interrupted (MW)]]/0.85*1000)</f>
        <v>2352.9411764705883</v>
      </c>
      <c r="AJ99" s="169" t="s">
        <v>461</v>
      </c>
    </row>
    <row r="100" spans="1:36" ht="17.25" hidden="1" customHeight="1" x14ac:dyDescent="0.35">
      <c r="A100" s="38" t="s">
        <v>170</v>
      </c>
      <c r="B100" s="170" t="s">
        <v>386</v>
      </c>
      <c r="C100" s="39" t="s">
        <v>310</v>
      </c>
      <c r="D100" s="38" t="s">
        <v>90</v>
      </c>
      <c r="E100" s="38" t="s">
        <v>269</v>
      </c>
      <c r="F10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0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0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0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0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0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0.625</v>
      </c>
      <c r="O10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0.625</v>
      </c>
      <c r="S100" s="41">
        <f t="shared" si="2"/>
        <v>29.375</v>
      </c>
      <c r="T100" s="122">
        <f>Table436[[#This Row],[Total Hours in Service]]</f>
        <v>14.382638888888886</v>
      </c>
      <c r="U10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00" s="42">
        <f>Table4[[#This Row],[Total Interrruption]]-Table4[[#This Row],[Planned shutdown for construction activity ]]-Table4[[#This Row],[Planned shutdown for O&amp;M activity ]]</f>
        <v>2</v>
      </c>
      <c r="W10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0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4.9000000000000004</v>
      </c>
      <c r="AF10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0" s="40">
        <f>Table4[[#This Row],[Load Interrupted (MW)]]-Table4[[#This Row],[Load at Restoration]]</f>
        <v>4.9000000000000004</v>
      </c>
      <c r="AH10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1.5717361111150239</v>
      </c>
      <c r="AI100" s="66">
        <f>(Table4[[#This Row],[Load Interrupted (MW)]]/0.85*1000)</f>
        <v>5764.7058823529424</v>
      </c>
      <c r="AJ100" s="169" t="s">
        <v>457</v>
      </c>
    </row>
    <row r="101" spans="1:36" ht="17.25" hidden="1" customHeight="1" x14ac:dyDescent="0.35">
      <c r="A101" s="38" t="s">
        <v>170</v>
      </c>
      <c r="B101" s="39" t="s">
        <v>387</v>
      </c>
      <c r="C101" s="39" t="s">
        <v>350</v>
      </c>
      <c r="D101" s="38" t="s">
        <v>449</v>
      </c>
      <c r="E101" s="38" t="s">
        <v>269</v>
      </c>
      <c r="F10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5</v>
      </c>
      <c r="G10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5</v>
      </c>
      <c r="H10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0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10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0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1.0097222222102573</v>
      </c>
      <c r="O10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1.0097222222102573</v>
      </c>
      <c r="S101" s="41">
        <f t="shared" ref="S101:S132" si="3">Q$199-R101</f>
        <v>28.990277777789743</v>
      </c>
      <c r="T101" s="122">
        <f>Table436[[#This Row],[Total Hours in Service]]</f>
        <v>10.647222222222222</v>
      </c>
      <c r="U10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5</v>
      </c>
      <c r="V101" s="42">
        <f>Table4[[#This Row],[Total Interrruption]]-Table4[[#This Row],[Planned shutdown for construction activity ]]-Table4[[#This Row],[Planned shutdown for O&amp;M activity ]]</f>
        <v>5</v>
      </c>
      <c r="W10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0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12.7</v>
      </c>
      <c r="AF10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1" s="40">
        <f>Table4[[#This Row],[Load Interrupted (MW)]]-Table4[[#This Row],[Load at Restoration]]</f>
        <v>12.7</v>
      </c>
      <c r="AH10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2.1056944444128023</v>
      </c>
      <c r="AI101" s="66">
        <f>(Table4[[#This Row],[Load Interrupted (MW)]]/0.85*1000)</f>
        <v>14941.176470588236</v>
      </c>
      <c r="AJ101" s="169" t="s">
        <v>460</v>
      </c>
    </row>
    <row r="102" spans="1:36" ht="17.25" hidden="1" customHeight="1" x14ac:dyDescent="0.35">
      <c r="A102" s="38" t="s">
        <v>170</v>
      </c>
      <c r="B102" s="170" t="s">
        <v>387</v>
      </c>
      <c r="C102" s="39" t="s">
        <v>350</v>
      </c>
      <c r="D102" s="38" t="s">
        <v>104</v>
      </c>
      <c r="E102" s="38" t="s">
        <v>269</v>
      </c>
      <c r="F10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0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0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0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0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0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0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-44781.15625</v>
      </c>
      <c r="O10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-44781.106250000004</v>
      </c>
      <c r="S102" s="41">
        <f t="shared" si="3"/>
        <v>44811.106250000004</v>
      </c>
      <c r="T102" s="122">
        <f>Table436[[#This Row],[Total Hours in Service]]</f>
        <v>11.871527777777775</v>
      </c>
      <c r="U10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02" s="42">
        <f>Table4[[#This Row],[Total Interrruption]]-Table4[[#This Row],[Planned shutdown for construction activity ]]-Table4[[#This Row],[Planned shutdown for O&amp;M activity ]]</f>
        <v>3</v>
      </c>
      <c r="W10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0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0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14.5</v>
      </c>
      <c r="AF10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2" s="40">
        <f>Table4[[#This Row],[Load Interrupted (MW)]]-Table4[[#This Row],[Load at Restoration]]</f>
        <v>14.5</v>
      </c>
      <c r="AH10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-134343.20305555558</v>
      </c>
      <c r="AI102" s="66">
        <f>(Table4[[#This Row],[Load Interrupted (MW)]]/0.85*1000)</f>
        <v>17058.823529411766</v>
      </c>
      <c r="AJ102" s="169" t="s">
        <v>460</v>
      </c>
    </row>
    <row r="103" spans="1:36" s="157" customFormat="1" ht="17.25" hidden="1" customHeight="1" x14ac:dyDescent="0.35">
      <c r="A103" s="169" t="s">
        <v>170</v>
      </c>
      <c r="B103" s="170" t="s">
        <v>387</v>
      </c>
      <c r="C103" s="170" t="s">
        <v>215</v>
      </c>
      <c r="D103" s="169" t="s">
        <v>450</v>
      </c>
      <c r="E103" s="169" t="s">
        <v>269</v>
      </c>
      <c r="F103"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03"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03"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03"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3"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3"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03"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03"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0.68888888889341615</v>
      </c>
      <c r="O103"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3"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3"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3"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0.68888888889341615</v>
      </c>
      <c r="S103" s="122">
        <f t="shared" si="3"/>
        <v>29.311111111106584</v>
      </c>
      <c r="T103" s="122">
        <f>Table436[[#This Row],[Total Hours in Service]]</f>
        <v>15.849305555555556</v>
      </c>
      <c r="U10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03" s="42">
        <f>Table4[[#This Row],[Total Interrruption]]-Table4[[#This Row],[Planned shutdown for construction activity ]]-Table4[[#This Row],[Planned shutdown for O&amp;M activity ]]</f>
        <v>2</v>
      </c>
      <c r="W10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3"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0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3"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v>
      </c>
      <c r="AF103"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3" s="171">
        <f>Table4[[#This Row],[Load Interrupted (MW)]]-Table4[[#This Row],[Load at Restoration]]</f>
        <v>1</v>
      </c>
      <c r="AH10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0.30833333333430346</v>
      </c>
      <c r="AI103" s="66">
        <f>(Table4[[#This Row],[Load Interrupted (MW)]]/0.85*1000)</f>
        <v>1176.4705882352941</v>
      </c>
      <c r="AJ103" s="169" t="s">
        <v>460</v>
      </c>
    </row>
    <row r="104" spans="1:36" ht="17.25" hidden="1" customHeight="1" x14ac:dyDescent="0.35">
      <c r="A104" s="38" t="s">
        <v>170</v>
      </c>
      <c r="B104" s="170" t="s">
        <v>388</v>
      </c>
      <c r="C104" s="39" t="s">
        <v>215</v>
      </c>
      <c r="D104" s="38" t="s">
        <v>103</v>
      </c>
      <c r="E104" s="38" t="s">
        <v>269</v>
      </c>
      <c r="F10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0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0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0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0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0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0.29166666667151731</v>
      </c>
      <c r="O10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7.6388888890505768E-2</v>
      </c>
      <c r="P10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0.36805555556202307</v>
      </c>
      <c r="S104" s="41">
        <f t="shared" si="3"/>
        <v>29.631944444437977</v>
      </c>
      <c r="T104" s="122">
        <f>Table436[[#This Row],[Total Hours in Service]]</f>
        <v>25.233333333333334</v>
      </c>
      <c r="U10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04" s="42">
        <f>Table4[[#This Row],[Total Interrruption]]-Table4[[#This Row],[Planned shutdown for construction activity ]]-Table4[[#This Row],[Planned shutdown for O&amp;M activity ]]</f>
        <v>1</v>
      </c>
      <c r="W10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0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10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0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10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v>
      </c>
      <c r="AF10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4" s="40">
        <f>Table4[[#This Row],[Load Interrupted (MW)]]-Table4[[#This Row],[Load at Restoration]]</f>
        <v>2</v>
      </c>
      <c r="AH10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0.58333333334303461</v>
      </c>
      <c r="AI104" s="66">
        <f>(Table4[[#This Row],[Load Interrupted (MW)]]/0.85*1000)</f>
        <v>2352.9411764705883</v>
      </c>
      <c r="AJ104" s="169" t="s">
        <v>457</v>
      </c>
    </row>
    <row r="105" spans="1:36" ht="17.25" hidden="1" customHeight="1" x14ac:dyDescent="0.35">
      <c r="A105" s="38" t="s">
        <v>170</v>
      </c>
      <c r="B105" s="39" t="s">
        <v>389</v>
      </c>
      <c r="C105" s="39" t="s">
        <v>216</v>
      </c>
      <c r="D105" s="38" t="s">
        <v>69</v>
      </c>
      <c r="E105" s="38" t="s">
        <v>269</v>
      </c>
      <c r="F10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10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0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0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4</v>
      </c>
      <c r="J10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10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105" s="41" t="e">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#VALUE!</v>
      </c>
      <c r="O10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0.17916666666860692</v>
      </c>
      <c r="P10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5" s="41" t="e">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#VALUE!</v>
      </c>
      <c r="S105" s="41" t="e">
        <f t="shared" si="3"/>
        <v>#VALUE!</v>
      </c>
      <c r="T105" s="122">
        <f>Table436[[#This Row],[Total Hours in Service]]</f>
        <v>13.652777777777779</v>
      </c>
      <c r="U10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105" s="42">
        <f>Table4[[#This Row],[Total Interrruption]]-Table4[[#This Row],[Planned shutdown for construction activity ]]-Table4[[#This Row],[Planned shutdown for O&amp;M activity ]]</f>
        <v>6</v>
      </c>
      <c r="W10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0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4</v>
      </c>
      <c r="AD10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27.099999999999998</v>
      </c>
      <c r="AF10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5" s="40">
        <f>Table4[[#This Row],[Load Interrupted (MW)]]-Table4[[#This Row],[Load at Restoration]]</f>
        <v>27.099999999999998</v>
      </c>
      <c r="AH105" s="43" t="e">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#VALUE!</v>
      </c>
      <c r="AI105" s="66">
        <f>(Table4[[#This Row],[Load Interrupted (MW)]]/0.85*1000)</f>
        <v>31882.352941176468</v>
      </c>
      <c r="AJ105" s="169" t="s">
        <v>461</v>
      </c>
    </row>
    <row r="106" spans="1:36" ht="17.25" hidden="1" customHeight="1" x14ac:dyDescent="0.35">
      <c r="A106" s="38" t="s">
        <v>176</v>
      </c>
      <c r="B106" s="170" t="s">
        <v>389</v>
      </c>
      <c r="C106" s="39" t="s">
        <v>226</v>
      </c>
      <c r="D106" s="38" t="s">
        <v>70</v>
      </c>
      <c r="E106" s="38" t="s">
        <v>269</v>
      </c>
      <c r="F10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0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0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0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0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0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0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0.73541666666278616</v>
      </c>
      <c r="O10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0.73541666666278616</v>
      </c>
      <c r="S106" s="41">
        <f t="shared" si="3"/>
        <v>29.264583333337214</v>
      </c>
      <c r="T106" s="122">
        <f>Table436[[#This Row],[Total Hours in Service]]</f>
        <v>11.895138888888887</v>
      </c>
      <c r="U10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06" s="42">
        <f>Table4[[#This Row],[Total Interrruption]]-Table4[[#This Row],[Planned shutdown for construction activity ]]-Table4[[#This Row],[Planned shutdown for O&amp;M activity ]]</f>
        <v>2</v>
      </c>
      <c r="W10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0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2.2999999999999998</v>
      </c>
      <c r="AF10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6" s="40">
        <f>Table4[[#This Row],[Load Interrupted (MW)]]-Table4[[#This Row],[Load at Restoration]]</f>
        <v>2.2999999999999998</v>
      </c>
      <c r="AH10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0.53187499999330612</v>
      </c>
      <c r="AI106" s="66">
        <f>(Table4[[#This Row],[Load Interrupted (MW)]]/0.85*1000)</f>
        <v>2705.8823529411761</v>
      </c>
      <c r="AJ106" s="169" t="s">
        <v>461</v>
      </c>
    </row>
    <row r="107" spans="1:36" ht="17.25" hidden="1" customHeight="1" x14ac:dyDescent="0.35">
      <c r="A107" s="38" t="s">
        <v>170</v>
      </c>
      <c r="B107" s="170" t="s">
        <v>390</v>
      </c>
      <c r="C107" s="39" t="s">
        <v>216</v>
      </c>
      <c r="D107" s="38" t="s">
        <v>68</v>
      </c>
      <c r="E107" s="38" t="s">
        <v>269</v>
      </c>
      <c r="F10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0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0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0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0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0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9.7222222218988463E-2</v>
      </c>
      <c r="O10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9.7222222218988463E-2</v>
      </c>
      <c r="S107" s="41">
        <f t="shared" si="3"/>
        <v>29.902777777781012</v>
      </c>
      <c r="T107" s="122">
        <f>Table436[[#This Row],[Total Hours in Service]]</f>
        <v>12.779166666666669</v>
      </c>
      <c r="U10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07" s="42">
        <f>Table4[[#This Row],[Total Interrruption]]-Table4[[#This Row],[Planned shutdown for construction activity ]]-Table4[[#This Row],[Planned shutdown for O&amp;M activity ]]</f>
        <v>1</v>
      </c>
      <c r="W10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0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0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7" s="40">
        <f>Table4[[#This Row],[Load Interrupted (MW)]]-Table4[[#This Row],[Load at Restoration]]</f>
        <v>0</v>
      </c>
      <c r="AH10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07" s="66">
        <f>(Table4[[#This Row],[Load Interrupted (MW)]]/0.85*1000)</f>
        <v>0</v>
      </c>
      <c r="AJ107" s="169" t="s">
        <v>461</v>
      </c>
    </row>
    <row r="108" spans="1:36" ht="17.25" hidden="1" customHeight="1" x14ac:dyDescent="0.35">
      <c r="A108" s="38" t="s">
        <v>176</v>
      </c>
      <c r="B108" s="170" t="s">
        <v>391</v>
      </c>
      <c r="C108" s="39" t="s">
        <v>226</v>
      </c>
      <c r="D108" s="38" t="s">
        <v>473</v>
      </c>
      <c r="E108" s="38" t="s">
        <v>269</v>
      </c>
      <c r="F10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0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0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0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0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0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0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0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08" s="41">
        <f t="shared" si="3"/>
        <v>30</v>
      </c>
      <c r="T108" s="122">
        <f>Table436[[#This Row],[Total Hours in Service]]</f>
        <v>11.557638888888889</v>
      </c>
      <c r="U10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08" s="42">
        <f>Table4[[#This Row],[Total Interrruption]]-Table4[[#This Row],[Planned shutdown for construction activity ]]-Table4[[#This Row],[Planned shutdown for O&amp;M activity ]]</f>
        <v>0</v>
      </c>
      <c r="W10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0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0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0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8" s="40">
        <f>Table4[[#This Row],[Load Interrupted (MW)]]-Table4[[#This Row],[Load at Restoration]]</f>
        <v>0</v>
      </c>
      <c r="AH10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08" s="66">
        <f>(Table4[[#This Row],[Load Interrupted (MW)]]/0.85*1000)</f>
        <v>0</v>
      </c>
      <c r="AJ108" s="169" t="s">
        <v>461</v>
      </c>
    </row>
    <row r="109" spans="1:36" ht="17.25" hidden="1" customHeight="1" x14ac:dyDescent="0.35">
      <c r="A109" s="38" t="s">
        <v>176</v>
      </c>
      <c r="B109" s="170" t="s">
        <v>391</v>
      </c>
      <c r="C109" s="39" t="s">
        <v>226</v>
      </c>
      <c r="D109" s="38" t="s">
        <v>191</v>
      </c>
      <c r="E109" s="38" t="s">
        <v>269</v>
      </c>
      <c r="F10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6</v>
      </c>
      <c r="G10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0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0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0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0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0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0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5</v>
      </c>
      <c r="N10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0.90138888888759539</v>
      </c>
      <c r="O10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0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0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0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1.109722222223354</v>
      </c>
      <c r="S109" s="41">
        <f t="shared" si="3"/>
        <v>28.890277777776646</v>
      </c>
      <c r="T109" s="122">
        <f>Table436[[#This Row],[Total Hours in Service]]</f>
        <v>12.6875</v>
      </c>
      <c r="U10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109" s="42">
        <f>Table4[[#This Row],[Total Interrruption]]-Table4[[#This Row],[Planned shutdown for construction activity ]]-Table4[[#This Row],[Planned shutdown for O&amp;M activity ]]</f>
        <v>6</v>
      </c>
      <c r="W10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0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0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0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10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0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0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4</v>
      </c>
      <c r="AD10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0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7.9</v>
      </c>
      <c r="AF10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09" s="40">
        <f>Table4[[#This Row],[Load Interrupted (MW)]]-Table4[[#This Row],[Load at Restoration]]</f>
        <v>7.9</v>
      </c>
      <c r="AH10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1.232013888892834</v>
      </c>
      <c r="AI109" s="66">
        <f>(Table4[[#This Row],[Load Interrupted (MW)]]/0.85*1000)</f>
        <v>9294.1176470588234</v>
      </c>
      <c r="AJ109" s="169" t="s">
        <v>461</v>
      </c>
    </row>
    <row r="110" spans="1:36" ht="17.25" hidden="1" customHeight="1" x14ac:dyDescent="0.35">
      <c r="A110" s="38" t="s">
        <v>170</v>
      </c>
      <c r="B110" s="170" t="s">
        <v>390</v>
      </c>
      <c r="C110" s="39" t="s">
        <v>216</v>
      </c>
      <c r="D110" s="38" t="s">
        <v>71</v>
      </c>
      <c r="E110" s="38" t="s">
        <v>269</v>
      </c>
      <c r="F11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1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1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1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9.7222222226264421E-2</v>
      </c>
      <c r="O11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9.7222222226264421E-2</v>
      </c>
      <c r="S110" s="41">
        <f t="shared" si="3"/>
        <v>29.902777777773736</v>
      </c>
      <c r="T110" s="122">
        <f>Table436[[#This Row],[Total Hours in Service]]</f>
        <v>15.146527777777779</v>
      </c>
      <c r="U11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10" s="42">
        <f>Table4[[#This Row],[Total Interrruption]]-Table4[[#This Row],[Planned shutdown for construction activity ]]-Table4[[#This Row],[Planned shutdown for O&amp;M activity ]]</f>
        <v>1</v>
      </c>
      <c r="W11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1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1.3</v>
      </c>
      <c r="AF11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0" s="40">
        <f>Table4[[#This Row],[Load Interrupted (MW)]]-Table4[[#This Row],[Load at Restoration]]</f>
        <v>1.3</v>
      </c>
      <c r="AH11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0.12638888889414376</v>
      </c>
      <c r="AI110" s="66">
        <f>(Table4[[#This Row],[Load Interrupted (MW)]]/0.85*1000)</f>
        <v>1529.4117647058824</v>
      </c>
      <c r="AJ110" s="169" t="s">
        <v>461</v>
      </c>
    </row>
    <row r="111" spans="1:36" ht="17.25" hidden="1" customHeight="1" x14ac:dyDescent="0.35">
      <c r="A111" s="38" t="s">
        <v>170</v>
      </c>
      <c r="B111" s="170" t="s">
        <v>390</v>
      </c>
      <c r="C111" s="39" t="s">
        <v>216</v>
      </c>
      <c r="D111" s="38" t="s">
        <v>72</v>
      </c>
      <c r="E111" s="38" t="s">
        <v>269</v>
      </c>
      <c r="F11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1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1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1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2.1527777775190771E-2</v>
      </c>
      <c r="O11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2.1527777775190771E-2</v>
      </c>
      <c r="S111" s="41">
        <f t="shared" si="3"/>
        <v>29.978472222224809</v>
      </c>
      <c r="T111" s="122">
        <f>Table436[[#This Row],[Total Hours in Service]]</f>
        <v>14.113888888888891</v>
      </c>
      <c r="U11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11" s="42">
        <f>Table4[[#This Row],[Total Interrruption]]-Table4[[#This Row],[Planned shutdown for construction activity ]]-Table4[[#This Row],[Planned shutdown for O&amp;M activity ]]</f>
        <v>1</v>
      </c>
      <c r="W11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1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2.5</v>
      </c>
      <c r="AF11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1" s="40">
        <f>Table4[[#This Row],[Load Interrupted (MW)]]-Table4[[#This Row],[Load at Restoration]]</f>
        <v>2.5</v>
      </c>
      <c r="AH11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5.3819444437976927E-2</v>
      </c>
      <c r="AI111" s="66">
        <f>(Table4[[#This Row],[Load Interrupted (MW)]]/0.85*1000)</f>
        <v>2941.1764705882356</v>
      </c>
      <c r="AJ111" s="169" t="s">
        <v>461</v>
      </c>
    </row>
    <row r="112" spans="1:36" ht="17.25" hidden="1" customHeight="1" x14ac:dyDescent="0.35">
      <c r="A112" s="38" t="s">
        <v>170</v>
      </c>
      <c r="B112" s="39" t="s">
        <v>392</v>
      </c>
      <c r="C112" s="39" t="s">
        <v>350</v>
      </c>
      <c r="D112" s="38" t="s">
        <v>108</v>
      </c>
      <c r="E112" s="38" t="s">
        <v>269</v>
      </c>
      <c r="F11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1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12" s="41">
        <f t="shared" si="3"/>
        <v>30</v>
      </c>
      <c r="T112" s="122">
        <f>Table436[[#This Row],[Total Hours in Service]]</f>
        <v>27.714583333333337</v>
      </c>
      <c r="U11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2" s="42">
        <f>Table4[[#This Row],[Total Interrruption]]-Table4[[#This Row],[Planned shutdown for construction activity ]]-Table4[[#This Row],[Planned shutdown for O&amp;M activity ]]</f>
        <v>0</v>
      </c>
      <c r="W11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1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2" s="40">
        <f>Table4[[#This Row],[Load Interrupted (MW)]]-Table4[[#This Row],[Load at Restoration]]</f>
        <v>0</v>
      </c>
      <c r="AH11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2" s="66">
        <f>(Table4[[#This Row],[Load Interrupted (MW)]]/0.85*1000)</f>
        <v>0</v>
      </c>
      <c r="AJ112" s="169" t="s">
        <v>457</v>
      </c>
    </row>
    <row r="113" spans="1:36" ht="17.25" hidden="1" customHeight="1" x14ac:dyDescent="0.35">
      <c r="A113" s="169" t="s">
        <v>170</v>
      </c>
      <c r="B113" s="170" t="s">
        <v>392</v>
      </c>
      <c r="C113" s="170" t="s">
        <v>350</v>
      </c>
      <c r="D113" s="169" t="s">
        <v>474</v>
      </c>
      <c r="E113" s="169" t="s">
        <v>269</v>
      </c>
      <c r="F11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13"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3"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3"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3"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3"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3"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13" s="41">
        <f t="shared" si="3"/>
        <v>30</v>
      </c>
      <c r="T113" s="122">
        <f>Table436[[#This Row],[Total Hours in Service]]</f>
        <v>27.3</v>
      </c>
      <c r="U11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3" s="42">
        <f>Table4[[#This Row],[Total Interrruption]]-Table4[[#This Row],[Planned shutdown for construction activity ]]-Table4[[#This Row],[Planned shutdown for O&amp;M activity ]]</f>
        <v>0</v>
      </c>
      <c r="W11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1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3" s="40">
        <f>Table4[[#This Row],[Load Interrupted (MW)]]-Table4[[#This Row],[Load at Restoration]]</f>
        <v>0</v>
      </c>
      <c r="AH11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3" s="66">
        <f>(Table4[[#This Row],[Load Interrupted (MW)]]/0.85*1000)</f>
        <v>0</v>
      </c>
      <c r="AJ113" s="169" t="s">
        <v>457</v>
      </c>
    </row>
    <row r="114" spans="1:36" ht="17.25" hidden="1" customHeight="1" x14ac:dyDescent="0.35">
      <c r="A114" s="38" t="s">
        <v>172</v>
      </c>
      <c r="B114" s="170" t="s">
        <v>392</v>
      </c>
      <c r="C114" s="39" t="s">
        <v>220</v>
      </c>
      <c r="D114" s="38" t="s">
        <v>109</v>
      </c>
      <c r="E114" s="38" t="s">
        <v>269</v>
      </c>
      <c r="F11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1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1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1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1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1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0.15694444443943212</v>
      </c>
      <c r="O11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0.15694444443943212</v>
      </c>
      <c r="S114" s="41">
        <f t="shared" si="3"/>
        <v>29.843055555560568</v>
      </c>
      <c r="T114" s="122">
        <f>Table436[[#This Row],[Total Hours in Service]]</f>
        <v>17.149305555555557</v>
      </c>
      <c r="U11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14" s="42">
        <f>Table4[[#This Row],[Total Interrruption]]-Table4[[#This Row],[Planned shutdown for construction activity ]]-Table4[[#This Row],[Planned shutdown for O&amp;M activity ]]</f>
        <v>2</v>
      </c>
      <c r="W11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1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3.8</v>
      </c>
      <c r="AF11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4" s="40">
        <f>Table4[[#This Row],[Load Interrupted (MW)]]-Table4[[#This Row],[Load at Restoration]]</f>
        <v>3.8</v>
      </c>
      <c r="AH11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5.2777777756273278E-2</v>
      </c>
      <c r="AI114" s="66">
        <f>(Table4[[#This Row],[Load Interrupted (MW)]]/0.85*1000)</f>
        <v>4470.588235294118</v>
      </c>
      <c r="AJ114" s="169" t="s">
        <v>461</v>
      </c>
    </row>
    <row r="115" spans="1:36" ht="17.25" hidden="1" customHeight="1" x14ac:dyDescent="0.35">
      <c r="A115" s="38" t="s">
        <v>172</v>
      </c>
      <c r="B115" s="39" t="s">
        <v>393</v>
      </c>
      <c r="C115" s="39" t="s">
        <v>220</v>
      </c>
      <c r="D115" s="38" t="s">
        <v>494</v>
      </c>
      <c r="E115" s="38" t="s">
        <v>269</v>
      </c>
      <c r="F11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1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15" s="41">
        <f t="shared" si="3"/>
        <v>30</v>
      </c>
      <c r="T115" s="122">
        <f>Table436[[#This Row],[Total Hours in Service]]</f>
        <v>27.417361111111109</v>
      </c>
      <c r="U11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5" s="42">
        <f>Table4[[#This Row],[Total Interrruption]]-Table4[[#This Row],[Planned shutdown for construction activity ]]-Table4[[#This Row],[Planned shutdown for O&amp;M activity ]]</f>
        <v>0</v>
      </c>
      <c r="W11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1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5" s="40">
        <f>Table4[[#This Row],[Load Interrupted (MW)]]-Table4[[#This Row],[Load at Restoration]]</f>
        <v>0</v>
      </c>
      <c r="AH11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5" s="66">
        <f>(Table4[[#This Row],[Load Interrupted (MW)]]/0.85*1000)</f>
        <v>0</v>
      </c>
      <c r="AJ115" s="169"/>
    </row>
    <row r="116" spans="1:36" ht="17.25" hidden="1" customHeight="1" x14ac:dyDescent="0.35">
      <c r="A116" s="38" t="s">
        <v>172</v>
      </c>
      <c r="B116" s="170" t="s">
        <v>394</v>
      </c>
      <c r="C116" s="39" t="s">
        <v>220</v>
      </c>
      <c r="D116" s="38" t="s">
        <v>107</v>
      </c>
      <c r="E116" s="38" t="s">
        <v>269</v>
      </c>
      <c r="F11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1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1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0.11250000000291038</v>
      </c>
      <c r="S116" s="41">
        <f t="shared" si="3"/>
        <v>29.88749999999709</v>
      </c>
      <c r="T116" s="122">
        <f>Table436[[#This Row],[Total Hours in Service]]</f>
        <v>23.302083333333329</v>
      </c>
      <c r="U11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6" s="42">
        <f>Table4[[#This Row],[Total Interrruption]]-Table4[[#This Row],[Planned shutdown for construction activity ]]-Table4[[#This Row],[Planned shutdown for O&amp;M activity ]]</f>
        <v>1</v>
      </c>
      <c r="W11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1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1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6" s="40">
        <f>Table4[[#This Row],[Load Interrupted (MW)]]-Table4[[#This Row],[Load at Restoration]]</f>
        <v>0</v>
      </c>
      <c r="AH11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6" s="66">
        <f>(Table4[[#This Row],[Load Interrupted (MW)]]/0.85*1000)</f>
        <v>0</v>
      </c>
      <c r="AJ116" s="169" t="s">
        <v>461</v>
      </c>
    </row>
    <row r="117" spans="1:36" ht="17.25" hidden="1" customHeight="1" x14ac:dyDescent="0.35">
      <c r="A117" s="38" t="s">
        <v>172</v>
      </c>
      <c r="B117" s="39" t="s">
        <v>395</v>
      </c>
      <c r="C117" s="39" t="s">
        <v>218</v>
      </c>
      <c r="D117" s="38" t="s">
        <v>106</v>
      </c>
      <c r="E117" s="38" t="s">
        <v>269</v>
      </c>
      <c r="F11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1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17" s="41">
        <f t="shared" si="3"/>
        <v>30</v>
      </c>
      <c r="T117" s="122">
        <f>Table436[[#This Row],[Total Hours in Service]]</f>
        <v>23.020138888888887</v>
      </c>
      <c r="U11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7" s="42">
        <f>Table4[[#This Row],[Total Interrruption]]-Table4[[#This Row],[Planned shutdown for construction activity ]]-Table4[[#This Row],[Planned shutdown for O&amp;M activity ]]</f>
        <v>0</v>
      </c>
      <c r="W11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1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7" s="40">
        <f>Table4[[#This Row],[Load Interrupted (MW)]]-Table4[[#This Row],[Load at Restoration]]</f>
        <v>0</v>
      </c>
      <c r="AH11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7" s="66">
        <f>(Table4[[#This Row],[Load Interrupted (MW)]]/0.85*1000)</f>
        <v>0</v>
      </c>
      <c r="AJ117" s="169" t="s">
        <v>457</v>
      </c>
    </row>
    <row r="118" spans="1:36" ht="17.25" hidden="1" customHeight="1" x14ac:dyDescent="0.35">
      <c r="A118" s="38" t="s">
        <v>172</v>
      </c>
      <c r="B118" s="39" t="s">
        <v>396</v>
      </c>
      <c r="C118" s="39" t="s">
        <v>218</v>
      </c>
      <c r="D118" s="38" t="s">
        <v>110</v>
      </c>
      <c r="E118" s="38" t="s">
        <v>269</v>
      </c>
      <c r="F11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1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1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1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0.67152777777664596</v>
      </c>
      <c r="O11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0.83194444444961846</v>
      </c>
      <c r="S118" s="41">
        <f t="shared" si="3"/>
        <v>29.168055555550382</v>
      </c>
      <c r="T118" s="122">
        <f>Table436[[#This Row],[Total Hours in Service]]</f>
        <v>15.514583333333336</v>
      </c>
      <c r="U11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18" s="42">
        <f>Table4[[#This Row],[Total Interrruption]]-Table4[[#This Row],[Planned shutdown for construction activity ]]-Table4[[#This Row],[Planned shutdown for O&amp;M activity ]]</f>
        <v>2</v>
      </c>
      <c r="W11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1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1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4.0999999999999996</v>
      </c>
      <c r="AF11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8" s="40">
        <f>Table4[[#This Row],[Load Interrupted (MW)]]-Table4[[#This Row],[Load at Restoration]]</f>
        <v>4.0999999999999996</v>
      </c>
      <c r="AH11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1.6288194444561668</v>
      </c>
      <c r="AI118" s="66">
        <f>(Table4[[#This Row],[Load Interrupted (MW)]]/0.85*1000)</f>
        <v>4823.5294117647054</v>
      </c>
      <c r="AJ118" s="169" t="s">
        <v>461</v>
      </c>
    </row>
    <row r="119" spans="1:36" ht="17.25" hidden="1" customHeight="1" x14ac:dyDescent="0.35">
      <c r="A119" s="38" t="s">
        <v>172</v>
      </c>
      <c r="B119" s="170" t="s">
        <v>396</v>
      </c>
      <c r="C119" s="39" t="s">
        <v>218</v>
      </c>
      <c r="D119" s="38" t="s">
        <v>111</v>
      </c>
      <c r="E119" s="38" t="s">
        <v>269</v>
      </c>
      <c r="F11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1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1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1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1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1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1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1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1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1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1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1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1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19" s="41">
        <f t="shared" si="3"/>
        <v>30</v>
      </c>
      <c r="T119" s="122">
        <f>Table436[[#This Row],[Total Hours in Service]]</f>
        <v>16.953472222222224</v>
      </c>
      <c r="U11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19" s="42">
        <f>Table4[[#This Row],[Total Interrruption]]-Table4[[#This Row],[Planned shutdown for construction activity ]]-Table4[[#This Row],[Planned shutdown for O&amp;M activity ]]</f>
        <v>0</v>
      </c>
      <c r="W11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1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1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1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1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1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1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1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1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1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19" s="40">
        <f>Table4[[#This Row],[Load Interrupted (MW)]]-Table4[[#This Row],[Load at Restoration]]</f>
        <v>0</v>
      </c>
      <c r="AH11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19" s="66">
        <f>(Table4[[#This Row],[Load Interrupted (MW)]]/0.85*1000)</f>
        <v>0</v>
      </c>
      <c r="AJ119" s="169" t="s">
        <v>458</v>
      </c>
    </row>
    <row r="120" spans="1:36" ht="17.25" hidden="1" customHeight="1" x14ac:dyDescent="0.35">
      <c r="A120" s="38" t="s">
        <v>172</v>
      </c>
      <c r="B120" s="39" t="s">
        <v>411</v>
      </c>
      <c r="C120" s="39" t="s">
        <v>219</v>
      </c>
      <c r="D120" s="38" t="s">
        <v>143</v>
      </c>
      <c r="E120" s="38" t="s">
        <v>269</v>
      </c>
      <c r="F12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2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2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2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2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2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2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20" s="41">
        <f t="shared" si="3"/>
        <v>30</v>
      </c>
      <c r="T120" s="122">
        <f>Table436[[#This Row],[Total Hours in Service]]</f>
        <v>6.9673611111111091</v>
      </c>
      <c r="U12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20" s="42">
        <f>Table4[[#This Row],[Total Interrruption]]-Table4[[#This Row],[Planned shutdown for construction activity ]]-Table4[[#This Row],[Planned shutdown for O&amp;M activity ]]</f>
        <v>0</v>
      </c>
      <c r="W12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2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2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0" s="40">
        <f>Table4[[#This Row],[Load Interrupted (MW)]]-Table4[[#This Row],[Load at Restoration]]</f>
        <v>0</v>
      </c>
      <c r="AH12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20" s="66">
        <f>(Table4[[#This Row],[Load Interrupted (MW)]]/0.85*1000)</f>
        <v>0</v>
      </c>
      <c r="AJ120" s="169" t="s">
        <v>461</v>
      </c>
    </row>
    <row r="121" spans="1:36" ht="17.25" hidden="1" customHeight="1" x14ac:dyDescent="0.35">
      <c r="A121" s="38" t="s">
        <v>172</v>
      </c>
      <c r="B121" s="170" t="s">
        <v>411</v>
      </c>
      <c r="C121" s="39" t="s">
        <v>219</v>
      </c>
      <c r="D121" s="38" t="s">
        <v>144</v>
      </c>
      <c r="E121" s="38" t="s">
        <v>270</v>
      </c>
      <c r="F12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2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2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2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2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2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2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21" s="41">
        <f t="shared" si="3"/>
        <v>30</v>
      </c>
      <c r="T121" s="122">
        <f>Table436[[#This Row],[Total Hours in Service]]</f>
        <v>5.5041666666666664</v>
      </c>
      <c r="U12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21" s="42">
        <f>Table4[[#This Row],[Total Interrruption]]-Table4[[#This Row],[Planned shutdown for construction activity ]]-Table4[[#This Row],[Planned shutdown for O&amp;M activity ]]</f>
        <v>0</v>
      </c>
      <c r="W12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2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2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1" s="40">
        <f>Table4[[#This Row],[Load Interrupted (MW)]]-Table4[[#This Row],[Load at Restoration]]</f>
        <v>0</v>
      </c>
      <c r="AH12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21" s="66">
        <f>(Table4[[#This Row],[Load Interrupted (MW)]]/0.85*1000)</f>
        <v>0</v>
      </c>
      <c r="AJ121" s="169" t="s">
        <v>459</v>
      </c>
    </row>
    <row r="122" spans="1:36" ht="17.25" hidden="1" customHeight="1" x14ac:dyDescent="0.35">
      <c r="A122" s="38" t="s">
        <v>171</v>
      </c>
      <c r="B122" s="39" t="s">
        <v>397</v>
      </c>
      <c r="C122" s="39" t="s">
        <v>257</v>
      </c>
      <c r="D122" s="38" t="s">
        <v>60</v>
      </c>
      <c r="E122" s="38" t="s">
        <v>269</v>
      </c>
      <c r="F12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10</v>
      </c>
      <c r="G12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4</v>
      </c>
      <c r="H12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12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2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3</v>
      </c>
      <c r="L12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12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2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0.95277777778392192</v>
      </c>
      <c r="O12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0.29791666666278616</v>
      </c>
      <c r="P12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1.2506944444467081</v>
      </c>
      <c r="S122" s="41">
        <f t="shared" si="3"/>
        <v>28.749305555553292</v>
      </c>
      <c r="T122" s="122">
        <f>Table436[[#This Row],[Total Hours in Service]]</f>
        <v>21.036111111111111</v>
      </c>
      <c r="U12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9</v>
      </c>
      <c r="V122" s="42">
        <f>Table4[[#This Row],[Total Interrruption]]-Table4[[#This Row],[Planned shutdown for construction activity ]]-Table4[[#This Row],[Planned shutdown for O&amp;M activity ]]</f>
        <v>9</v>
      </c>
      <c r="W12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2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12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7</v>
      </c>
      <c r="AD12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12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24.1</v>
      </c>
      <c r="AF12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2" s="40">
        <f>Table4[[#This Row],[Load Interrupted (MW)]]-Table4[[#This Row],[Load at Restoration]]</f>
        <v>24.1</v>
      </c>
      <c r="AH12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2.7020138889092777</v>
      </c>
      <c r="AI122" s="66">
        <f>(Table4[[#This Row],[Load Interrupted (MW)]]/0.85*1000)</f>
        <v>28352.941176470591</v>
      </c>
      <c r="AJ122" s="169" t="s">
        <v>457</v>
      </c>
    </row>
    <row r="123" spans="1:36" ht="17.25" hidden="1" customHeight="1" x14ac:dyDescent="0.35">
      <c r="A123" s="38" t="s">
        <v>171</v>
      </c>
      <c r="B123" s="170" t="s">
        <v>397</v>
      </c>
      <c r="C123" s="39" t="s">
        <v>443</v>
      </c>
      <c r="D123" s="38" t="s">
        <v>61</v>
      </c>
      <c r="E123" s="38" t="s">
        <v>269</v>
      </c>
      <c r="F12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2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12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2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2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2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-44783.756944444445</v>
      </c>
      <c r="O12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-44783.756944444445</v>
      </c>
      <c r="S123" s="41">
        <f t="shared" si="3"/>
        <v>44813.756944444445</v>
      </c>
      <c r="T123" s="122">
        <f>Table436[[#This Row],[Total Hours in Service]]</f>
        <v>19.354861111111106</v>
      </c>
      <c r="U12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23" s="42">
        <f>Table4[[#This Row],[Total Interrruption]]-Table4[[#This Row],[Planned shutdown for construction activity ]]-Table4[[#This Row],[Planned shutdown for O&amp;M activity ]]</f>
        <v>2</v>
      </c>
      <c r="W12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2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2.9</v>
      </c>
      <c r="AF12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3" s="40">
        <f>Table4[[#This Row],[Load Interrupted (MW)]]-Table4[[#This Row],[Load at Restoration]]</f>
        <v>2.9</v>
      </c>
      <c r="AH12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-62697.217499999999</v>
      </c>
      <c r="AI123" s="66">
        <f>(Table4[[#This Row],[Load Interrupted (MW)]]/0.85*1000)</f>
        <v>3411.7647058823527</v>
      </c>
      <c r="AJ123" s="169" t="s">
        <v>458</v>
      </c>
    </row>
    <row r="124" spans="1:36" ht="17.25" hidden="1" customHeight="1" x14ac:dyDescent="0.35">
      <c r="A124" s="38" t="s">
        <v>171</v>
      </c>
      <c r="B124" s="170" t="s">
        <v>397</v>
      </c>
      <c r="C124" s="170" t="s">
        <v>443</v>
      </c>
      <c r="D124" s="38" t="s">
        <v>64</v>
      </c>
      <c r="E124" s="38" t="s">
        <v>269</v>
      </c>
      <c r="F12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12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12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2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2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12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2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0.77083333332848269</v>
      </c>
      <c r="O12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0.77083333332848269</v>
      </c>
      <c r="S124" s="41">
        <f t="shared" si="3"/>
        <v>29.229166666671517</v>
      </c>
      <c r="T124" s="122">
        <f>Table436[[#This Row],[Total Hours in Service]]</f>
        <v>21.27708333333333</v>
      </c>
      <c r="U12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124" s="42">
        <f>Table4[[#This Row],[Total Interrruption]]-Table4[[#This Row],[Planned shutdown for construction activity ]]-Table4[[#This Row],[Planned shutdown for O&amp;M activity ]]</f>
        <v>4</v>
      </c>
      <c r="W12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2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12.2</v>
      </c>
      <c r="AF12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4" s="40">
        <f>Table4[[#This Row],[Load Interrupted (MW)]]-Table4[[#This Row],[Load at Restoration]]</f>
        <v>12.2</v>
      </c>
      <c r="AH12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2.3146527777622397</v>
      </c>
      <c r="AI124" s="66">
        <f>(Table4[[#This Row],[Load Interrupted (MW)]]/0.85*1000)</f>
        <v>14352.941176470587</v>
      </c>
      <c r="AJ124" s="169" t="s">
        <v>458</v>
      </c>
    </row>
    <row r="125" spans="1:36" ht="17.25" hidden="1" customHeight="1" x14ac:dyDescent="0.35">
      <c r="A125" s="38" t="s">
        <v>171</v>
      </c>
      <c r="B125" s="170" t="s">
        <v>398</v>
      </c>
      <c r="C125" s="39" t="s">
        <v>257</v>
      </c>
      <c r="D125" s="38" t="s">
        <v>62</v>
      </c>
      <c r="E125" s="38" t="s">
        <v>269</v>
      </c>
      <c r="F12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8</v>
      </c>
      <c r="G12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6</v>
      </c>
      <c r="H12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2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2</v>
      </c>
      <c r="L12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5</v>
      </c>
      <c r="M12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2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60.73194444445835</v>
      </c>
      <c r="O12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60.73194444445835</v>
      </c>
      <c r="S125" s="41">
        <f t="shared" si="3"/>
        <v>-30.73194444445835</v>
      </c>
      <c r="T125" s="122">
        <f>Table436[[#This Row],[Total Hours in Service]]</f>
        <v>20.327777777777779</v>
      </c>
      <c r="U12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8</v>
      </c>
      <c r="V125" s="42">
        <f>Table4[[#This Row],[Total Interrruption]]-Table4[[#This Row],[Planned shutdown for construction activity ]]-Table4[[#This Row],[Planned shutdown for O&amp;M activity ]]</f>
        <v>8</v>
      </c>
      <c r="W12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12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18</v>
      </c>
      <c r="AF12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5" s="40">
        <f>Table4[[#This Row],[Load Interrupted (MW)]]-Table4[[#This Row],[Load at Restoration]]</f>
        <v>18</v>
      </c>
      <c r="AH12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181.50486111114878</v>
      </c>
      <c r="AI125" s="66">
        <f>(Table4[[#This Row],[Load Interrupted (MW)]]/0.85*1000)</f>
        <v>21176.470588235294</v>
      </c>
      <c r="AJ125" s="169" t="s">
        <v>457</v>
      </c>
    </row>
    <row r="126" spans="1:36" ht="17.25" hidden="1" customHeight="1" x14ac:dyDescent="0.35">
      <c r="A126" s="38" t="s">
        <v>171</v>
      </c>
      <c r="B126" s="170" t="s">
        <v>398</v>
      </c>
      <c r="C126" s="39" t="s">
        <v>257</v>
      </c>
      <c r="D126" s="38" t="s">
        <v>63</v>
      </c>
      <c r="E126" s="38" t="s">
        <v>269</v>
      </c>
      <c r="F12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2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2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2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2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2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2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0.24722222222771961</v>
      </c>
      <c r="O12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0.24722222222771961</v>
      </c>
      <c r="S126" s="41">
        <f t="shared" si="3"/>
        <v>29.75277777777228</v>
      </c>
      <c r="T126" s="122">
        <f>Table436[[#This Row],[Total Hours in Service]]</f>
        <v>23.222222222222214</v>
      </c>
      <c r="U12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26" s="42">
        <f>Table4[[#This Row],[Total Interrruption]]-Table4[[#This Row],[Planned shutdown for construction activity ]]-Table4[[#This Row],[Planned shutdown for O&amp;M activity ]]</f>
        <v>2</v>
      </c>
      <c r="W12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2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3.8000000000000003</v>
      </c>
      <c r="AF12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6" s="40">
        <f>Table4[[#This Row],[Load Interrupted (MW)]]-Table4[[#This Row],[Load at Restoration]]</f>
        <v>3.8000000000000003</v>
      </c>
      <c r="AH12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0.39972222223150317</v>
      </c>
      <c r="AI126" s="66">
        <f>(Table4[[#This Row],[Load Interrupted (MW)]]/0.85*1000)</f>
        <v>4470.588235294118</v>
      </c>
      <c r="AJ126" s="169" t="s">
        <v>457</v>
      </c>
    </row>
    <row r="127" spans="1:36" ht="17.25" hidden="1" customHeight="1" x14ac:dyDescent="0.35">
      <c r="A127" s="38" t="s">
        <v>171</v>
      </c>
      <c r="B127" s="170" t="s">
        <v>399</v>
      </c>
      <c r="C127" s="39" t="s">
        <v>221</v>
      </c>
      <c r="D127" s="38" t="s">
        <v>476</v>
      </c>
      <c r="E127" s="38" t="s">
        <v>269</v>
      </c>
      <c r="F12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2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2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2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2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2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2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27" s="41">
        <f t="shared" si="3"/>
        <v>30</v>
      </c>
      <c r="T127" s="122">
        <f>Table436[[#This Row],[Total Hours in Service]]</f>
        <v>14.052083333333332</v>
      </c>
      <c r="U12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27" s="42">
        <f>Table4[[#This Row],[Total Interrruption]]-Table4[[#This Row],[Planned shutdown for construction activity ]]-Table4[[#This Row],[Planned shutdown for O&amp;M activity ]]</f>
        <v>0</v>
      </c>
      <c r="W12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2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2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7" s="40">
        <f>Table4[[#This Row],[Load Interrupted (MW)]]-Table4[[#This Row],[Load at Restoration]]</f>
        <v>0</v>
      </c>
      <c r="AH12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27" s="66">
        <f>(Table4[[#This Row],[Load Interrupted (MW)]]/0.85*1000)</f>
        <v>0</v>
      </c>
      <c r="AJ127" s="169" t="s">
        <v>458</v>
      </c>
    </row>
    <row r="128" spans="1:36" ht="17.25" hidden="1" customHeight="1" x14ac:dyDescent="0.35">
      <c r="A128" s="38" t="s">
        <v>171</v>
      </c>
      <c r="B128" s="170" t="s">
        <v>399</v>
      </c>
      <c r="C128" s="39" t="s">
        <v>443</v>
      </c>
      <c r="D128" s="38" t="s">
        <v>65</v>
      </c>
      <c r="E128" s="38" t="s">
        <v>269</v>
      </c>
      <c r="F12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2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2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2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12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2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0.67152777778392192</v>
      </c>
      <c r="O12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2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0.67152777778392192</v>
      </c>
      <c r="S128" s="41">
        <f t="shared" si="3"/>
        <v>29.328472222216078</v>
      </c>
      <c r="T128" s="122">
        <f>Table436[[#This Row],[Total Hours in Service]]</f>
        <v>13.280555555555551</v>
      </c>
      <c r="U12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128" s="42">
        <f>Table4[[#This Row],[Total Interrruption]]-Table4[[#This Row],[Planned shutdown for construction activity ]]-Table4[[#This Row],[Planned shutdown for O&amp;M activity ]]</f>
        <v>3</v>
      </c>
      <c r="W12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2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2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2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2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v>
      </c>
      <c r="AF12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8" s="40">
        <f>Table4[[#This Row],[Load Interrupted (MW)]]-Table4[[#This Row],[Load at Restoration]]</f>
        <v>4</v>
      </c>
      <c r="AH12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1.1638888888992369</v>
      </c>
      <c r="AI128" s="66">
        <f>(Table4[[#This Row],[Load Interrupted (MW)]]/0.85*1000)</f>
        <v>4705.8823529411766</v>
      </c>
      <c r="AJ128" s="169" t="s">
        <v>461</v>
      </c>
    </row>
    <row r="129" spans="1:36" ht="17.25" hidden="1" customHeight="1" x14ac:dyDescent="0.35">
      <c r="A129" s="38" t="s">
        <v>171</v>
      </c>
      <c r="B129" s="39" t="s">
        <v>400</v>
      </c>
      <c r="C129" s="39" t="s">
        <v>257</v>
      </c>
      <c r="D129" s="38" t="s">
        <v>66</v>
      </c>
      <c r="E129" s="38" t="s">
        <v>269</v>
      </c>
      <c r="F12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2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2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2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2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2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2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2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2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0.41597222221753327</v>
      </c>
      <c r="O12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0.18125000000145519</v>
      </c>
      <c r="P12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2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2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0.59722222221898846</v>
      </c>
      <c r="S129" s="41">
        <f t="shared" si="3"/>
        <v>29.402777777781012</v>
      </c>
      <c r="T129" s="122">
        <f>Table436[[#This Row],[Total Hours in Service]]</f>
        <v>23.481249999999999</v>
      </c>
      <c r="U12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29" s="42">
        <f>Table4[[#This Row],[Total Interrruption]]-Table4[[#This Row],[Planned shutdown for construction activity ]]-Table4[[#This Row],[Planned shutdown for O&amp;M activity ]]</f>
        <v>1</v>
      </c>
      <c r="W12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2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2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2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2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2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C12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2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1</v>
      </c>
      <c r="AE12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0.7</v>
      </c>
      <c r="AF12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29" s="40">
        <f>Table4[[#This Row],[Load Interrupted (MW)]]-Table4[[#This Row],[Load at Restoration]]</f>
        <v>0.7</v>
      </c>
      <c r="AH12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0.12687500000101862</v>
      </c>
      <c r="AI129" s="66">
        <f>(Table4[[#This Row],[Load Interrupted (MW)]]/0.85*1000)</f>
        <v>823.52941176470586</v>
      </c>
      <c r="AJ129" s="169" t="s">
        <v>457</v>
      </c>
    </row>
    <row r="130" spans="1:36" ht="17.25" hidden="1" customHeight="1" x14ac:dyDescent="0.35">
      <c r="A130" s="38" t="s">
        <v>176</v>
      </c>
      <c r="B130" s="170" t="s">
        <v>401</v>
      </c>
      <c r="C130" s="39" t="s">
        <v>226</v>
      </c>
      <c r="D130" s="38" t="s">
        <v>67</v>
      </c>
      <c r="E130" s="38" t="s">
        <v>269</v>
      </c>
      <c r="F13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13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3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3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3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0.38402777777810115</v>
      </c>
      <c r="O13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-44784.061111111114</v>
      </c>
      <c r="S130" s="41">
        <f t="shared" si="3"/>
        <v>44814.061111111114</v>
      </c>
      <c r="T130" s="122">
        <f>Table436[[#This Row],[Total Hours in Service]]</f>
        <v>18.915277777777778</v>
      </c>
      <c r="U13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30" s="42">
        <f>Table4[[#This Row],[Total Interrruption]]-Table4[[#This Row],[Planned shutdown for construction activity ]]-Table4[[#This Row],[Planned shutdown for O&amp;M activity ]]</f>
        <v>4</v>
      </c>
      <c r="W13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2</v>
      </c>
      <c r="AA13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3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6.7</v>
      </c>
      <c r="AF13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0" s="40">
        <f>Table4[[#This Row],[Load Interrupted (MW)]]-Table4[[#This Row],[Load at Restoration]]</f>
        <v>6.7</v>
      </c>
      <c r="AH13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-89567.979027777794</v>
      </c>
      <c r="AI130" s="66">
        <f>(Table4[[#This Row],[Load Interrupted (MW)]]/0.85*1000)</f>
        <v>7882.3529411764712</v>
      </c>
      <c r="AJ130" s="169" t="s">
        <v>457</v>
      </c>
    </row>
    <row r="131" spans="1:36" ht="17.25" hidden="1" customHeight="1" x14ac:dyDescent="0.35">
      <c r="A131" s="38" t="s">
        <v>176</v>
      </c>
      <c r="B131" s="39" t="s">
        <v>404</v>
      </c>
      <c r="C131" s="39" t="s">
        <v>226</v>
      </c>
      <c r="D131" s="38" t="s">
        <v>99</v>
      </c>
      <c r="E131" s="38" t="s">
        <v>269</v>
      </c>
      <c r="F13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3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3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3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0.22916666666424135</v>
      </c>
      <c r="S131" s="41">
        <f t="shared" si="3"/>
        <v>29.770833333335759</v>
      </c>
      <c r="T131" s="122">
        <f>Table436[[#This Row],[Total Hours in Service]]</f>
        <v>14.560138888888886</v>
      </c>
      <c r="U13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31" s="42">
        <f>Table4[[#This Row],[Total Interrruption]]-Table4[[#This Row],[Planned shutdown for construction activity ]]-Table4[[#This Row],[Planned shutdown for O&amp;M activity ]]</f>
        <v>1</v>
      </c>
      <c r="W13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3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3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1" s="40">
        <f>Table4[[#This Row],[Load Interrupted (MW)]]-Table4[[#This Row],[Load at Restoration]]</f>
        <v>0</v>
      </c>
      <c r="AH13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31" s="66">
        <f>(Table4[[#This Row],[Load Interrupted (MW)]]/0.85*1000)</f>
        <v>0</v>
      </c>
      <c r="AJ131" s="169" t="s">
        <v>458</v>
      </c>
    </row>
    <row r="132" spans="1:36" ht="17.25" hidden="1" customHeight="1" x14ac:dyDescent="0.35">
      <c r="A132" s="38" t="s">
        <v>176</v>
      </c>
      <c r="B132" s="170" t="s">
        <v>404</v>
      </c>
      <c r="C132" s="39" t="s">
        <v>226</v>
      </c>
      <c r="D132" s="38" t="s">
        <v>101</v>
      </c>
      <c r="E132" s="38" t="s">
        <v>269</v>
      </c>
      <c r="F13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6</v>
      </c>
      <c r="G13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3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3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3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1</v>
      </c>
      <c r="K13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13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3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2.6493055555620231</v>
      </c>
      <c r="O13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2.718750000007276</v>
      </c>
      <c r="S132" s="41">
        <f t="shared" si="3"/>
        <v>27.281249999992724</v>
      </c>
      <c r="T132" s="122">
        <f>Table436[[#This Row],[Total Hours in Service]]</f>
        <v>8.9622222222222199</v>
      </c>
      <c r="U13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5</v>
      </c>
      <c r="V132" s="42">
        <f>Table4[[#This Row],[Total Interrruption]]-Table4[[#This Row],[Planned shutdown for construction activity ]]-Table4[[#This Row],[Planned shutdown for O&amp;M activity ]]</f>
        <v>6</v>
      </c>
      <c r="W13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3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13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4.8999999999999995</v>
      </c>
      <c r="AF13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2" s="40">
        <f>Table4[[#This Row],[Load Interrupted (MW)]]-Table4[[#This Row],[Load at Restoration]]</f>
        <v>4.8999999999999995</v>
      </c>
      <c r="AH13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0.36277777777795567</v>
      </c>
      <c r="AI132" s="66">
        <f>(Table4[[#This Row],[Load Interrupted (MW)]]/0.85*1000)</f>
        <v>5764.7058823529414</v>
      </c>
      <c r="AJ132" s="169" t="s">
        <v>461</v>
      </c>
    </row>
    <row r="133" spans="1:36" ht="17.25" hidden="1" customHeight="1" x14ac:dyDescent="0.35">
      <c r="A133" s="38" t="s">
        <v>176</v>
      </c>
      <c r="B133" s="170" t="s">
        <v>405</v>
      </c>
      <c r="C133" s="39" t="s">
        <v>226</v>
      </c>
      <c r="D133" s="38" t="s">
        <v>100</v>
      </c>
      <c r="E133" s="38" t="s">
        <v>269</v>
      </c>
      <c r="F13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3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2</v>
      </c>
      <c r="J13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3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3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59.298611111109494</v>
      </c>
      <c r="O13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59.322916666664241</v>
      </c>
      <c r="S133" s="41">
        <f t="shared" ref="S133:S165" si="4">Q$199-R133</f>
        <v>-29.322916666664241</v>
      </c>
      <c r="T133" s="122">
        <f>Table436[[#This Row],[Total Hours in Service]]</f>
        <v>9.5226388888888884</v>
      </c>
      <c r="U13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33" s="42">
        <f>Table4[[#This Row],[Total Interrruption]]-Table4[[#This Row],[Planned shutdown for construction activity ]]-Table4[[#This Row],[Planned shutdown for O&amp;M activity ]]</f>
        <v>3</v>
      </c>
      <c r="W13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3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3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v>
      </c>
      <c r="AF13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3" s="40">
        <f>Table4[[#This Row],[Load Interrupted (MW)]]-Table4[[#This Row],[Load at Restoration]]</f>
        <v>4</v>
      </c>
      <c r="AH13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9.7222222218988463E-2</v>
      </c>
      <c r="AI133" s="66">
        <f>(Table4[[#This Row],[Load Interrupted (MW)]]/0.85*1000)</f>
        <v>4705.8823529411766</v>
      </c>
      <c r="AJ133" s="169" t="s">
        <v>461</v>
      </c>
    </row>
    <row r="134" spans="1:36" ht="17.25" hidden="1" customHeight="1" x14ac:dyDescent="0.35">
      <c r="A134" s="38" t="s">
        <v>176</v>
      </c>
      <c r="B134" s="39" t="s">
        <v>406</v>
      </c>
      <c r="C134" s="39" t="s">
        <v>224</v>
      </c>
      <c r="D134" s="38" t="s">
        <v>112</v>
      </c>
      <c r="E134" s="38" t="s">
        <v>269</v>
      </c>
      <c r="F13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13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3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13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3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3</v>
      </c>
      <c r="M13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3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3.2520833333255723</v>
      </c>
      <c r="O13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0.25763888889196096</v>
      </c>
      <c r="P13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3.5097222222175333</v>
      </c>
      <c r="S134" s="41">
        <f t="shared" si="4"/>
        <v>26.490277777782467</v>
      </c>
      <c r="T134" s="122">
        <f>Table436[[#This Row],[Total Hours in Service]]</f>
        <v>12.447916666666668</v>
      </c>
      <c r="U13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134" s="42">
        <f>Table4[[#This Row],[Total Interrruption]]-Table4[[#This Row],[Planned shutdown for construction activity ]]-Table4[[#This Row],[Planned shutdown for O&amp;M activity ]]</f>
        <v>6</v>
      </c>
      <c r="W13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3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3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7.01</v>
      </c>
      <c r="AF13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4" s="40">
        <f>Table4[[#This Row],[Load Interrupted (MW)]]-Table4[[#This Row],[Load at Restoration]]</f>
        <v>7.01</v>
      </c>
      <c r="AH13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4.9440902777772138</v>
      </c>
      <c r="AI134" s="66">
        <f>(Table4[[#This Row],[Load Interrupted (MW)]]/0.85*1000)</f>
        <v>8247.0588235294108</v>
      </c>
      <c r="AJ134" s="169" t="s">
        <v>460</v>
      </c>
    </row>
    <row r="135" spans="1:36" ht="17.25" hidden="1" customHeight="1" x14ac:dyDescent="0.35">
      <c r="A135" s="38" t="s">
        <v>176</v>
      </c>
      <c r="B135" s="170" t="s">
        <v>406</v>
      </c>
      <c r="C135" s="39" t="s">
        <v>224</v>
      </c>
      <c r="D135" s="38" t="s">
        <v>113</v>
      </c>
      <c r="E135" s="38" t="s">
        <v>269</v>
      </c>
      <c r="F13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13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3</v>
      </c>
      <c r="K13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3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3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0.66180555555911269</v>
      </c>
      <c r="O13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0.66180555555911269</v>
      </c>
      <c r="S135" s="41">
        <f t="shared" si="4"/>
        <v>29.338194444440887</v>
      </c>
      <c r="T135" s="122">
        <f>Table436[[#This Row],[Total Hours in Service]]</f>
        <v>16.741666666666667</v>
      </c>
      <c r="U13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135" s="42">
        <f>Table4[[#This Row],[Total Interrruption]]-Table4[[#This Row],[Planned shutdown for construction activity ]]-Table4[[#This Row],[Planned shutdown for O&amp;M activity ]]</f>
        <v>4</v>
      </c>
      <c r="W13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3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v>
      </c>
      <c r="AF13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5" s="40">
        <f>Table4[[#This Row],[Load Interrupted (MW)]]-Table4[[#This Row],[Load at Restoration]]</f>
        <v>3</v>
      </c>
      <c r="AH13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0.24222222222888373</v>
      </c>
      <c r="AI135" s="66">
        <f>(Table4[[#This Row],[Load Interrupted (MW)]]/0.85*1000)</f>
        <v>3529.4117647058824</v>
      </c>
      <c r="AJ135" s="169" t="s">
        <v>457</v>
      </c>
    </row>
    <row r="136" spans="1:36" ht="17.25" hidden="1" customHeight="1" x14ac:dyDescent="0.35">
      <c r="A136" s="38" t="s">
        <v>176</v>
      </c>
      <c r="B136" s="170" t="s">
        <v>406</v>
      </c>
      <c r="C136" s="39" t="s">
        <v>224</v>
      </c>
      <c r="D136" s="38" t="s">
        <v>114</v>
      </c>
      <c r="E136" s="38" t="s">
        <v>269</v>
      </c>
      <c r="F13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3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3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3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36" s="41">
        <f t="shared" si="4"/>
        <v>30</v>
      </c>
      <c r="T136" s="122">
        <f>Table436[[#This Row],[Total Hours in Service]]</f>
        <v>14.709722222222224</v>
      </c>
      <c r="U13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36" s="42">
        <f>Table4[[#This Row],[Total Interrruption]]-Table4[[#This Row],[Planned shutdown for construction activity ]]-Table4[[#This Row],[Planned shutdown for O&amp;M activity ]]</f>
        <v>0</v>
      </c>
      <c r="W13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3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6" s="40">
        <f>Table4[[#This Row],[Load Interrupted (MW)]]-Table4[[#This Row],[Load at Restoration]]</f>
        <v>0</v>
      </c>
      <c r="AH13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36" s="66">
        <f>(Table4[[#This Row],[Load Interrupted (MW)]]/0.85*1000)</f>
        <v>0</v>
      </c>
      <c r="AJ136" s="169" t="s">
        <v>460</v>
      </c>
    </row>
    <row r="137" spans="1:36" ht="17.25" hidden="1" customHeight="1" x14ac:dyDescent="0.35">
      <c r="A137" s="38" t="s">
        <v>176</v>
      </c>
      <c r="B137" s="39" t="s">
        <v>407</v>
      </c>
      <c r="C137" s="39" t="s">
        <v>353</v>
      </c>
      <c r="D137" s="38" t="s">
        <v>102</v>
      </c>
      <c r="E137" s="38" t="s">
        <v>269</v>
      </c>
      <c r="F13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3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3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3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0.36736111110803904</v>
      </c>
      <c r="O13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0.36736111110803904</v>
      </c>
      <c r="S137" s="41">
        <f t="shared" si="4"/>
        <v>29.632638888891961</v>
      </c>
      <c r="T137" s="122">
        <f>Table436[[#This Row],[Total Hours in Service]]</f>
        <v>20.925000000000001</v>
      </c>
      <c r="U13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37" s="42">
        <f>Table4[[#This Row],[Total Interrruption]]-Table4[[#This Row],[Planned shutdown for construction activity ]]-Table4[[#This Row],[Planned shutdown for O&amp;M activity ]]</f>
        <v>1</v>
      </c>
      <c r="W13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1.1000000000000001</v>
      </c>
      <c r="AF13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7" s="40">
        <f>Table4[[#This Row],[Load Interrupted (MW)]]-Table4[[#This Row],[Load at Restoration]]</f>
        <v>1.1000000000000001</v>
      </c>
      <c r="AH13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0.40409722221884298</v>
      </c>
      <c r="AI137" s="66">
        <f>(Table4[[#This Row],[Load Interrupted (MW)]]/0.85*1000)</f>
        <v>1294.1176470588236</v>
      </c>
      <c r="AJ137" s="169" t="s">
        <v>461</v>
      </c>
    </row>
    <row r="138" spans="1:36" ht="17.25" hidden="1" customHeight="1" x14ac:dyDescent="0.35">
      <c r="A138" s="38"/>
      <c r="B138" s="170" t="s">
        <v>407</v>
      </c>
      <c r="C138" s="170"/>
      <c r="D138" s="38" t="s">
        <v>482</v>
      </c>
      <c r="E138" s="38" t="s">
        <v>269</v>
      </c>
      <c r="F13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3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3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3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38" s="41">
        <f t="shared" si="4"/>
        <v>30</v>
      </c>
      <c r="T138" s="122">
        <f>Table436[[#This Row],[Total Hours in Service]]</f>
        <v>0</v>
      </c>
      <c r="U13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38" s="42">
        <f>Table4[[#This Row],[Total Interrruption]]-Table4[[#This Row],[Planned shutdown for construction activity ]]-Table4[[#This Row],[Planned shutdown for O&amp;M activity ]]</f>
        <v>0</v>
      </c>
      <c r="W13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3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8" s="40">
        <f>Table4[[#This Row],[Load Interrupted (MW)]]-Table4[[#This Row],[Load at Restoration]]</f>
        <v>0</v>
      </c>
      <c r="AH13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38" s="66">
        <f>(Table4[[#This Row],[Load Interrupted (MW)]]/0.85*1000)</f>
        <v>0</v>
      </c>
      <c r="AJ138" s="169" t="s">
        <v>457</v>
      </c>
    </row>
    <row r="139" spans="1:36" s="157" customFormat="1" ht="17.25" hidden="1" customHeight="1" x14ac:dyDescent="0.35">
      <c r="A139" s="169"/>
      <c r="B139" s="170"/>
      <c r="C139" s="170"/>
      <c r="D139" s="169" t="s">
        <v>491</v>
      </c>
      <c r="E139" s="169" t="s">
        <v>269</v>
      </c>
      <c r="F139"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39"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39"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39"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3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39"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39"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39"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39"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39"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39"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39"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39"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39" s="122">
        <f>Q$199-R139</f>
        <v>30</v>
      </c>
      <c r="T139" s="122">
        <f>Table436[[#This Row],[Total Hours in Service]]</f>
        <v>12.769444444444447</v>
      </c>
      <c r="U13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39" s="42">
        <f>Table4[[#This Row],[Total Interrruption]]-Table4[[#This Row],[Planned shutdown for construction activity ]]-Table4[[#This Row],[Planned shutdown for O&amp;M activity ]]</f>
        <v>0</v>
      </c>
      <c r="W13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3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3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3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3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3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39"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3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39"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39"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39" s="171">
        <f>Table4[[#This Row],[Load Interrupted (MW)]]-Table4[[#This Row],[Load at Restoration]]</f>
        <v>0</v>
      </c>
      <c r="AH13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39" s="66">
        <f>(Table4[[#This Row],[Load Interrupted (MW)]]/0.85*1000)</f>
        <v>0</v>
      </c>
      <c r="AJ139" s="169"/>
    </row>
    <row r="140" spans="1:36" ht="17.25" hidden="1" customHeight="1" x14ac:dyDescent="0.35">
      <c r="A140" s="38" t="s">
        <v>176</v>
      </c>
      <c r="B140" s="39" t="s">
        <v>408</v>
      </c>
      <c r="C140" s="39" t="s">
        <v>224</v>
      </c>
      <c r="D140" s="38" t="s">
        <v>115</v>
      </c>
      <c r="E140" s="38" t="s">
        <v>269</v>
      </c>
      <c r="F14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4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4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4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4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3.2638888886140194E-2</v>
      </c>
      <c r="O14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3.2638888886140194E-2</v>
      </c>
      <c r="S140" s="41">
        <f t="shared" si="4"/>
        <v>29.96736111111386</v>
      </c>
      <c r="T140" s="122">
        <f>Table436[[#This Row],[Total Hours in Service]]</f>
        <v>17.776388888888889</v>
      </c>
      <c r="U14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40" s="42">
        <f>Table4[[#This Row],[Total Interrruption]]-Table4[[#This Row],[Planned shutdown for construction activity ]]-Table4[[#This Row],[Planned shutdown for O&amp;M activity ]]</f>
        <v>1</v>
      </c>
      <c r="W14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4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4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0" s="40">
        <f>Table4[[#This Row],[Load Interrupted (MW)]]-Table4[[#This Row],[Load at Restoration]]</f>
        <v>0</v>
      </c>
      <c r="AH14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40" s="66">
        <f>(Table4[[#This Row],[Load Interrupted (MW)]]/0.85*1000)</f>
        <v>0</v>
      </c>
      <c r="AJ140" s="169" t="s">
        <v>458</v>
      </c>
    </row>
    <row r="141" spans="1:36" ht="17.25" hidden="1" customHeight="1" x14ac:dyDescent="0.35">
      <c r="A141" s="38" t="s">
        <v>176</v>
      </c>
      <c r="B141" s="170" t="s">
        <v>408</v>
      </c>
      <c r="C141" s="39" t="s">
        <v>224</v>
      </c>
      <c r="D141" s="38" t="s">
        <v>116</v>
      </c>
      <c r="E141" s="38" t="s">
        <v>269</v>
      </c>
      <c r="F14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4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4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4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4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0.20347222222335404</v>
      </c>
      <c r="O14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0.14513888888905058</v>
      </c>
      <c r="P14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0.34861111111240461</v>
      </c>
      <c r="S141" s="41">
        <f t="shared" si="4"/>
        <v>29.651388888887595</v>
      </c>
      <c r="T141" s="122">
        <f>Table436[[#This Row],[Total Hours in Service]]</f>
        <v>18.279861111111114</v>
      </c>
      <c r="U14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41" s="42">
        <f>Table4[[#This Row],[Total Interrruption]]-Table4[[#This Row],[Planned shutdown for construction activity ]]-Table4[[#This Row],[Planned shutdown for O&amp;M activity ]]</f>
        <v>1</v>
      </c>
      <c r="W14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4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4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1" s="40">
        <f>Table4[[#This Row],[Load Interrupted (MW)]]-Table4[[#This Row],[Load at Restoration]]</f>
        <v>0</v>
      </c>
      <c r="AH14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41" s="66">
        <f>(Table4[[#This Row],[Load Interrupted (MW)]]/0.85*1000)</f>
        <v>0</v>
      </c>
      <c r="AJ141" s="169" t="s">
        <v>458</v>
      </c>
    </row>
    <row r="142" spans="1:36" ht="17.25" hidden="1" customHeight="1" x14ac:dyDescent="0.35">
      <c r="A142" s="38" t="s">
        <v>171</v>
      </c>
      <c r="B142" s="39" t="s">
        <v>416</v>
      </c>
      <c r="C142" s="39" t="s">
        <v>225</v>
      </c>
      <c r="D142" s="38" t="s">
        <v>73</v>
      </c>
      <c r="E142" s="38" t="s">
        <v>269</v>
      </c>
      <c r="F14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4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2</v>
      </c>
      <c r="H14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4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4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4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0.52847222222044365</v>
      </c>
      <c r="O14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0.52847222222044365</v>
      </c>
      <c r="S142" s="41">
        <f t="shared" si="4"/>
        <v>29.471527777779556</v>
      </c>
      <c r="T142" s="122">
        <f>Table436[[#This Row],[Total Hours in Service]]</f>
        <v>21.462500000000006</v>
      </c>
      <c r="U14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142" s="42">
        <f>Table4[[#This Row],[Total Interrruption]]-Table4[[#This Row],[Planned shutdown for construction activity ]]-Table4[[#This Row],[Planned shutdown for O&amp;M activity ]]</f>
        <v>3</v>
      </c>
      <c r="W14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4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1.5</v>
      </c>
      <c r="AF14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2" s="40">
        <f>Table4[[#This Row],[Load Interrupted (MW)]]-Table4[[#This Row],[Load at Restoration]]</f>
        <v>1.5</v>
      </c>
      <c r="AH14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0.54062499999417923</v>
      </c>
      <c r="AI142" s="66">
        <f>(Table4[[#This Row],[Load Interrupted (MW)]]/0.85*1000)</f>
        <v>1764.7058823529412</v>
      </c>
      <c r="AJ142" s="169" t="s">
        <v>457</v>
      </c>
    </row>
    <row r="143" spans="1:36" ht="17.25" hidden="1" customHeight="1" x14ac:dyDescent="0.35">
      <c r="A143" s="38" t="s">
        <v>171</v>
      </c>
      <c r="B143" s="170" t="s">
        <v>416</v>
      </c>
      <c r="C143" s="39" t="s">
        <v>221</v>
      </c>
      <c r="D143" s="38" t="s">
        <v>77</v>
      </c>
      <c r="E143" s="38" t="s">
        <v>269</v>
      </c>
      <c r="F14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4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14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4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4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1.1291666666656965</v>
      </c>
      <c r="O14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1.1291666666656965</v>
      </c>
      <c r="S143" s="41">
        <f t="shared" si="4"/>
        <v>28.870833333334303</v>
      </c>
      <c r="T143" s="122">
        <f>Table436[[#This Row],[Total Hours in Service]]</f>
        <v>14.90138888888889</v>
      </c>
      <c r="U14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143" s="42">
        <f>Table4[[#This Row],[Total Interrruption]]-Table4[[#This Row],[Planned shutdown for construction activity ]]-Table4[[#This Row],[Planned shutdown for O&amp;M activity ]]</f>
        <v>3</v>
      </c>
      <c r="W14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4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4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3" s="40">
        <f>Table4[[#This Row],[Load Interrupted (MW)]]-Table4[[#This Row],[Load at Restoration]]</f>
        <v>0</v>
      </c>
      <c r="AH14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43" s="66">
        <f>(Table4[[#This Row],[Load Interrupted (MW)]]/0.85*1000)</f>
        <v>0</v>
      </c>
      <c r="AJ143" s="169" t="s">
        <v>460</v>
      </c>
    </row>
    <row r="144" spans="1:36" ht="17.25" hidden="1" customHeight="1" x14ac:dyDescent="0.35">
      <c r="A144" s="38" t="s">
        <v>171</v>
      </c>
      <c r="B144" s="170" t="s">
        <v>416</v>
      </c>
      <c r="C144" s="170" t="s">
        <v>443</v>
      </c>
      <c r="D144" s="38" t="s">
        <v>76</v>
      </c>
      <c r="E144" s="38" t="s">
        <v>269</v>
      </c>
      <c r="F14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4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4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4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4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4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0.78958333333866904</v>
      </c>
      <c r="O14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0.78958333333866904</v>
      </c>
      <c r="S144" s="41">
        <f t="shared" si="4"/>
        <v>29.210416666661331</v>
      </c>
      <c r="T144" s="122">
        <f>Table436[[#This Row],[Total Hours in Service]]</f>
        <v>21.604861111111113</v>
      </c>
      <c r="U14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44" s="42">
        <f>Table4[[#This Row],[Total Interrruption]]-Table4[[#This Row],[Planned shutdown for construction activity ]]-Table4[[#This Row],[Planned shutdown for O&amp;M activity ]]</f>
        <v>1</v>
      </c>
      <c r="W14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0.4</v>
      </c>
      <c r="AF14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4" s="40">
        <f>Table4[[#This Row],[Load Interrupted (MW)]]-Table4[[#This Row],[Load at Restoration]]</f>
        <v>0.4</v>
      </c>
      <c r="AH14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0.31583333333546765</v>
      </c>
      <c r="AI144" s="66">
        <f>(Table4[[#This Row],[Load Interrupted (MW)]]/0.85*1000)</f>
        <v>470.58823529411768</v>
      </c>
      <c r="AJ144" s="169" t="s">
        <v>457</v>
      </c>
    </row>
    <row r="145" spans="1:36" ht="17.25" hidden="1" customHeight="1" x14ac:dyDescent="0.35">
      <c r="A145" s="38" t="s">
        <v>171</v>
      </c>
      <c r="B145" s="170" t="s">
        <v>417</v>
      </c>
      <c r="C145" s="39" t="s">
        <v>225</v>
      </c>
      <c r="D145" s="38" t="s">
        <v>74</v>
      </c>
      <c r="E145" s="38" t="s">
        <v>269</v>
      </c>
      <c r="F14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14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4</v>
      </c>
      <c r="H14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4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4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4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4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0.54097222222480923</v>
      </c>
      <c r="O14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0.17152777777664596</v>
      </c>
      <c r="P14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0.71250000000145519</v>
      </c>
      <c r="S145" s="41">
        <f t="shared" si="4"/>
        <v>29.287499999998545</v>
      </c>
      <c r="T145" s="122">
        <f>Table436[[#This Row],[Total Hours in Service]]</f>
        <v>18.637499999999999</v>
      </c>
      <c r="U14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145" s="42">
        <f>Table4[[#This Row],[Total Interrruption]]-Table4[[#This Row],[Planned shutdown for construction activity ]]-Table4[[#This Row],[Planned shutdown for O&amp;M activity ]]</f>
        <v>6</v>
      </c>
      <c r="W14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1</v>
      </c>
      <c r="Z14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6</v>
      </c>
      <c r="AD14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4.4000000000000004</v>
      </c>
      <c r="AF14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5" s="40">
        <f>Table4[[#This Row],[Load Interrupted (MW)]]-Table4[[#This Row],[Load at Restoration]]</f>
        <v>4.4000000000000004</v>
      </c>
      <c r="AH14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0.36833333334361668</v>
      </c>
      <c r="AI145" s="66">
        <f>(Table4[[#This Row],[Load Interrupted (MW)]]/0.85*1000)</f>
        <v>5176.4705882352946</v>
      </c>
      <c r="AJ145" s="169" t="s">
        <v>458</v>
      </c>
    </row>
    <row r="146" spans="1:36" ht="17.25" hidden="1" customHeight="1" x14ac:dyDescent="0.35">
      <c r="A146" s="38" t="s">
        <v>171</v>
      </c>
      <c r="B146" s="170" t="s">
        <v>417</v>
      </c>
      <c r="C146" s="39" t="s">
        <v>221</v>
      </c>
      <c r="D146" s="38" t="s">
        <v>78</v>
      </c>
      <c r="E146" s="38" t="s">
        <v>269</v>
      </c>
      <c r="F14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4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4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4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0.81597222222626442</v>
      </c>
      <c r="O14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0.81597222222626442</v>
      </c>
      <c r="S146" s="41">
        <f t="shared" si="4"/>
        <v>29.184027777773736</v>
      </c>
      <c r="T146" s="122">
        <f>Table436[[#This Row],[Total Hours in Service]]</f>
        <v>15.052777777777781</v>
      </c>
      <c r="U14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46" s="42">
        <f>Table4[[#This Row],[Total Interrruption]]-Table4[[#This Row],[Planned shutdown for construction activity ]]-Table4[[#This Row],[Planned shutdown for O&amp;M activity ]]</f>
        <v>1</v>
      </c>
      <c r="W14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v>
      </c>
      <c r="AF14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6" s="40">
        <f>Table4[[#This Row],[Load Interrupted (MW)]]-Table4[[#This Row],[Load at Restoration]]</f>
        <v>2</v>
      </c>
      <c r="AH14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1.6319444444525288</v>
      </c>
      <c r="AI146" s="66">
        <f>(Table4[[#This Row],[Load Interrupted (MW)]]/0.85*1000)</f>
        <v>2352.9411764705883</v>
      </c>
      <c r="AJ146" s="169" t="s">
        <v>460</v>
      </c>
    </row>
    <row r="147" spans="1:36" ht="17.25" hidden="1" customHeight="1" x14ac:dyDescent="0.35">
      <c r="A147" s="38" t="s">
        <v>171</v>
      </c>
      <c r="B147" s="170" t="s">
        <v>418</v>
      </c>
      <c r="C147" s="39" t="s">
        <v>225</v>
      </c>
      <c r="D147" s="38" t="s">
        <v>75</v>
      </c>
      <c r="E147" s="38" t="s">
        <v>269</v>
      </c>
      <c r="F14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4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4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4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4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4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47" s="41">
        <f t="shared" si="4"/>
        <v>30</v>
      </c>
      <c r="T147" s="122">
        <f>Table436[[#This Row],[Total Hours in Service]]</f>
        <v>22.036111111111111</v>
      </c>
      <c r="U14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47" s="42">
        <f>Table4[[#This Row],[Total Interrruption]]-Table4[[#This Row],[Planned shutdown for construction activity ]]-Table4[[#This Row],[Planned shutdown for O&amp;M activity ]]</f>
        <v>0</v>
      </c>
      <c r="W14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4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7" s="40">
        <f>Table4[[#This Row],[Load Interrupted (MW)]]-Table4[[#This Row],[Load at Restoration]]</f>
        <v>0</v>
      </c>
      <c r="AH14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47" s="66">
        <f>(Table4[[#This Row],[Load Interrupted (MW)]]/0.85*1000)</f>
        <v>0</v>
      </c>
      <c r="AJ147" s="169" t="s">
        <v>457</v>
      </c>
    </row>
    <row r="148" spans="1:36" ht="17.25" hidden="1" customHeight="1" x14ac:dyDescent="0.35">
      <c r="A148" s="38" t="s">
        <v>171</v>
      </c>
      <c r="B148" s="39" t="s">
        <v>412</v>
      </c>
      <c r="C148" s="170" t="s">
        <v>221</v>
      </c>
      <c r="D148" s="38" t="s">
        <v>142</v>
      </c>
      <c r="E148" s="38" t="s">
        <v>269</v>
      </c>
      <c r="F14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4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4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4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4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4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4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0.46527777777373558</v>
      </c>
      <c r="O14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0.46527777777373558</v>
      </c>
      <c r="S148" s="41">
        <f t="shared" si="4"/>
        <v>29.534722222226264</v>
      </c>
      <c r="T148" s="122">
        <f>Table436[[#This Row],[Total Hours in Service]]</f>
        <v>11.684722222222224</v>
      </c>
      <c r="U14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48" s="42">
        <f>Table4[[#This Row],[Total Interrruption]]-Table4[[#This Row],[Planned shutdown for construction activity ]]-Table4[[#This Row],[Planned shutdown for O&amp;M activity ]]</f>
        <v>1</v>
      </c>
      <c r="W14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4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v>
      </c>
      <c r="AF14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8" s="40">
        <f>Table4[[#This Row],[Load Interrupted (MW)]]-Table4[[#This Row],[Load at Restoration]]</f>
        <v>1</v>
      </c>
      <c r="AH14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0.46527777777373558</v>
      </c>
      <c r="AI148" s="66">
        <f>(Table4[[#This Row],[Load Interrupted (MW)]]/0.85*1000)</f>
        <v>1176.4705882352941</v>
      </c>
      <c r="AJ148" s="169" t="s">
        <v>460</v>
      </c>
    </row>
    <row r="149" spans="1:36" s="157" customFormat="1" ht="17.25" hidden="1" customHeight="1" x14ac:dyDescent="0.35">
      <c r="A149" s="169" t="s">
        <v>171</v>
      </c>
      <c r="B149" s="170" t="s">
        <v>412</v>
      </c>
      <c r="C149" s="170" t="s">
        <v>221</v>
      </c>
      <c r="D149" s="169" t="s">
        <v>367</v>
      </c>
      <c r="E149" s="169" t="s">
        <v>269</v>
      </c>
      <c r="F149"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49"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49"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49"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4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49"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49"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49"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49"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0.48402777776937</v>
      </c>
      <c r="O149"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49"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49"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49"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0.48402777776937</v>
      </c>
      <c r="S149" s="122">
        <f t="shared" si="4"/>
        <v>29.51597222223063</v>
      </c>
      <c r="T149" s="122">
        <f>Table436[[#This Row],[Total Hours in Service]]</f>
        <v>15.786805555555551</v>
      </c>
      <c r="U14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49" s="42">
        <f>Table4[[#This Row],[Total Interrruption]]-Table4[[#This Row],[Planned shutdown for construction activity ]]-Table4[[#This Row],[Planned shutdown for O&amp;M activity ]]</f>
        <v>2</v>
      </c>
      <c r="W14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4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4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4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4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4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49"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4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49"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2.5</v>
      </c>
      <c r="AF149"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49" s="171">
        <f>Table4[[#This Row],[Load Interrupted (MW)]]-Table4[[#This Row],[Load at Restoration]]</f>
        <v>2.5</v>
      </c>
      <c r="AH14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0.58166666665638334</v>
      </c>
      <c r="AI149" s="66">
        <f>(Table4[[#This Row],[Load Interrupted (MW)]]/0.85*1000)</f>
        <v>2941.1764705882356</v>
      </c>
      <c r="AJ149" s="169" t="s">
        <v>457</v>
      </c>
    </row>
    <row r="150" spans="1:36" ht="17.25" hidden="1" customHeight="1" x14ac:dyDescent="0.35">
      <c r="A150" s="38" t="s">
        <v>178</v>
      </c>
      <c r="B150" s="39" t="s">
        <v>413</v>
      </c>
      <c r="C150" s="39" t="s">
        <v>13</v>
      </c>
      <c r="D150" s="38" t="s">
        <v>105</v>
      </c>
      <c r="E150" s="38" t="s">
        <v>269</v>
      </c>
      <c r="F15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0" s="41">
        <f t="shared" si="4"/>
        <v>30</v>
      </c>
      <c r="T150" s="122">
        <f>Table436[[#This Row],[Total Hours in Service]]</f>
        <v>3.5611111111111104</v>
      </c>
      <c r="U15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0" s="42">
        <f>Table4[[#This Row],[Total Interrruption]]-Table4[[#This Row],[Planned shutdown for construction activity ]]-Table4[[#This Row],[Planned shutdown for O&amp;M activity ]]</f>
        <v>0</v>
      </c>
      <c r="W15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0" s="40">
        <f>Table4[[#This Row],[Load Interrupted (MW)]]-Table4[[#This Row],[Load at Restoration]]</f>
        <v>0</v>
      </c>
      <c r="AH15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0" s="66">
        <f>(Table4[[#This Row],[Load Interrupted (MW)]]/0.85*1000)</f>
        <v>0</v>
      </c>
      <c r="AJ150" s="169" t="s">
        <v>461</v>
      </c>
    </row>
    <row r="151" spans="1:36" ht="17.25" hidden="1" customHeight="1" x14ac:dyDescent="0.35">
      <c r="A151" s="169" t="s">
        <v>445</v>
      </c>
      <c r="B151" s="39" t="s">
        <v>414</v>
      </c>
      <c r="C151" s="39" t="s">
        <v>217</v>
      </c>
      <c r="D151" s="38" t="s">
        <v>87</v>
      </c>
      <c r="E151" s="38" t="s">
        <v>269</v>
      </c>
      <c r="F15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5</v>
      </c>
      <c r="G15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5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4</v>
      </c>
      <c r="J15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5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4</v>
      </c>
      <c r="N15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1.6423611111094942</v>
      </c>
      <c r="O15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1.6423611111094942</v>
      </c>
      <c r="S151" s="41">
        <f t="shared" si="4"/>
        <v>28.357638888890506</v>
      </c>
      <c r="T151" s="122">
        <f>Table436[[#This Row],[Total Hours in Service]]</f>
        <v>11.302777777777781</v>
      </c>
      <c r="U15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5</v>
      </c>
      <c r="V151" s="42">
        <f>Table4[[#This Row],[Total Interrruption]]-Table4[[#This Row],[Planned shutdown for construction activity ]]-Table4[[#This Row],[Planned shutdown for O&amp;M activity ]]</f>
        <v>5</v>
      </c>
      <c r="W15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5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0.70000000000000007</v>
      </c>
      <c r="AF15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1" s="40">
        <f>Table4[[#This Row],[Load Interrupted (MW)]]-Table4[[#This Row],[Load at Restoration]]</f>
        <v>0.70000000000000007</v>
      </c>
      <c r="AH15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0.26152777777679148</v>
      </c>
      <c r="AI151" s="66">
        <f>(Table4[[#This Row],[Load Interrupted (MW)]]/0.85*1000)</f>
        <v>823.52941176470597</v>
      </c>
      <c r="AJ151" s="169" t="s">
        <v>457</v>
      </c>
    </row>
    <row r="152" spans="1:36" ht="17.25" hidden="1" customHeight="1" x14ac:dyDescent="0.35">
      <c r="A152" s="169" t="s">
        <v>445</v>
      </c>
      <c r="B152" s="170" t="s">
        <v>415</v>
      </c>
      <c r="C152" s="39" t="s">
        <v>217</v>
      </c>
      <c r="D152" s="38" t="s">
        <v>88</v>
      </c>
      <c r="E152" s="38" t="s">
        <v>269</v>
      </c>
      <c r="F15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2" s="41">
        <f t="shared" si="4"/>
        <v>30</v>
      </c>
      <c r="T152" s="122">
        <f>Table436[[#This Row],[Total Hours in Service]]</f>
        <v>10.752083333333335</v>
      </c>
      <c r="U15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2" s="42">
        <f>Table4[[#This Row],[Total Interrruption]]-Table4[[#This Row],[Planned shutdown for construction activity ]]-Table4[[#This Row],[Planned shutdown for O&amp;M activity ]]</f>
        <v>0</v>
      </c>
      <c r="W15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2" s="40">
        <f>Table4[[#This Row],[Load Interrupted (MW)]]-Table4[[#This Row],[Load at Restoration]]</f>
        <v>0</v>
      </c>
      <c r="AH15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2" s="66">
        <f>(Table4[[#This Row],[Load Interrupted (MW)]]/0.85*1000)</f>
        <v>0</v>
      </c>
      <c r="AJ152" s="169" t="s">
        <v>457</v>
      </c>
    </row>
    <row r="153" spans="1:36" ht="17.25" hidden="1" customHeight="1" x14ac:dyDescent="0.35">
      <c r="A153" s="38" t="s">
        <v>173</v>
      </c>
      <c r="B153" s="39" t="s">
        <v>419</v>
      </c>
      <c r="C153" s="39" t="s">
        <v>12</v>
      </c>
      <c r="D153" s="38" t="s">
        <v>134</v>
      </c>
      <c r="E153" s="38" t="s">
        <v>269</v>
      </c>
      <c r="F15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7</v>
      </c>
      <c r="G15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3</v>
      </c>
      <c r="H15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5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3</v>
      </c>
      <c r="J15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4</v>
      </c>
      <c r="M15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3</v>
      </c>
      <c r="N15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2.101388888884685</v>
      </c>
      <c r="O15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2.1201388888803194</v>
      </c>
      <c r="S153" s="41">
        <f t="shared" si="4"/>
        <v>27.879861111119681</v>
      </c>
      <c r="T153" s="122">
        <f>Table436[[#This Row],[Total Hours in Service]]</f>
        <v>18.406944444444445</v>
      </c>
      <c r="U15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6</v>
      </c>
      <c r="V153" s="42">
        <f>Table4[[#This Row],[Total Interrruption]]-Table4[[#This Row],[Planned shutdown for construction activity ]]-Table4[[#This Row],[Planned shutdown for O&amp;M activity ]]</f>
        <v>7</v>
      </c>
      <c r="W15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5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3</v>
      </c>
      <c r="AD15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18.899999999999999</v>
      </c>
      <c r="AF15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3" s="40">
        <f>Table4[[#This Row],[Load Interrupted (MW)]]-Table4[[#This Row],[Load at Restoration]]</f>
        <v>18.899999999999999</v>
      </c>
      <c r="AH15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6.0979861110856284</v>
      </c>
      <c r="AI153" s="66">
        <f>(Table4[[#This Row],[Load Interrupted (MW)]]/0.85*1000)</f>
        <v>22235.294117647059</v>
      </c>
      <c r="AJ153" s="169" t="s">
        <v>461</v>
      </c>
    </row>
    <row r="154" spans="1:36" ht="17.25" hidden="1" customHeight="1" x14ac:dyDescent="0.35">
      <c r="A154" s="38" t="s">
        <v>173</v>
      </c>
      <c r="B154" s="39" t="s">
        <v>420</v>
      </c>
      <c r="C154" s="39" t="s">
        <v>12</v>
      </c>
      <c r="D154" s="38" t="s">
        <v>135</v>
      </c>
      <c r="E154" s="38" t="s">
        <v>269</v>
      </c>
      <c r="F15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4" s="41">
        <f t="shared" si="4"/>
        <v>30</v>
      </c>
      <c r="T154" s="122">
        <f>Table436[[#This Row],[Total Hours in Service]]</f>
        <v>18.824305555555554</v>
      </c>
      <c r="U15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4" s="42">
        <f>Table4[[#This Row],[Total Interrruption]]-Table4[[#This Row],[Planned shutdown for construction activity ]]-Table4[[#This Row],[Planned shutdown for O&amp;M activity ]]</f>
        <v>0</v>
      </c>
      <c r="W15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4" s="40">
        <f>Table4[[#This Row],[Load Interrupted (MW)]]-Table4[[#This Row],[Load at Restoration]]</f>
        <v>0</v>
      </c>
      <c r="AH15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4" s="66">
        <f>(Table4[[#This Row],[Load Interrupted (MW)]]/0.85*1000)</f>
        <v>0</v>
      </c>
      <c r="AJ154" s="169" t="s">
        <v>461</v>
      </c>
    </row>
    <row r="155" spans="1:36" ht="17.25" hidden="1" customHeight="1" x14ac:dyDescent="0.35">
      <c r="A155" s="38" t="s">
        <v>173</v>
      </c>
      <c r="B155" s="39" t="s">
        <v>421</v>
      </c>
      <c r="C155" s="39" t="s">
        <v>12</v>
      </c>
      <c r="D155" s="38" t="s">
        <v>477</v>
      </c>
      <c r="E155" s="38" t="s">
        <v>269</v>
      </c>
      <c r="F15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5" s="41">
        <f t="shared" si="4"/>
        <v>30</v>
      </c>
      <c r="T155" s="122">
        <f>Table436[[#This Row],[Total Hours in Service]]</f>
        <v>21.688194444444449</v>
      </c>
      <c r="U15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5" s="42">
        <f>Table4[[#This Row],[Total Interrruption]]-Table4[[#This Row],[Planned shutdown for construction activity ]]-Table4[[#This Row],[Planned shutdown for O&amp;M activity ]]</f>
        <v>0</v>
      </c>
      <c r="W15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5" s="40">
        <f>Table4[[#This Row],[Load Interrupted (MW)]]-Table4[[#This Row],[Load at Restoration]]</f>
        <v>0</v>
      </c>
      <c r="AH15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5" s="66">
        <f>(Table4[[#This Row],[Load Interrupted (MW)]]/0.85*1000)</f>
        <v>0</v>
      </c>
      <c r="AJ155" s="169" t="s">
        <v>460</v>
      </c>
    </row>
    <row r="156" spans="1:36" ht="17.25" hidden="1" customHeight="1" x14ac:dyDescent="0.35">
      <c r="A156" s="169" t="s">
        <v>173</v>
      </c>
      <c r="B156" s="39" t="s">
        <v>422</v>
      </c>
      <c r="C156" s="170" t="s">
        <v>12</v>
      </c>
      <c r="D156" s="38" t="s">
        <v>211</v>
      </c>
      <c r="E156" s="38" t="s">
        <v>269</v>
      </c>
      <c r="F15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6" s="41">
        <f t="shared" si="4"/>
        <v>30</v>
      </c>
      <c r="T156" s="122">
        <f>Table436[[#This Row],[Total Hours in Service]]</f>
        <v>24.006944444444446</v>
      </c>
      <c r="U15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6" s="42">
        <f>Table4[[#This Row],[Total Interrruption]]-Table4[[#This Row],[Planned shutdown for construction activity ]]-Table4[[#This Row],[Planned shutdown for O&amp;M activity ]]</f>
        <v>0</v>
      </c>
      <c r="W15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6" s="40">
        <f>Table4[[#This Row],[Load Interrupted (MW)]]-Table4[[#This Row],[Load at Restoration]]</f>
        <v>0</v>
      </c>
      <c r="AH15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6" s="66">
        <f>(Table4[[#This Row],[Load Interrupted (MW)]]/0.85*1000)</f>
        <v>0</v>
      </c>
      <c r="AJ156" s="169" t="s">
        <v>458</v>
      </c>
    </row>
    <row r="157" spans="1:36" ht="17.25" hidden="1" customHeight="1" x14ac:dyDescent="0.35">
      <c r="A157" s="38" t="s">
        <v>173</v>
      </c>
      <c r="B157" s="39" t="s">
        <v>423</v>
      </c>
      <c r="C157" s="39" t="s">
        <v>228</v>
      </c>
      <c r="D157" s="38" t="s">
        <v>317</v>
      </c>
      <c r="E157" s="38" t="s">
        <v>269</v>
      </c>
      <c r="F15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5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5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5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5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0.10486111111094942</v>
      </c>
      <c r="O15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0.28819444444525288</v>
      </c>
      <c r="S157" s="41">
        <f t="shared" si="4"/>
        <v>29.711805555554747</v>
      </c>
      <c r="T157" s="122">
        <f>Table436[[#This Row],[Total Hours in Service]]</f>
        <v>8.7520833333333332</v>
      </c>
      <c r="U15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57" s="42">
        <f>Table4[[#This Row],[Total Interrruption]]-Table4[[#This Row],[Planned shutdown for construction activity ]]-Table4[[#This Row],[Planned shutdown for O&amp;M activity ]]</f>
        <v>2</v>
      </c>
      <c r="W15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5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5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v>
      </c>
      <c r="AF15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7" s="40">
        <f>Table4[[#This Row],[Load Interrupted (MW)]]-Table4[[#This Row],[Load at Restoration]]</f>
        <v>1.2</v>
      </c>
      <c r="AH15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0.17291666666715172</v>
      </c>
      <c r="AI157" s="66">
        <f>(Table4[[#This Row],[Load Interrupted (MW)]]/0.85*1000)</f>
        <v>1411.7647058823529</v>
      </c>
      <c r="AJ157" s="169" t="s">
        <v>460</v>
      </c>
    </row>
    <row r="158" spans="1:36" ht="17.25" hidden="1" customHeight="1" x14ac:dyDescent="0.35">
      <c r="A158" s="38" t="s">
        <v>173</v>
      </c>
      <c r="B158" s="39" t="s">
        <v>424</v>
      </c>
      <c r="C158" s="39" t="s">
        <v>228</v>
      </c>
      <c r="D158" s="38" t="s">
        <v>318</v>
      </c>
      <c r="E158" s="38" t="s">
        <v>269</v>
      </c>
      <c r="F15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8" s="41">
        <f t="shared" si="4"/>
        <v>30</v>
      </c>
      <c r="T158" s="122">
        <f>Table436[[#This Row],[Total Hours in Service]]</f>
        <v>22.101388888888888</v>
      </c>
      <c r="U15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8" s="42">
        <f>Table4[[#This Row],[Total Interrruption]]-Table4[[#This Row],[Planned shutdown for construction activity ]]-Table4[[#This Row],[Planned shutdown for O&amp;M activity ]]</f>
        <v>0</v>
      </c>
      <c r="W15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8" s="40">
        <f>Table4[[#This Row],[Load Interrupted (MW)]]-Table4[[#This Row],[Load at Restoration]]</f>
        <v>0</v>
      </c>
      <c r="AH15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8" s="66">
        <f>(Table4[[#This Row],[Load Interrupted (MW)]]/0.85*1000)</f>
        <v>0</v>
      </c>
      <c r="AJ158" s="169" t="s">
        <v>461</v>
      </c>
    </row>
    <row r="159" spans="1:36" ht="17.25" hidden="1" customHeight="1" x14ac:dyDescent="0.35">
      <c r="A159" s="38" t="s">
        <v>177</v>
      </c>
      <c r="B159" s="39" t="s">
        <v>425</v>
      </c>
      <c r="C159" s="39" t="s">
        <v>11</v>
      </c>
      <c r="D159" s="38" t="s">
        <v>358</v>
      </c>
      <c r="E159" s="38" t="s">
        <v>269</v>
      </c>
      <c r="F15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5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5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5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5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5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5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5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5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5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5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5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5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59" s="41">
        <f t="shared" si="4"/>
        <v>30</v>
      </c>
      <c r="T159" s="122">
        <f>Table436[[#This Row],[Total Hours in Service]]</f>
        <v>22.554861111111112</v>
      </c>
      <c r="U15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59" s="42">
        <f>Table4[[#This Row],[Total Interrruption]]-Table4[[#This Row],[Planned shutdown for construction activity ]]-Table4[[#This Row],[Planned shutdown for O&amp;M activity ]]</f>
        <v>0</v>
      </c>
      <c r="W15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5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5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5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5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5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5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5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5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5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59" s="40">
        <f>Table4[[#This Row],[Load Interrupted (MW)]]-Table4[[#This Row],[Load at Restoration]]</f>
        <v>0</v>
      </c>
      <c r="AH15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59" s="66">
        <f>(Table4[[#This Row],[Load Interrupted (MW)]]/0.85*1000)</f>
        <v>0</v>
      </c>
      <c r="AJ159" s="169" t="s">
        <v>458</v>
      </c>
    </row>
    <row r="160" spans="1:36" ht="17.25" hidden="1" customHeight="1" x14ac:dyDescent="0.35">
      <c r="A160" s="38" t="s">
        <v>177</v>
      </c>
      <c r="B160" s="170" t="s">
        <v>425</v>
      </c>
      <c r="C160" s="39" t="s">
        <v>11</v>
      </c>
      <c r="D160" s="38" t="s">
        <v>139</v>
      </c>
      <c r="E160" s="38" t="s">
        <v>269</v>
      </c>
      <c r="F16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6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6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6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6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0.42638888888905058</v>
      </c>
      <c r="O16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0.45902777778246673</v>
      </c>
      <c r="S160" s="41">
        <f t="shared" si="4"/>
        <v>29.540972222217533</v>
      </c>
      <c r="T160" s="122">
        <f>Table436[[#This Row],[Total Hours in Service]]</f>
        <v>22.645833333333339</v>
      </c>
      <c r="U16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60" s="42">
        <f>Table4[[#This Row],[Total Interrruption]]-Table4[[#This Row],[Planned shutdown for construction activity ]]-Table4[[#This Row],[Planned shutdown for O&amp;M activity ]]</f>
        <v>3</v>
      </c>
      <c r="W16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1</v>
      </c>
      <c r="AA16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6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1.5</v>
      </c>
      <c r="AF16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0" s="40">
        <f>Table4[[#This Row],[Load Interrupted (MW)]]-Table4[[#This Row],[Load at Restoration]]</f>
        <v>1.5</v>
      </c>
      <c r="AH16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0.3156249999992724</v>
      </c>
      <c r="AI160" s="66">
        <f>(Table4[[#This Row],[Load Interrupted (MW)]]/0.85*1000)</f>
        <v>1764.7058823529412</v>
      </c>
      <c r="AJ160" s="169" t="s">
        <v>461</v>
      </c>
    </row>
    <row r="161" spans="1:36" ht="17.25" hidden="1" customHeight="1" x14ac:dyDescent="0.35">
      <c r="A161" s="38" t="s">
        <v>177</v>
      </c>
      <c r="B161" s="170" t="s">
        <v>425</v>
      </c>
      <c r="C161" s="39" t="s">
        <v>11</v>
      </c>
      <c r="D161" s="38" t="s">
        <v>138</v>
      </c>
      <c r="E161" s="38" t="s">
        <v>269</v>
      </c>
      <c r="F16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6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6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61" s="41">
        <f t="shared" si="4"/>
        <v>30</v>
      </c>
      <c r="T161" s="122">
        <f>Table436[[#This Row],[Total Hours in Service]]</f>
        <v>24.336111111111112</v>
      </c>
      <c r="U16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61" s="42">
        <f>Table4[[#This Row],[Total Interrruption]]-Table4[[#This Row],[Planned shutdown for construction activity ]]-Table4[[#This Row],[Planned shutdown for O&amp;M activity ]]</f>
        <v>0</v>
      </c>
      <c r="W16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6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1" s="40">
        <f>Table4[[#This Row],[Load Interrupted (MW)]]-Table4[[#This Row],[Load at Restoration]]</f>
        <v>0</v>
      </c>
      <c r="AH16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61" s="66">
        <f>(Table4[[#This Row],[Load Interrupted (MW)]]/0.85*1000)</f>
        <v>0</v>
      </c>
      <c r="AJ161" s="169" t="s">
        <v>461</v>
      </c>
    </row>
    <row r="162" spans="1:36" ht="17.25" hidden="1" customHeight="1" x14ac:dyDescent="0.35">
      <c r="A162" s="38" t="s">
        <v>177</v>
      </c>
      <c r="B162" s="39" t="s">
        <v>426</v>
      </c>
      <c r="C162" s="39" t="s">
        <v>11</v>
      </c>
      <c r="D162" s="38" t="s">
        <v>137</v>
      </c>
      <c r="E162" s="38" t="s">
        <v>269</v>
      </c>
      <c r="F16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6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6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6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0.29097222222480923</v>
      </c>
      <c r="O16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0.29097222222480923</v>
      </c>
      <c r="S162" s="41">
        <f t="shared" si="4"/>
        <v>29.709027777775191</v>
      </c>
      <c r="T162" s="122">
        <f>Table436[[#This Row],[Total Hours in Service]]</f>
        <v>24.216666666666669</v>
      </c>
      <c r="U16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62" s="42">
        <f>Table4[[#This Row],[Total Interrruption]]-Table4[[#This Row],[Planned shutdown for construction activity ]]-Table4[[#This Row],[Planned shutdown for O&amp;M activity ]]</f>
        <v>1</v>
      </c>
      <c r="W16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0.8</v>
      </c>
      <c r="AF16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2" s="40">
        <f>Table4[[#This Row],[Load Interrupted (MW)]]-Table4[[#This Row],[Load at Restoration]]</f>
        <v>0.8</v>
      </c>
      <c r="AH16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0.2327777777798474</v>
      </c>
      <c r="AI162" s="66">
        <f>(Table4[[#This Row],[Load Interrupted (MW)]]/0.85*1000)</f>
        <v>941.17647058823536</v>
      </c>
      <c r="AJ162" s="169" t="s">
        <v>458</v>
      </c>
    </row>
    <row r="163" spans="1:36" ht="17.25" hidden="1" customHeight="1" x14ac:dyDescent="0.35">
      <c r="A163" s="38" t="s">
        <v>177</v>
      </c>
      <c r="B163" s="170" t="s">
        <v>427</v>
      </c>
      <c r="C163" s="39" t="s">
        <v>11</v>
      </c>
      <c r="D163" s="38" t="s">
        <v>136</v>
      </c>
      <c r="E163" s="38" t="s">
        <v>269</v>
      </c>
      <c r="F16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6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6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6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0.31111111111385981</v>
      </c>
      <c r="O16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0.31111111111385981</v>
      </c>
      <c r="S163" s="41">
        <f t="shared" si="4"/>
        <v>29.68888888888614</v>
      </c>
      <c r="T163" s="122">
        <f>Table436[[#This Row],[Total Hours in Service]]</f>
        <v>23.317361111111111</v>
      </c>
      <c r="U16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63" s="42">
        <f>Table4[[#This Row],[Total Interrruption]]-Table4[[#This Row],[Planned shutdown for construction activity ]]-Table4[[#This Row],[Planned shutdown for O&amp;M activity ]]</f>
        <v>1</v>
      </c>
      <c r="W16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6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3" s="40">
        <f>Table4[[#This Row],[Load Interrupted (MW)]]-Table4[[#This Row],[Load at Restoration]]</f>
        <v>0</v>
      </c>
      <c r="AH16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63" s="66">
        <f>(Table4[[#This Row],[Load Interrupted (MW)]]/0.85*1000)</f>
        <v>0</v>
      </c>
      <c r="AJ163" s="169" t="s">
        <v>461</v>
      </c>
    </row>
    <row r="164" spans="1:36" ht="17.25" hidden="1" customHeight="1" x14ac:dyDescent="0.35">
      <c r="A164" s="38" t="s">
        <v>177</v>
      </c>
      <c r="B164" s="39" t="s">
        <v>428</v>
      </c>
      <c r="C164" s="39" t="s">
        <v>227</v>
      </c>
      <c r="D164" s="38" t="s">
        <v>133</v>
      </c>
      <c r="E164" s="38" t="s">
        <v>269</v>
      </c>
      <c r="F16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6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6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64" s="41">
        <f t="shared" si="4"/>
        <v>30</v>
      </c>
      <c r="T164" s="122">
        <f>Table436[[#This Row],[Total Hours in Service]]</f>
        <v>5.6833333333333336</v>
      </c>
      <c r="U16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64" s="42">
        <f>Table4[[#This Row],[Total Interrruption]]-Table4[[#This Row],[Planned shutdown for construction activity ]]-Table4[[#This Row],[Planned shutdown for O&amp;M activity ]]</f>
        <v>0</v>
      </c>
      <c r="W16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6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4" s="40">
        <f>Table4[[#This Row],[Load Interrupted (MW)]]-Table4[[#This Row],[Load at Restoration]]</f>
        <v>0</v>
      </c>
      <c r="AH16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64" s="66">
        <f>(Table4[[#This Row],[Load Interrupted (MW)]]/0.85*1000)</f>
        <v>0</v>
      </c>
      <c r="AJ164" s="169" t="s">
        <v>461</v>
      </c>
    </row>
    <row r="165" spans="1:36" ht="17.25" hidden="1" customHeight="1" x14ac:dyDescent="0.35">
      <c r="A165" s="38" t="s">
        <v>177</v>
      </c>
      <c r="B165" s="170" t="s">
        <v>428</v>
      </c>
      <c r="C165" s="39" t="s">
        <v>227</v>
      </c>
      <c r="D165" s="38" t="s">
        <v>321</v>
      </c>
      <c r="E165" s="38" t="s">
        <v>269</v>
      </c>
      <c r="F16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6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6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65" s="41">
        <f t="shared" si="4"/>
        <v>30</v>
      </c>
      <c r="T165" s="122">
        <f>Table436[[#This Row],[Total Hours in Service]]</f>
        <v>5.6833333333333336</v>
      </c>
      <c r="U16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65" s="42">
        <f>Table4[[#This Row],[Total Interrruption]]-Table4[[#This Row],[Planned shutdown for construction activity ]]-Table4[[#This Row],[Planned shutdown for O&amp;M activity ]]</f>
        <v>0</v>
      </c>
      <c r="W16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6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5" s="40">
        <f>Table4[[#This Row],[Load Interrupted (MW)]]-Table4[[#This Row],[Load at Restoration]]</f>
        <v>0</v>
      </c>
      <c r="AH16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65" s="66">
        <f>(Table4[[#This Row],[Load Interrupted (MW)]]/0.85*1000)</f>
        <v>0</v>
      </c>
      <c r="AJ165" s="169" t="s">
        <v>458</v>
      </c>
    </row>
    <row r="166" spans="1:36" ht="17.25" hidden="1" customHeight="1" x14ac:dyDescent="0.35">
      <c r="A166" s="38" t="s">
        <v>174</v>
      </c>
      <c r="B166" s="39" t="s">
        <v>429</v>
      </c>
      <c r="C166" s="39" t="s">
        <v>231</v>
      </c>
      <c r="D166" s="38" t="s">
        <v>475</v>
      </c>
      <c r="E166" s="38" t="s">
        <v>269</v>
      </c>
      <c r="F16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6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6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6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6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66" s="41">
        <f t="shared" ref="S166:S184" si="5">Q$199-R166</f>
        <v>30</v>
      </c>
      <c r="T166" s="122">
        <f>Table436[[#This Row],[Total Hours in Service]]</f>
        <v>18.682638888888889</v>
      </c>
      <c r="U16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66" s="42">
        <f>Table4[[#This Row],[Total Interrruption]]-Table4[[#This Row],[Planned shutdown for construction activity ]]-Table4[[#This Row],[Planned shutdown for O&amp;M activity ]]</f>
        <v>0</v>
      </c>
      <c r="W16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6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6" s="40">
        <f>Table4[[#This Row],[Load Interrupted (MW)]]-Table4[[#This Row],[Load at Restoration]]</f>
        <v>0</v>
      </c>
      <c r="AH16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66" s="66">
        <f>(Table4[[#This Row],[Load Interrupted (MW)]]/0.85*1000)</f>
        <v>0</v>
      </c>
      <c r="AJ166" s="169" t="s">
        <v>461</v>
      </c>
    </row>
    <row r="167" spans="1:36" ht="17.25" hidden="1" customHeight="1" x14ac:dyDescent="0.35">
      <c r="A167" s="38" t="s">
        <v>174</v>
      </c>
      <c r="B167" s="39" t="s">
        <v>430</v>
      </c>
      <c r="C167" s="39" t="s">
        <v>231</v>
      </c>
      <c r="D167" s="38" t="s">
        <v>117</v>
      </c>
      <c r="E167" s="38" t="s">
        <v>269</v>
      </c>
      <c r="F16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6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6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6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0.10208333333866904</v>
      </c>
      <c r="O16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0.10208333333866904</v>
      </c>
      <c r="S167" s="41">
        <f t="shared" si="5"/>
        <v>29.897916666661331</v>
      </c>
      <c r="T167" s="122">
        <f>Table436[[#This Row],[Total Hours in Service]]</f>
        <v>23.901388888888885</v>
      </c>
      <c r="U16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67" s="42">
        <f>Table4[[#This Row],[Total Interrruption]]-Table4[[#This Row],[Planned shutdown for construction activity ]]-Table4[[#This Row],[Planned shutdown for O&amp;M activity ]]</f>
        <v>1</v>
      </c>
      <c r="W16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6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1.4</v>
      </c>
      <c r="AF16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7" s="40">
        <f>Table4[[#This Row],[Load Interrupted (MW)]]-Table4[[#This Row],[Load at Restoration]]</f>
        <v>1.4</v>
      </c>
      <c r="AH16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0.14291666667413663</v>
      </c>
      <c r="AI167" s="66">
        <f>(Table4[[#This Row],[Load Interrupted (MW)]]/0.85*1000)</f>
        <v>1647.0588235294117</v>
      </c>
      <c r="AJ167" s="169" t="s">
        <v>458</v>
      </c>
    </row>
    <row r="168" spans="1:36" ht="17.25" hidden="1" customHeight="1" x14ac:dyDescent="0.35">
      <c r="A168" s="38" t="s">
        <v>174</v>
      </c>
      <c r="B168" s="39" t="s">
        <v>431</v>
      </c>
      <c r="C168" s="39" t="s">
        <v>232</v>
      </c>
      <c r="D168" s="38" t="s">
        <v>120</v>
      </c>
      <c r="E168" s="38" t="s">
        <v>269</v>
      </c>
      <c r="F16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6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3</v>
      </c>
      <c r="I16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6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6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0.43819444443943212</v>
      </c>
      <c r="O16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0.43819444443943212</v>
      </c>
      <c r="S168" s="41">
        <f t="shared" si="5"/>
        <v>29.561805555560568</v>
      </c>
      <c r="T168" s="122">
        <f>Table436[[#This Row],[Total Hours in Service]]</f>
        <v>18.065277777777776</v>
      </c>
      <c r="U16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168" s="42">
        <f>Table4[[#This Row],[Total Interrruption]]-Table4[[#This Row],[Planned shutdown for construction activity ]]-Table4[[#This Row],[Planned shutdown for O&amp;M activity ]]</f>
        <v>3</v>
      </c>
      <c r="W16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6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9.2999999999999989</v>
      </c>
      <c r="AF16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8" s="40">
        <f>Table4[[#This Row],[Load Interrupted (MW)]]-Table4[[#This Row],[Load at Restoration]]</f>
        <v>9.2999999999999989</v>
      </c>
      <c r="AH16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1.2503472222066194</v>
      </c>
      <c r="AI168" s="66">
        <f>(Table4[[#This Row],[Load Interrupted (MW)]]/0.85*1000)</f>
        <v>10941.176470588234</v>
      </c>
      <c r="AJ168" s="169" t="s">
        <v>461</v>
      </c>
    </row>
    <row r="169" spans="1:36" ht="17.25" hidden="1" customHeight="1" x14ac:dyDescent="0.35">
      <c r="A169" s="38" t="s">
        <v>174</v>
      </c>
      <c r="B169" s="170" t="s">
        <v>429</v>
      </c>
      <c r="C169" s="39" t="s">
        <v>232</v>
      </c>
      <c r="D169" s="38" t="s">
        <v>121</v>
      </c>
      <c r="E169" s="38" t="s">
        <v>269</v>
      </c>
      <c r="F16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6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6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6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6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6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6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6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6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0.34166666666715173</v>
      </c>
      <c r="O16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6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6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6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0.34166666666715173</v>
      </c>
      <c r="S169" s="41">
        <f t="shared" si="5"/>
        <v>29.658333333332848</v>
      </c>
      <c r="T169" s="122">
        <f>Table436[[#This Row],[Total Hours in Service]]</f>
        <v>13.279166666666667</v>
      </c>
      <c r="U16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69" s="42">
        <f>Table4[[#This Row],[Total Interrruption]]-Table4[[#This Row],[Planned shutdown for construction activity ]]-Table4[[#This Row],[Planned shutdown for O&amp;M activity ]]</f>
        <v>1</v>
      </c>
      <c r="W16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6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6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6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6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6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6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6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6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v>
      </c>
      <c r="AF16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69" s="40">
        <f>Table4[[#This Row],[Load Interrupted (MW)]]-Table4[[#This Row],[Load at Restoration]]</f>
        <v>3</v>
      </c>
      <c r="AH16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1.0250000000014552</v>
      </c>
      <c r="AI169" s="66">
        <f>(Table4[[#This Row],[Load Interrupted (MW)]]/0.85*1000)</f>
        <v>3529.4117647058824</v>
      </c>
      <c r="AJ169" s="169" t="s">
        <v>460</v>
      </c>
    </row>
    <row r="170" spans="1:36" ht="17.25" hidden="1" customHeight="1" x14ac:dyDescent="0.35">
      <c r="A170" s="38" t="s">
        <v>174</v>
      </c>
      <c r="B170" s="170" t="s">
        <v>430</v>
      </c>
      <c r="C170" s="39" t="s">
        <v>231</v>
      </c>
      <c r="D170" s="38" t="s">
        <v>118</v>
      </c>
      <c r="E170" s="38" t="s">
        <v>269</v>
      </c>
      <c r="F17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7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7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7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7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0.72986111111094942</v>
      </c>
      <c r="O17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0.72986111111094942</v>
      </c>
      <c r="S170" s="41">
        <f t="shared" si="5"/>
        <v>29.270138888889051</v>
      </c>
      <c r="T170" s="122">
        <f>Table436[[#This Row],[Total Hours in Service]]</f>
        <v>12.4125</v>
      </c>
      <c r="U17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70" s="42">
        <f>Table4[[#This Row],[Total Interrruption]]-Table4[[#This Row],[Planned shutdown for construction activity ]]-Table4[[#This Row],[Planned shutdown for O&amp;M activity ]]</f>
        <v>2</v>
      </c>
      <c r="W17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4.3000000000000007</v>
      </c>
      <c r="AF17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0" s="40">
        <f>Table4[[#This Row],[Load Interrupted (MW)]]-Table4[[#This Row],[Load at Restoration]]</f>
        <v>4.3000000000000007</v>
      </c>
      <c r="AH17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1.776597222221608</v>
      </c>
      <c r="AI170" s="66">
        <f>(Table4[[#This Row],[Load Interrupted (MW)]]/0.85*1000)</f>
        <v>5058.8235294117658</v>
      </c>
      <c r="AJ170" s="169" t="s">
        <v>460</v>
      </c>
    </row>
    <row r="171" spans="1:36" ht="17.25" hidden="1" customHeight="1" x14ac:dyDescent="0.35">
      <c r="A171" s="38" t="s">
        <v>174</v>
      </c>
      <c r="B171" s="170" t="s">
        <v>430</v>
      </c>
      <c r="C171" s="39" t="s">
        <v>231</v>
      </c>
      <c r="D171" s="38" t="s">
        <v>119</v>
      </c>
      <c r="E171" s="38" t="s">
        <v>269</v>
      </c>
      <c r="F17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7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7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2</v>
      </c>
      <c r="M17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0.38750000000436557</v>
      </c>
      <c r="O17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0.38750000000436557</v>
      </c>
      <c r="S171" s="41">
        <f t="shared" si="5"/>
        <v>29.612499999995634</v>
      </c>
      <c r="T171" s="122">
        <f>Table436[[#This Row],[Total Hours in Service]]</f>
        <v>17.7</v>
      </c>
      <c r="U17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71" s="42">
        <f>Table4[[#This Row],[Total Interrruption]]-Table4[[#This Row],[Planned shutdown for construction activity ]]-Table4[[#This Row],[Planned shutdown for O&amp;M activity ]]</f>
        <v>2</v>
      </c>
      <c r="W17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7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4.8</v>
      </c>
      <c r="AF17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1" s="40">
        <f>Table4[[#This Row],[Load Interrupted (MW)]]-Table4[[#This Row],[Load at Restoration]]</f>
        <v>4.8</v>
      </c>
      <c r="AH17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0.93000000001047733</v>
      </c>
      <c r="AI171" s="66">
        <f>(Table4[[#This Row],[Load Interrupted (MW)]]/0.85*1000)</f>
        <v>5647.0588235294117</v>
      </c>
      <c r="AJ171" s="169" t="s">
        <v>461</v>
      </c>
    </row>
    <row r="172" spans="1:36" ht="17.25" hidden="1" customHeight="1" x14ac:dyDescent="0.35">
      <c r="A172" s="38" t="s">
        <v>174</v>
      </c>
      <c r="B172" s="39" t="s">
        <v>437</v>
      </c>
      <c r="C172" s="39" t="s">
        <v>232</v>
      </c>
      <c r="D172" s="38" t="s">
        <v>125</v>
      </c>
      <c r="E172" s="38" t="s">
        <v>269</v>
      </c>
      <c r="F17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2" s="41">
        <f t="shared" si="5"/>
        <v>30</v>
      </c>
      <c r="T172" s="122">
        <f>Table436[[#This Row],[Total Hours in Service]]</f>
        <v>16.013888888888889</v>
      </c>
      <c r="U17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2" s="42">
        <f>Table4[[#This Row],[Total Interrruption]]-Table4[[#This Row],[Planned shutdown for construction activity ]]-Table4[[#This Row],[Planned shutdown for O&amp;M activity ]]</f>
        <v>0</v>
      </c>
      <c r="W17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2" s="40">
        <f>Table4[[#This Row],[Load Interrupted (MW)]]-Table4[[#This Row],[Load at Restoration]]</f>
        <v>0</v>
      </c>
      <c r="AH17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2" s="66">
        <f>(Table4[[#This Row],[Load Interrupted (MW)]]/0.85*1000)</f>
        <v>0</v>
      </c>
      <c r="AJ172" s="169" t="s">
        <v>460</v>
      </c>
    </row>
    <row r="173" spans="1:36" ht="17.25" hidden="1" customHeight="1" x14ac:dyDescent="0.35">
      <c r="A173" s="38" t="s">
        <v>174</v>
      </c>
      <c r="B173" s="170" t="s">
        <v>438</v>
      </c>
      <c r="C173" s="39" t="s">
        <v>232</v>
      </c>
      <c r="D173" s="38" t="s">
        <v>465</v>
      </c>
      <c r="E173" s="38" t="s">
        <v>269</v>
      </c>
      <c r="F17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3" s="41">
        <f t="shared" si="5"/>
        <v>30</v>
      </c>
      <c r="T173" s="122">
        <f>Table436[[#This Row],[Total Hours in Service]]</f>
        <v>16.114583333333336</v>
      </c>
      <c r="U17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3" s="42">
        <f>Table4[[#This Row],[Total Interrruption]]-Table4[[#This Row],[Planned shutdown for construction activity ]]-Table4[[#This Row],[Planned shutdown for O&amp;M activity ]]</f>
        <v>0</v>
      </c>
      <c r="W17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3" s="40">
        <f>Table4[[#This Row],[Load Interrupted (MW)]]-Table4[[#This Row],[Load at Restoration]]</f>
        <v>0</v>
      </c>
      <c r="AH17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3" s="66">
        <f>(Table4[[#This Row],[Load Interrupted (MW)]]/0.85*1000)</f>
        <v>0</v>
      </c>
      <c r="AJ173" s="169" t="s">
        <v>460</v>
      </c>
    </row>
    <row r="174" spans="1:36" ht="17.25" hidden="1" customHeight="1" x14ac:dyDescent="0.35">
      <c r="A174" s="38" t="s">
        <v>174</v>
      </c>
      <c r="B174" s="170" t="s">
        <v>438</v>
      </c>
      <c r="C174" s="39" t="s">
        <v>232</v>
      </c>
      <c r="D174" s="38" t="s">
        <v>466</v>
      </c>
      <c r="E174" s="38" t="s">
        <v>269</v>
      </c>
      <c r="F17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4" s="41">
        <f t="shared" si="5"/>
        <v>30</v>
      </c>
      <c r="T174" s="122">
        <f>Table436[[#This Row],[Total Hours in Service]]</f>
        <v>16.670138888888889</v>
      </c>
      <c r="U17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4" s="42">
        <f>Table4[[#This Row],[Total Interrruption]]-Table4[[#This Row],[Planned shutdown for construction activity ]]-Table4[[#This Row],[Planned shutdown for O&amp;M activity ]]</f>
        <v>0</v>
      </c>
      <c r="W17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4" s="40">
        <f>Table4[[#This Row],[Load Interrupted (MW)]]-Table4[[#This Row],[Load at Restoration]]</f>
        <v>0</v>
      </c>
      <c r="AH17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4" s="66">
        <f>(Table4[[#This Row],[Load Interrupted (MW)]]/0.85*1000)</f>
        <v>0</v>
      </c>
      <c r="AJ174" s="169" t="s">
        <v>460</v>
      </c>
    </row>
    <row r="175" spans="1:36" s="157" customFormat="1" ht="17.25" hidden="1" customHeight="1" x14ac:dyDescent="0.35">
      <c r="A175" s="169" t="s">
        <v>174</v>
      </c>
      <c r="B175" s="170" t="s">
        <v>437</v>
      </c>
      <c r="C175" s="170" t="s">
        <v>232</v>
      </c>
      <c r="D175" s="169" t="s">
        <v>478</v>
      </c>
      <c r="E175" s="169" t="s">
        <v>269</v>
      </c>
      <c r="F175"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5"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5"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5"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5"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5"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5"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5"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5"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5"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5"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5"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5" s="122">
        <f t="shared" si="5"/>
        <v>30</v>
      </c>
      <c r="T175" s="122">
        <f>Table436[[#This Row],[Total Hours in Service]]</f>
        <v>22.765972222222224</v>
      </c>
      <c r="U17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5" s="42">
        <f>Table4[[#This Row],[Total Interrruption]]-Table4[[#This Row],[Planned shutdown for construction activity ]]-Table4[[#This Row],[Planned shutdown for O&amp;M activity ]]</f>
        <v>0</v>
      </c>
      <c r="W17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5"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5"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5"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5" s="171">
        <f>Table4[[#This Row],[Load Interrupted (MW)]]-Table4[[#This Row],[Load at Restoration]]</f>
        <v>0</v>
      </c>
      <c r="AH17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5" s="66">
        <f>(Table4[[#This Row],[Load Interrupted (MW)]]/0.85*1000)</f>
        <v>0</v>
      </c>
      <c r="AJ175" s="169" t="s">
        <v>457</v>
      </c>
    </row>
    <row r="176" spans="1:36" ht="17.25" hidden="1" customHeight="1" x14ac:dyDescent="0.35">
      <c r="A176" s="38" t="s">
        <v>174</v>
      </c>
      <c r="B176" s="39" t="s">
        <v>432</v>
      </c>
      <c r="C176" s="39" t="s">
        <v>231</v>
      </c>
      <c r="D176" s="38" t="s">
        <v>122</v>
      </c>
      <c r="E176" s="38" t="s">
        <v>269</v>
      </c>
      <c r="F17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4</v>
      </c>
      <c r="G17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4</v>
      </c>
      <c r="I17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7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7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0.87708333333284827</v>
      </c>
      <c r="O17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0.87708333333284827</v>
      </c>
      <c r="S176" s="41">
        <f t="shared" si="5"/>
        <v>29.122916666667152</v>
      </c>
      <c r="T176" s="122">
        <f>Table436[[#This Row],[Total Hours in Service]]</f>
        <v>21.668749999999996</v>
      </c>
      <c r="U17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4</v>
      </c>
      <c r="V176" s="42">
        <f>Table4[[#This Row],[Total Interrruption]]-Table4[[#This Row],[Planned shutdown for construction activity ]]-Table4[[#This Row],[Planned shutdown for O&amp;M activity ]]</f>
        <v>4</v>
      </c>
      <c r="W17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2</v>
      </c>
      <c r="AD17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16.600000000000001</v>
      </c>
      <c r="AF17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6" s="40">
        <f>Table4[[#This Row],[Load Interrupted (MW)]]-Table4[[#This Row],[Load at Restoration]]</f>
        <v>16.600000000000001</v>
      </c>
      <c r="AH17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4.4591666666594394</v>
      </c>
      <c r="AI176" s="66">
        <f>(Table4[[#This Row],[Load Interrupted (MW)]]/0.85*1000)</f>
        <v>19529.411764705885</v>
      </c>
      <c r="AJ176" s="169" t="s">
        <v>458</v>
      </c>
    </row>
    <row r="177" spans="1:36" ht="17.25" hidden="1" customHeight="1" x14ac:dyDescent="0.35">
      <c r="A177" s="38" t="s">
        <v>174</v>
      </c>
      <c r="B177" s="170" t="s">
        <v>432</v>
      </c>
      <c r="C177" s="39" t="s">
        <v>232</v>
      </c>
      <c r="D177" s="38" t="s">
        <v>447</v>
      </c>
      <c r="E177" s="38" t="s">
        <v>269</v>
      </c>
      <c r="F17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7" s="41">
        <f t="shared" si="5"/>
        <v>30</v>
      </c>
      <c r="T177" s="122">
        <f>Table436[[#This Row],[Total Hours in Service]]</f>
        <v>26.348611111111111</v>
      </c>
      <c r="U17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7" s="42">
        <f>Table4[[#This Row],[Total Interrruption]]-Table4[[#This Row],[Planned shutdown for construction activity ]]-Table4[[#This Row],[Planned shutdown for O&amp;M activity ]]</f>
        <v>0</v>
      </c>
      <c r="W17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7" s="40">
        <f>Table4[[#This Row],[Load Interrupted (MW)]]-Table4[[#This Row],[Load at Restoration]]</f>
        <v>0</v>
      </c>
      <c r="AH17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7" s="66">
        <f>(Table4[[#This Row],[Load Interrupted (MW)]]/0.85*1000)</f>
        <v>0</v>
      </c>
      <c r="AJ177" s="169" t="s">
        <v>457</v>
      </c>
    </row>
    <row r="178" spans="1:36" s="157" customFormat="1" ht="17.25" hidden="1" customHeight="1" x14ac:dyDescent="0.35">
      <c r="A178" s="169" t="s">
        <v>174</v>
      </c>
      <c r="B178" s="170" t="s">
        <v>489</v>
      </c>
      <c r="C178" s="170" t="s">
        <v>231</v>
      </c>
      <c r="D178" s="169" t="s">
        <v>487</v>
      </c>
      <c r="E178" s="169" t="s">
        <v>269</v>
      </c>
      <c r="F178"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8"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8"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8"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8"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8"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8"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8"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8"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8"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8"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8"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8" s="122">
        <f t="shared" si="5"/>
        <v>30</v>
      </c>
      <c r="T178" s="122">
        <f>Table436[[#This Row],[Total Hours in Service]]</f>
        <v>12.44513888888889</v>
      </c>
      <c r="U17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8" s="42">
        <f>Table4[[#This Row],[Total Interrruption]]-Table4[[#This Row],[Planned shutdown for construction activity ]]-Table4[[#This Row],[Planned shutdown for O&amp;M activity ]]</f>
        <v>0</v>
      </c>
      <c r="W17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8"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8"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8"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8" s="171">
        <f>Table4[[#This Row],[Load Interrupted (MW)]]-Table4[[#This Row],[Load at Restoration]]</f>
        <v>0</v>
      </c>
      <c r="AH17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8" s="66">
        <f>(Table4[[#This Row],[Load Interrupted (MW)]]/0.85*1000)</f>
        <v>0</v>
      </c>
      <c r="AJ178" s="169" t="s">
        <v>461</v>
      </c>
    </row>
    <row r="179" spans="1:36" s="157" customFormat="1" ht="17.25" hidden="1" customHeight="1" x14ac:dyDescent="0.35">
      <c r="A179" s="169" t="s">
        <v>174</v>
      </c>
      <c r="B179" s="170" t="s">
        <v>489</v>
      </c>
      <c r="C179" s="170" t="s">
        <v>231</v>
      </c>
      <c r="D179" s="169" t="s">
        <v>488</v>
      </c>
      <c r="E179" s="169" t="s">
        <v>269</v>
      </c>
      <c r="F179" s="171">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79" s="171">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79" s="171">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79" s="171">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7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79" s="171">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79" s="171">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79" s="171">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79" s="122">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79" s="122">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79" s="122">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79" s="122">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79" s="122">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79" s="122">
        <f t="shared" si="5"/>
        <v>30</v>
      </c>
      <c r="T179" s="122">
        <f>Table436[[#This Row],[Total Hours in Service]]</f>
        <v>21.668749999999996</v>
      </c>
      <c r="U17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79" s="42">
        <f>Table4[[#This Row],[Total Interrruption]]-Table4[[#This Row],[Planned shutdown for construction activity ]]-Table4[[#This Row],[Planned shutdown for O&amp;M activity ]]</f>
        <v>0</v>
      </c>
      <c r="W17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7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7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7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7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7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79" s="171">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7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79" s="171">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79" s="171">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79" s="171">
        <f>Table4[[#This Row],[Load Interrupted (MW)]]-Table4[[#This Row],[Load at Restoration]]</f>
        <v>0</v>
      </c>
      <c r="AH17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79" s="66">
        <f>(Table4[[#This Row],[Load Interrupted (MW)]]/0.85*1000)</f>
        <v>0</v>
      </c>
      <c r="AJ179" s="169" t="s">
        <v>458</v>
      </c>
    </row>
    <row r="180" spans="1:36" ht="17.25" hidden="1" customHeight="1" x14ac:dyDescent="0.35">
      <c r="A180" s="38" t="s">
        <v>174</v>
      </c>
      <c r="B180" s="39" t="s">
        <v>433</v>
      </c>
      <c r="C180" s="39" t="s">
        <v>232</v>
      </c>
      <c r="D180" s="38" t="s">
        <v>470</v>
      </c>
      <c r="E180" s="38" t="s">
        <v>269</v>
      </c>
      <c r="F18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0"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0"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0"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0"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0"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0"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0" s="41">
        <f t="shared" si="5"/>
        <v>30</v>
      </c>
      <c r="T180" s="122">
        <f>Table436[[#This Row],[Total Hours in Service]]</f>
        <v>17.513888888888893</v>
      </c>
      <c r="U18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0" s="42">
        <f>Table4[[#This Row],[Total Interrruption]]-Table4[[#This Row],[Planned shutdown for construction activity ]]-Table4[[#This Row],[Planned shutdown for O&amp;M activity ]]</f>
        <v>0</v>
      </c>
      <c r="W18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0" s="40">
        <f>Table4[[#This Row],[Load Interrupted (MW)]]-Table4[[#This Row],[Load at Restoration]]</f>
        <v>0</v>
      </c>
      <c r="AH18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0" s="66">
        <f>(Table4[[#This Row],[Load Interrupted (MW)]]/0.85*1000)</f>
        <v>0</v>
      </c>
      <c r="AJ180" s="169" t="s">
        <v>460</v>
      </c>
    </row>
    <row r="181" spans="1:36" ht="17.25" hidden="1" customHeight="1" x14ac:dyDescent="0.35">
      <c r="A181" s="38" t="s">
        <v>178</v>
      </c>
      <c r="B181" s="39" t="s">
        <v>434</v>
      </c>
      <c r="C181" s="39" t="s">
        <v>13</v>
      </c>
      <c r="D181" s="38" t="s">
        <v>140</v>
      </c>
      <c r="E181" s="38" t="s">
        <v>269</v>
      </c>
      <c r="F18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1"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1"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1"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1"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1"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1"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1" s="41">
        <f t="shared" si="5"/>
        <v>30</v>
      </c>
      <c r="T181" s="122">
        <f>Table436[[#This Row],[Total Hours in Service]]</f>
        <v>7.5895833333333318</v>
      </c>
      <c r="U18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1" s="42">
        <f>Table4[[#This Row],[Total Interrruption]]-Table4[[#This Row],[Planned shutdown for construction activity ]]-Table4[[#This Row],[Planned shutdown for O&amp;M activity ]]</f>
        <v>0</v>
      </c>
      <c r="W18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1" s="40">
        <f>Table4[[#This Row],[Load Interrupted (MW)]]-Table4[[#This Row],[Load at Restoration]]</f>
        <v>0</v>
      </c>
      <c r="AH18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1" s="66">
        <f>(Table4[[#This Row],[Load Interrupted (MW)]]/0.85*1000)</f>
        <v>0</v>
      </c>
      <c r="AJ181" s="169" t="s">
        <v>460</v>
      </c>
    </row>
    <row r="182" spans="1:36" ht="17.25" hidden="1" customHeight="1" x14ac:dyDescent="0.35">
      <c r="A182" s="38" t="s">
        <v>178</v>
      </c>
      <c r="B182" s="170" t="s">
        <v>434</v>
      </c>
      <c r="C182" s="39" t="s">
        <v>13</v>
      </c>
      <c r="D182" s="38" t="s">
        <v>141</v>
      </c>
      <c r="E182" s="38" t="s">
        <v>269</v>
      </c>
      <c r="F18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2"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2"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2"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2"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2"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2"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2" s="41">
        <f t="shared" si="5"/>
        <v>30</v>
      </c>
      <c r="T182" s="122">
        <f>Table436[[#This Row],[Total Hours in Service]]</f>
        <v>7.3881944444444443</v>
      </c>
      <c r="U18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2" s="42">
        <f>Table4[[#This Row],[Total Interrruption]]-Table4[[#This Row],[Planned shutdown for construction activity ]]-Table4[[#This Row],[Planned shutdown for O&amp;M activity ]]</f>
        <v>0</v>
      </c>
      <c r="W18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2" s="40">
        <f>Table4[[#This Row],[Load Interrupted (MW)]]-Table4[[#This Row],[Load at Restoration]]</f>
        <v>0</v>
      </c>
      <c r="AH18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2" s="66">
        <f>(Table4[[#This Row],[Load Interrupted (MW)]]/0.85*1000)</f>
        <v>0</v>
      </c>
      <c r="AJ182" s="169" t="s">
        <v>460</v>
      </c>
    </row>
    <row r="183" spans="1:36" ht="17.25" hidden="1" customHeight="1" x14ac:dyDescent="0.35">
      <c r="A183" s="38" t="s">
        <v>178</v>
      </c>
      <c r="B183" s="39" t="s">
        <v>435</v>
      </c>
      <c r="C183" s="39" t="s">
        <v>13</v>
      </c>
      <c r="D183" s="38" t="s">
        <v>212</v>
      </c>
      <c r="E183" s="38" t="s">
        <v>269</v>
      </c>
      <c r="F18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83"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3"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83"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3"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3"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3"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-44784.256944444445</v>
      </c>
      <c r="O18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-44784.256944444445</v>
      </c>
      <c r="S183" s="41">
        <f t="shared" si="5"/>
        <v>44814.256944444445</v>
      </c>
      <c r="T183" s="122">
        <f>Table436[[#This Row],[Total Hours in Service]]</f>
        <v>18.195138888888895</v>
      </c>
      <c r="U18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83" s="42">
        <f>Table4[[#This Row],[Total Interrruption]]-Table4[[#This Row],[Planned shutdown for construction activity ]]-Table4[[#This Row],[Planned shutdown for O&amp;M activity ]]</f>
        <v>1</v>
      </c>
      <c r="W18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v>
      </c>
      <c r="AF18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3" s="40">
        <f>Table4[[#This Row],[Load Interrupted (MW)]]-Table4[[#This Row],[Load at Restoration]]</f>
        <v>1.2</v>
      </c>
      <c r="AH18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-53741.10833333333</v>
      </c>
      <c r="AI183" s="66">
        <f>(Table4[[#This Row],[Load Interrupted (MW)]]/0.85*1000)</f>
        <v>1411.7647058823529</v>
      </c>
      <c r="AJ183" s="169" t="s">
        <v>461</v>
      </c>
    </row>
    <row r="184" spans="1:36" ht="17.25" hidden="1" customHeight="1" x14ac:dyDescent="0.35">
      <c r="A184" s="38" t="s">
        <v>178</v>
      </c>
      <c r="B184" s="170" t="s">
        <v>435</v>
      </c>
      <c r="C184" s="39" t="s">
        <v>13</v>
      </c>
      <c r="D184" s="38" t="s">
        <v>319</v>
      </c>
      <c r="E184" s="38" t="s">
        <v>269</v>
      </c>
      <c r="F18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4"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4"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4"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4"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4"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4"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4" s="41">
        <f t="shared" si="5"/>
        <v>30</v>
      </c>
      <c r="T184" s="122">
        <f>Table436[[#This Row],[Total Hours in Service]]</f>
        <v>18.936805555555551</v>
      </c>
      <c r="U18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4" s="42">
        <f>Table4[[#This Row],[Total Interrruption]]-Table4[[#This Row],[Planned shutdown for construction activity ]]-Table4[[#This Row],[Planned shutdown for O&amp;M activity ]]</f>
        <v>0</v>
      </c>
      <c r="W18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4" s="40">
        <f>Table4[[#This Row],[Load Interrupted (MW)]]-Table4[[#This Row],[Load at Restoration]]</f>
        <v>0</v>
      </c>
      <c r="AH18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4" s="66">
        <f>(Table4[[#This Row],[Load Interrupted (MW)]]/0.85*1000)</f>
        <v>0</v>
      </c>
      <c r="AJ184" s="169" t="s">
        <v>461</v>
      </c>
    </row>
    <row r="185" spans="1:36" ht="17.25" hidden="1" customHeight="1" x14ac:dyDescent="0.35">
      <c r="A185" s="38" t="s">
        <v>174</v>
      </c>
      <c r="B185" s="39" t="s">
        <v>403</v>
      </c>
      <c r="C185" s="39" t="s">
        <v>230</v>
      </c>
      <c r="D185" s="38" t="s">
        <v>123</v>
      </c>
      <c r="E185" s="38" t="s">
        <v>269</v>
      </c>
      <c r="F18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85"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85"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85"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5"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5"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85"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8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0.54930555555620231</v>
      </c>
      <c r="O18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0.54930555555620231</v>
      </c>
      <c r="S185" s="41">
        <f t="shared" ref="S185:S196" si="6">Q$199-R185</f>
        <v>29.450694444443798</v>
      </c>
      <c r="T185" s="122">
        <f>Table436[[#This Row],[Total Hours in Service]]</f>
        <v>24.047222222222224</v>
      </c>
      <c r="U18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85" s="42">
        <f>Table4[[#This Row],[Total Interrruption]]-Table4[[#This Row],[Planned shutdown for construction activity ]]-Table4[[#This Row],[Planned shutdown for O&amp;M activity ]]</f>
        <v>2</v>
      </c>
      <c r="W18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8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4</v>
      </c>
      <c r="AF18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5" s="40">
        <f>Table4[[#This Row],[Load Interrupted (MW)]]-Table4[[#This Row],[Load at Restoration]]</f>
        <v>4</v>
      </c>
      <c r="AH18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1.0986111111124046</v>
      </c>
      <c r="AI185" s="66">
        <f>(Table4[[#This Row],[Load Interrupted (MW)]]/0.85*1000)</f>
        <v>4705.8823529411766</v>
      </c>
      <c r="AJ185" s="169" t="s">
        <v>458</v>
      </c>
    </row>
    <row r="186" spans="1:36" ht="17.25" hidden="1" customHeight="1" x14ac:dyDescent="0.35">
      <c r="A186" s="38" t="s">
        <v>174</v>
      </c>
      <c r="B186" s="170" t="s">
        <v>402</v>
      </c>
      <c r="C186" s="39" t="s">
        <v>230</v>
      </c>
      <c r="D186" s="38" t="s">
        <v>124</v>
      </c>
      <c r="E186" s="38" t="s">
        <v>269</v>
      </c>
      <c r="F18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6"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6"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6"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6"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6"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6"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6" s="41">
        <f t="shared" si="6"/>
        <v>30</v>
      </c>
      <c r="T186" s="122">
        <f>Table436[[#This Row],[Total Hours in Service]]</f>
        <v>23.458333333333332</v>
      </c>
      <c r="U18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6" s="42">
        <f>Table4[[#This Row],[Total Interrruption]]-Table4[[#This Row],[Planned shutdown for construction activity ]]-Table4[[#This Row],[Planned shutdown for O&amp;M activity ]]</f>
        <v>0</v>
      </c>
      <c r="W18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6" s="40">
        <f>Table4[[#This Row],[Load Interrupted (MW)]]-Table4[[#This Row],[Load at Restoration]]</f>
        <v>0</v>
      </c>
      <c r="AH18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6" s="66">
        <f>(Table4[[#This Row],[Load Interrupted (MW)]]/0.85*1000)</f>
        <v>0</v>
      </c>
      <c r="AJ186" s="169" t="s">
        <v>458</v>
      </c>
    </row>
    <row r="187" spans="1:36" ht="17.25" hidden="1" customHeight="1" x14ac:dyDescent="0.35">
      <c r="A187" s="38" t="s">
        <v>175</v>
      </c>
      <c r="B187" s="39" t="s">
        <v>409</v>
      </c>
      <c r="C187" s="39" t="s">
        <v>15</v>
      </c>
      <c r="D187" s="38" t="s">
        <v>129</v>
      </c>
      <c r="E187" s="38" t="s">
        <v>269</v>
      </c>
      <c r="F187"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87"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1</v>
      </c>
      <c r="H187"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7"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7"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7"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1</v>
      </c>
      <c r="L187"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7"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7"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7.2222222224809229E-2</v>
      </c>
      <c r="O187"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7"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7"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7"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7.2222222224809229E-2</v>
      </c>
      <c r="S187" s="41">
        <f t="shared" si="6"/>
        <v>29.927777777775191</v>
      </c>
      <c r="T187" s="122">
        <f>Table436[[#This Row],[Total Hours in Service]]</f>
        <v>20.336111111111101</v>
      </c>
      <c r="U187"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87" s="42">
        <f>Table4[[#This Row],[Total Interrruption]]-Table4[[#This Row],[Planned shutdown for construction activity ]]-Table4[[#This Row],[Planned shutdown for O&amp;M activity ]]</f>
        <v>1</v>
      </c>
      <c r="W187"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7"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7"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7"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7"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7"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7"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87"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7"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2.7</v>
      </c>
      <c r="AF187"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7" s="40">
        <f>Table4[[#This Row],[Load Interrupted (MW)]]-Table4[[#This Row],[Load at Restoration]]</f>
        <v>2.7</v>
      </c>
      <c r="AH187"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0.19500000000698492</v>
      </c>
      <c r="AI187" s="66">
        <f>(Table4[[#This Row],[Load Interrupted (MW)]]/0.85*1000)</f>
        <v>3176.4705882352946</v>
      </c>
      <c r="AJ187" s="169" t="s">
        <v>461</v>
      </c>
    </row>
    <row r="188" spans="1:36" ht="17.25" hidden="1" customHeight="1" x14ac:dyDescent="0.35">
      <c r="A188" s="38" t="s">
        <v>175</v>
      </c>
      <c r="B188" s="170" t="s">
        <v>409</v>
      </c>
      <c r="C188" s="39" t="s">
        <v>15</v>
      </c>
      <c r="D188" s="38" t="s">
        <v>130</v>
      </c>
      <c r="E188" s="38" t="s">
        <v>269</v>
      </c>
      <c r="F188"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88"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8"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88"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8"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8"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8"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8"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8"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88"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8"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8"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8"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88" s="41">
        <f t="shared" si="6"/>
        <v>30</v>
      </c>
      <c r="T188" s="122">
        <f>Table436[[#This Row],[Total Hours in Service]]</f>
        <v>22.017361111111118</v>
      </c>
      <c r="U188"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88" s="42">
        <f>Table4[[#This Row],[Total Interrruption]]-Table4[[#This Row],[Planned shutdown for construction activity ]]-Table4[[#This Row],[Planned shutdown for O&amp;M activity ]]</f>
        <v>0</v>
      </c>
      <c r="W188"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8"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8"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8"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8"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8"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8"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8"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8"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88"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8" s="40">
        <f>Table4[[#This Row],[Load Interrupted (MW)]]-Table4[[#This Row],[Load at Restoration]]</f>
        <v>0</v>
      </c>
      <c r="AH188"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88" s="66">
        <f>(Table4[[#This Row],[Load Interrupted (MW)]]/0.85*1000)</f>
        <v>0</v>
      </c>
      <c r="AJ188" s="169" t="s">
        <v>461</v>
      </c>
    </row>
    <row r="189" spans="1:36" ht="17.25" hidden="1" customHeight="1" x14ac:dyDescent="0.35">
      <c r="A189" s="38" t="s">
        <v>175</v>
      </c>
      <c r="B189" s="170" t="s">
        <v>409</v>
      </c>
      <c r="C189" s="39" t="s">
        <v>15</v>
      </c>
      <c r="D189" s="38" t="s">
        <v>128</v>
      </c>
      <c r="E189" s="38" t="s">
        <v>269</v>
      </c>
      <c r="F189"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1</v>
      </c>
      <c r="G189" s="40">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89" s="40">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1</v>
      </c>
      <c r="I189" s="40">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89"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89" s="40">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89" s="40">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89" s="40">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89"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-44776.8125</v>
      </c>
      <c r="O189"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89"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89"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89"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-44776.8125</v>
      </c>
      <c r="S189" s="41">
        <f t="shared" si="6"/>
        <v>44806.8125</v>
      </c>
      <c r="T189" s="122">
        <f>Table436[[#This Row],[Total Hours in Service]]</f>
        <v>25.199305555555551</v>
      </c>
      <c r="U189"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1</v>
      </c>
      <c r="V189" s="42">
        <f>Table4[[#This Row],[Total Interrruption]]-Table4[[#This Row],[Planned shutdown for construction activity ]]-Table4[[#This Row],[Planned shutdown for O&amp;M activity ]]</f>
        <v>1</v>
      </c>
      <c r="W189"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89"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89"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89"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89"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89"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89"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89"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89"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0.8</v>
      </c>
      <c r="AF189"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89" s="40">
        <f>Table4[[#This Row],[Load Interrupted (MW)]]-Table4[[#This Row],[Load at Restoration]]</f>
        <v>0.8</v>
      </c>
      <c r="AH189"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-35821.450000000004</v>
      </c>
      <c r="AI189" s="66">
        <f>(Table4[[#This Row],[Load Interrupted (MW)]]/0.85*1000)</f>
        <v>941.17647058823536</v>
      </c>
      <c r="AJ189" s="169" t="s">
        <v>457</v>
      </c>
    </row>
    <row r="190" spans="1:36" s="9" customFormat="1" ht="17.25" hidden="1" customHeight="1" x14ac:dyDescent="0.35">
      <c r="A190" s="173" t="s">
        <v>175</v>
      </c>
      <c r="B190" s="170" t="s">
        <v>409</v>
      </c>
      <c r="C190" s="173" t="s">
        <v>15</v>
      </c>
      <c r="D190" s="173" t="s">
        <v>131</v>
      </c>
      <c r="E190" s="173" t="s">
        <v>269</v>
      </c>
      <c r="F190"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90" s="174">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0" s="174">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90" s="174">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0"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0" s="174">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0" s="174">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0" s="174">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1</v>
      </c>
      <c r="N190"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-44776.413194444438</v>
      </c>
      <c r="O190"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0"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0"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0"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-44776.413194444438</v>
      </c>
      <c r="S190" s="41">
        <f t="shared" si="6"/>
        <v>44806.413194444438</v>
      </c>
      <c r="T190" s="122">
        <f>Table436[[#This Row],[Total Hours in Service]]</f>
        <v>21.33680555555555</v>
      </c>
      <c r="U190"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90" s="42">
        <f>Table4[[#This Row],[Total Interrruption]]-Table4[[#This Row],[Planned shutdown for construction activity ]]-Table4[[#This Row],[Planned shutdown for O&amp;M activity ]]</f>
        <v>2</v>
      </c>
      <c r="W190"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0"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0"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0"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0"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0"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0"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90"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0"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3.7</v>
      </c>
      <c r="AF190"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0" s="40">
        <f>Table4[[#This Row],[Load Interrupted (MW)]]-Table4[[#This Row],[Load at Restoration]]</f>
        <v>3.7</v>
      </c>
      <c r="AH190"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-94030.580902777758</v>
      </c>
      <c r="AI190" s="66">
        <f>(Table4[[#This Row],[Load Interrupted (MW)]]/0.85*1000)</f>
        <v>4352.9411764705892</v>
      </c>
      <c r="AJ190" s="169" t="s">
        <v>461</v>
      </c>
    </row>
    <row r="191" spans="1:36" ht="17.25" hidden="1" customHeight="1" x14ac:dyDescent="0.35">
      <c r="A191" s="175" t="s">
        <v>175</v>
      </c>
      <c r="B191" s="176" t="s">
        <v>410</v>
      </c>
      <c r="C191" s="176" t="s">
        <v>15</v>
      </c>
      <c r="D191" s="175" t="s">
        <v>126</v>
      </c>
      <c r="E191" s="175" t="s">
        <v>269</v>
      </c>
      <c r="F191"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3</v>
      </c>
      <c r="G191" s="177">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1" s="177">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91" s="177">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1</v>
      </c>
      <c r="J191"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1" s="177">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1" s="177">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1</v>
      </c>
      <c r="M191" s="177">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91"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-89566.075000000012</v>
      </c>
      <c r="O191"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1"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1"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1"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-89566.075000000012</v>
      </c>
      <c r="S191" s="41">
        <f t="shared" si="6"/>
        <v>89596.075000000012</v>
      </c>
      <c r="T191" s="122">
        <f>Table436[[#This Row],[Total Hours in Service]]</f>
        <v>19.799305555555552</v>
      </c>
      <c r="U191"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3</v>
      </c>
      <c r="V191" s="42">
        <f>Table4[[#This Row],[Total Interrruption]]-Table4[[#This Row],[Planned shutdown for construction activity ]]-Table4[[#This Row],[Planned shutdown for O&amp;M activity ]]</f>
        <v>3</v>
      </c>
      <c r="W191"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1"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1"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1"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1"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1"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1"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91"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1"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9.3999999999999986</v>
      </c>
      <c r="AF191"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1" s="40">
        <f>Table4[[#This Row],[Load Interrupted (MW)]]-Table4[[#This Row],[Load at Restoration]]</f>
        <v>9.3999999999999986</v>
      </c>
      <c r="AH191"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-277655.30270833336</v>
      </c>
      <c r="AI191" s="66">
        <f>(Table4[[#This Row],[Load Interrupted (MW)]]/0.85*1000)</f>
        <v>11058.823529411762</v>
      </c>
      <c r="AJ191" s="169" t="s">
        <v>461</v>
      </c>
    </row>
    <row r="192" spans="1:36" ht="17.25" hidden="1" customHeight="1" x14ac:dyDescent="0.35">
      <c r="A192" s="44" t="s">
        <v>175</v>
      </c>
      <c r="B192" s="176" t="s">
        <v>410</v>
      </c>
      <c r="C192" s="45" t="s">
        <v>15</v>
      </c>
      <c r="D192" s="44" t="s">
        <v>127</v>
      </c>
      <c r="E192" s="44" t="s">
        <v>269</v>
      </c>
      <c r="F192"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2</v>
      </c>
      <c r="G192" s="46">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2" s="46">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2</v>
      </c>
      <c r="I192" s="46">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2"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2" s="46">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2" s="46">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2" s="46">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2</v>
      </c>
      <c r="N192"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30.222222222218988</v>
      </c>
      <c r="O192"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2"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2"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2"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30.222222222218988</v>
      </c>
      <c r="S192" s="41">
        <f t="shared" si="6"/>
        <v>-0.22222222221898846</v>
      </c>
      <c r="T192" s="122">
        <f>Table436[[#This Row],[Total Hours in Service]]</f>
        <v>20.965277777777779</v>
      </c>
      <c r="U192"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2</v>
      </c>
      <c r="V192" s="42">
        <f>Table4[[#This Row],[Total Interrruption]]-Table4[[#This Row],[Planned shutdown for construction activity ]]-Table4[[#This Row],[Planned shutdown for O&amp;M activity ]]</f>
        <v>2</v>
      </c>
      <c r="W192"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2"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2"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2"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2"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2"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2"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1</v>
      </c>
      <c r="AD192"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2"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1.2</v>
      </c>
      <c r="AF192"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2" s="40">
        <f>Table4[[#This Row],[Load Interrupted (MW)]]-Table4[[#This Row],[Load at Restoration]]</f>
        <v>1.2</v>
      </c>
      <c r="AH192"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18.133333333331393</v>
      </c>
      <c r="AI192" s="66">
        <f>(Table4[[#This Row],[Load Interrupted (MW)]]/0.85*1000)</f>
        <v>1411.7647058823529</v>
      </c>
      <c r="AJ192" s="169" t="s">
        <v>459</v>
      </c>
    </row>
    <row r="193" spans="1:36" ht="17.25" hidden="1" customHeight="1" x14ac:dyDescent="0.35">
      <c r="A193" s="44" t="s">
        <v>175</v>
      </c>
      <c r="B193" s="176" t="s">
        <v>410</v>
      </c>
      <c r="C193" s="45" t="s">
        <v>15</v>
      </c>
      <c r="D193" s="44" t="s">
        <v>359</v>
      </c>
      <c r="E193" s="44" t="s">
        <v>269</v>
      </c>
      <c r="F193"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93" s="46">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3" s="46">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93" s="46">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3"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3" s="46">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3" s="46">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3" s="46">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93"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93"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3"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3"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3"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93" s="41">
        <f t="shared" si="6"/>
        <v>30</v>
      </c>
      <c r="T193" s="122">
        <f>Table436[[#This Row],[Total Hours in Service]]</f>
        <v>24.65625</v>
      </c>
      <c r="U193"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93" s="42">
        <f>Table4[[#This Row],[Total Interrruption]]-Table4[[#This Row],[Planned shutdown for construction activity ]]-Table4[[#This Row],[Planned shutdown for O&amp;M activity ]]</f>
        <v>0</v>
      </c>
      <c r="W193"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3"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3"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3"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3"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3"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3"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93"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3"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93"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3" s="40">
        <f>Table4[[#This Row],[Load Interrupted (MW)]]-Table4[[#This Row],[Load at Restoration]]</f>
        <v>0</v>
      </c>
      <c r="AH193"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93" s="66">
        <f>(Table4[[#This Row],[Load Interrupted (MW)]]/0.85*1000)</f>
        <v>0</v>
      </c>
      <c r="AJ193" s="169" t="s">
        <v>457</v>
      </c>
    </row>
    <row r="194" spans="1:36" ht="17.25" hidden="1" customHeight="1" x14ac:dyDescent="0.35">
      <c r="A194" s="44" t="s">
        <v>175</v>
      </c>
      <c r="B194" s="176" t="s">
        <v>410</v>
      </c>
      <c r="C194" s="45" t="s">
        <v>15</v>
      </c>
      <c r="D194" s="44" t="s">
        <v>360</v>
      </c>
      <c r="E194" s="44" t="s">
        <v>269</v>
      </c>
      <c r="F194"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94" s="46">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4" s="46">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94" s="46">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4"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4" s="46">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4" s="46">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4" s="46">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94"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94"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4"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4"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4"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94" s="41">
        <f t="shared" si="6"/>
        <v>30</v>
      </c>
      <c r="T194" s="122">
        <f>Table436[[#This Row],[Total Hours in Service]]</f>
        <v>23.345833333333339</v>
      </c>
      <c r="U194"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94" s="42">
        <f>Table4[[#This Row],[Total Interrruption]]-Table4[[#This Row],[Planned shutdown for construction activity ]]-Table4[[#This Row],[Planned shutdown for O&amp;M activity ]]</f>
        <v>0</v>
      </c>
      <c r="W194"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4"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4"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4"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4"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4"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4"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94"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4"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94"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4" s="40">
        <f>Table4[[#This Row],[Load Interrupted (MW)]]-Table4[[#This Row],[Load at Restoration]]</f>
        <v>0</v>
      </c>
      <c r="AH194"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94" s="66">
        <f>(Table4[[#This Row],[Load Interrupted (MW)]]/0.85*1000)</f>
        <v>0</v>
      </c>
      <c r="AJ194" s="169" t="s">
        <v>457</v>
      </c>
    </row>
    <row r="195" spans="1:36" ht="17.25" hidden="1" customHeight="1" x14ac:dyDescent="0.35">
      <c r="A195" s="44" t="s">
        <v>175</v>
      </c>
      <c r="B195" s="45" t="s">
        <v>436</v>
      </c>
      <c r="C195" s="45" t="s">
        <v>233</v>
      </c>
      <c r="D195" s="44" t="s">
        <v>467</v>
      </c>
      <c r="E195" s="44" t="s">
        <v>269</v>
      </c>
      <c r="F195"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95" s="46">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5" s="46">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95" s="46">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5"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5" s="46">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5" s="46">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5" s="46">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95"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95"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5"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5"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5"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95" s="41">
        <f t="shared" si="6"/>
        <v>30</v>
      </c>
      <c r="T195" s="122">
        <f>Table436[[#This Row],[Total Hours in Service]]</f>
        <v>11.367361111111116</v>
      </c>
      <c r="U195"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95" s="42">
        <f>Table4[[#This Row],[Total Interrruption]]-Table4[[#This Row],[Planned shutdown for construction activity ]]-Table4[[#This Row],[Planned shutdown for O&amp;M activity ]]</f>
        <v>0</v>
      </c>
      <c r="W195"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5"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5"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5"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5"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5"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5"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95"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5"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95"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5" s="40">
        <f>Table4[[#This Row],[Load Interrupted (MW)]]-Table4[[#This Row],[Load at Restoration]]</f>
        <v>0</v>
      </c>
      <c r="AH195"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95" s="66">
        <f>(Table4[[#This Row],[Load Interrupted (MW)]]/0.85*1000)</f>
        <v>0</v>
      </c>
      <c r="AJ195" s="169" t="s">
        <v>461</v>
      </c>
    </row>
    <row r="196" spans="1:36" ht="17.25" hidden="1" customHeight="1" x14ac:dyDescent="0.35">
      <c r="A196" s="44" t="s">
        <v>175</v>
      </c>
      <c r="B196" s="176" t="s">
        <v>436</v>
      </c>
      <c r="C196" s="45" t="s">
        <v>233</v>
      </c>
      <c r="D196" s="44" t="s">
        <v>132</v>
      </c>
      <c r="E196" s="44" t="s">
        <v>269</v>
      </c>
      <c r="F196" s="40">
        <f>COUNTIF('1'!A$3:A$1018,Table4[[#This Row],[Feeder]])+COUNTIF('2'!A$2:A$1026,Table4[[#This Row],[Feeder]])+COUNTIF('3'!A$2:A$1025,Table4[[#This Row],[Feeder]])+COUNTIF('4'!A$2:A$1006,Table4[[#This Row],[Feeder]])+COUNTIF('5'!A$2:A$1042,Table4[[#This Row],[Feeder]])+COUNTIF('6'!A$2:A$1040,Table4[[#This Row],[Feeder]])+COUNTIF('7'!A$2:A$1043,Table4[[#This Row],[Feeder]])+COUNTIF('8'!A$2:A$1063,Table4[[#This Row],[Feeder]])+COUNTIF('9'!A$2:A$1012,Table4[[#This Row],[Feeder]])+COUNTIF('10'!A$2:A$1027,Table4[[#This Row],[Feeder]])+COUNTIF('11'!A$2:A$1059,Table4[[#This Row],[Feeder]])+COUNTIF('12'!A$2:A$1003,Table4[[#This Row],[Feeder]])+COUNTIF('13'!A$2:A$1008,Table4[[#This Row],[Feeder]])+COUNTIF('14'!A$2:A$1024,Table4[[#This Row],[Feeder]])+COUNTIF('15'!A$2:A$1038,Table4[[#This Row],[Feeder]])+COUNTIF('16'!A$2:A$1035,Table4[[#This Row],[Feeder]])+COUNTIF('17'!A$2:A$1017,Table4[[#This Row],[Feeder]])+COUNTIF('18'!A$2:A$1030,Table4[[#This Row],[Feeder]])+COUNTIF('19'!A$2:A$1003,Table4[[#This Row],[Feeder]])+COUNTIF('20'!A$2:A$1012,Table4[[#This Row],[Feeder]])+COUNTIF('21'!A$2:A$1005,Table4[[#This Row],[Feeder]])+COUNTIF('22'!A$2:A$1032,Table4[[#This Row],[Feeder]])+COUNTIF('23'!A$2:A$1031,Table4[[#This Row],[Feeder]])+COUNTIF('24'!A$2:A$1037,Table4[[#This Row],[Feeder]])+COUNTIF('25'!A$2:A$1039,Table4[[#This Row],[Feeder]])+COUNTIF('26'!A$2:A$1039,Table4[[#This Row],[Feeder]])+COUNTIF('27'!A$2:A$1008,Table4[[#This Row],[Feeder]])+COUNTIF('28'!A$2:A$1008,Table4[[#This Row],[Feeder]])+COUNTIF('29'!A$2:A$1029,Table4[[#This Row],[Feeder]])+COUNTIF('30'!A$2:A$1012,Table4[[#This Row],[Feeder]])+COUNTIF('31'!A$2:A$1001,Table4[[#This Row],[Feeder]])</f>
        <v>0</v>
      </c>
      <c r="G196" s="46">
        <f>COUNTIFS('1'!A$3:A$1018,Table4[[#This Row],[Feeder]],'1'!G$3:G$1018,"O/C")+COUNTIFS('2'!A$2:A$1026,Table4[[#This Row],[Feeder]],'2'!G$2:G$1026,"O/C")+COUNTIFS('3'!A$2:A$1025,Table4[[#This Row],[Feeder]],'3'!G$2:G$1025,"O/C")+COUNTIFS('4'!A$2:A$1006,Table4[[#This Row],[Feeder]],'4'!G$2:G$1006,"O/C")+COUNTIFS('5'!A$2:A$1042,Table4[[#This Row],[Feeder]],'5'!G$2:G$1042,"O/C")+COUNTIFS('6'!A$2:A$1040,Table4[[#This Row],[Feeder]],'6'!G$2:G$1040,"O/C")+COUNTIFS('7'!A$2:A$1043,Table4[[#This Row],[Feeder]],'7'!G$2:G$1043,"O/C")+COUNTIFS('8'!A$2:A$1063,Table4[[#This Row],[Feeder]],'8'!G$2:G$1063,"O/C")+COUNTIFS('9'!A$2:A$1012,Table4[[#This Row],[Feeder]],'9'!G$2:G$1012,"O/C")+COUNTIFS('10'!A$2:A$1027,Table4[[#This Row],[Feeder]],'10'!G$2:G$1027,"O/C")+COUNTIFS('11'!A$2:A$1059,Table4[[#This Row],[Feeder]],'11'!G$2:G$1059,"O/C")+COUNTIFS('12'!A$2:A$1003,Table4[[#This Row],[Feeder]],'12'!G$2:G$1003,"O/C")+COUNTIFS('13'!A$2:A$1008,Table4[[#This Row],[Feeder]],'13'!G$2:G$1008,"O/C")+COUNTIFS('14'!A$2:A$1024,Table4[[#This Row],[Feeder]],'14'!G$2:G$1024,"O/C")+COUNTIFS('15'!A$2:A$1038,Table4[[#This Row],[Feeder]],'15'!G$2:G$1038,"O/C")+COUNTIFS('16'!A$2:A$1035,Table4[[#This Row],[Feeder]],'16'!G$2:G$1035,"O/C")+COUNTIFS('17'!A$2:A$1017,Table4[[#This Row],[Feeder]],'17'!G$2:G$1017,"O/C")+COUNTIFS('18'!A$2:A$1030,Table4[[#This Row],[Feeder]],'18'!G$2:G$1030,"O/C")+COUNTIFS('19'!A$2:A$1003,Table4[[#This Row],[Feeder]],'19'!G$2:G$1003,"O/C")+COUNTIFS('20'!A$2:A$1012,Table4[[#This Row],[Feeder]],'20'!G$2:G$1012,"O/C")+COUNTIFS('21'!A$2:A$1005,Table4[[#This Row],[Feeder]],'21'!G$2:G$1005,"O/C")+COUNTIFS('22'!A$2:A$1032,Table4[[#This Row],[Feeder]],'22'!G$2:G$1032,"O/C")+COUNTIFS('23'!A$2:A$1031,Table4[[#This Row],[Feeder]],'23'!G$2:G$1031,"O/C")+COUNTIFS('24'!A$2:A$1037,Table4[[#This Row],[Feeder]],'24'!G$2:G$1037,"O/C")+COUNTIFS('25'!A$2:A$1039,Table4[[#This Row],[Feeder]],'25'!G$2:G$1039,"O/C")+COUNTIFS('26'!A$2:A$1039,Table4[[#This Row],[Feeder]],'26'!G$2:G$1039,"O/C")+COUNTIFS('27'!A$2:A$1008,Table4[[#This Row],[Feeder]],'27'!G$2:G$1008,"O/C")+COUNTIFS('28'!A$2:A$1008,Table4[[#This Row],[Feeder]],'28'!G$2:G$1008,"O/C")+COUNTIFS('29'!A$2:A$1029,Table4[[#This Row],[Feeder]],'29'!G$2:G$1029,"O/C")+COUNTIFS('30'!A$2:A$1012,Table4[[#This Row],[Feeder]],'30'!G$2:G$1012,"O/C")+COUNTIFS('31'!A$2:A$1001,Table4[[#This Row],[Feeder]],'31'!G$2:G$1001,"O/C")</f>
        <v>0</v>
      </c>
      <c r="H196" s="46">
        <f>COUNTIFS('1'!A$3:A$1018,Table4[[#This Row],[Feeder]],'1'!G$3:G$1018,"E/F")+COUNTIFS('2'!A$2:A$1026,Table4[[#This Row],[Feeder]],'2'!G$2:G$1026,"E/F")+COUNTIFS('3'!A$2:A$1025,Table4[[#This Row],[Feeder]],'3'!G$2:G$1025,"E/F")+COUNTIFS('4'!A$2:A$1006,Table4[[#This Row],[Feeder]],'4'!G$2:G$1006,"E/F")+COUNTIFS('5'!A$2:A$1042,Table4[[#This Row],[Feeder]],'5'!G$2:G$1042,"E/F")+COUNTIFS('6'!A$2:A$1040,Table4[[#This Row],[Feeder]],'6'!G$2:G$1040,"E/F")+COUNTIFS('7'!A$2:A$1043,Table4[[#This Row],[Feeder]],'7'!G$2:G$1043,"E/F")+COUNTIFS('8'!A$2:A$1063,Table4[[#This Row],[Feeder]],'8'!G$2:G$1063,"E/F")+COUNTIFS('9'!A$2:A$1012,Table4[[#This Row],[Feeder]],'9'!G$2:G$1012,"E/F")+COUNTIFS('10'!A$2:A$1027,Table4[[#This Row],[Feeder]],'10'!G$2:G$1027,"E/F")+COUNTIFS('11'!A$2:A$1059,Table4[[#This Row],[Feeder]],'11'!G$2:G$1059,"E/F")+COUNTIFS('12'!A$2:A$1003,Table4[[#This Row],[Feeder]],'12'!G$2:G$1003,"E/F")+COUNTIFS('13'!A$2:A$1008,Table4[[#This Row],[Feeder]],'13'!G$2:G$1008,"E/F")+COUNTIFS('14'!A$2:A$1024,Table4[[#This Row],[Feeder]],'14'!G$2:G$1024,"E/F")+COUNTIFS('15'!A$2:A$1038,Table4[[#This Row],[Feeder]],'15'!G$2:G$1038,"E/F")+COUNTIFS('16'!A$2:A$1035,Table4[[#This Row],[Feeder]],'16'!G$2:G$1035,"E/F")+COUNTIFS('17'!A$2:A$1017,Table4[[#This Row],[Feeder]],'17'!G$2:G$1017,"E/F")+COUNTIFS('18'!A$2:A$1030,Table4[[#This Row],[Feeder]],'18'!G$2:G$1030,"E/F")+COUNTIFS('19'!A$2:A$1003,Table4[[#This Row],[Feeder]],'19'!G$2:G$1003,"E/F")+COUNTIFS('20'!A$2:A$1012,Table4[[#This Row],[Feeder]],'20'!G$2:G$1012,"E/F")+COUNTIFS('21'!A$2:A$1005,Table4[[#This Row],[Feeder]],'21'!G$2:G$1005,"E/F")+COUNTIFS('22'!A$2:A$1032,Table4[[#This Row],[Feeder]],'22'!G$2:G$1032,"E/F")+COUNTIFS('23'!A$2:A$1031,Table4[[#This Row],[Feeder]],'23'!G$2:G$1031,"E/F")+COUNTIFS('24'!A$2:A$1037,Table4[[#This Row],[Feeder]],'24'!G$2:G$1037,"E/F")+COUNTIFS('25'!A$2:A$1039,Table4[[#This Row],[Feeder]],'25'!G$2:G$1039,"E/F")+COUNTIFS('26'!A$2:A$1039,Table4[[#This Row],[Feeder]],'26'!G$2:G$1039,"E/F")+COUNTIFS('27'!A$2:A$1008,Table4[[#This Row],[Feeder]],'27'!G$2:G$1008,"E/F")+COUNTIFS('28'!A$2:A$1008,Table4[[#This Row],[Feeder]],'28'!G$2:G$1008,"E/F")+COUNTIFS('29'!A$2:A$1029,Table4[[#This Row],[Feeder]],'29'!G$2:G$1029,"E/F")+COUNTIFS('30'!A$2:A$1012,Table4[[#This Row],[Feeder]],'30'!G$2:G$1012,"E/F")+COUNTIFS('31'!A$2:A$1001,Table4[[#This Row],[Feeder]],'31'!G$2:G$1001,"E/F")</f>
        <v>0</v>
      </c>
      <c r="I196" s="46">
        <f>COUNTIFS('1'!A$3:A$1018,Table4[[#This Row],[Feeder]],'1'!G$3:G$1018,"O/C &amp; E/F")+COUNTIFS('2'!A$2:A$1026,Table4[[#This Row],[Feeder]],'2'!G$2:G$1026,"O/C &amp; E/F")+COUNTIFS('3'!A$2:A$1025,Table4[[#This Row],[Feeder]],'3'!G$2:G$1025,"O/C &amp; E/F")+COUNTIFS('4'!A$2:A$1006,Table4[[#This Row],[Feeder]],'4'!G$2:G$1006,"O/C &amp; E/F")+COUNTIFS('5'!A$2:A$1042,Table4[[#This Row],[Feeder]],'5'!G$2:G$1042,"O/C &amp; E/F")+COUNTIFS('6'!A$2:A$1040,Table4[[#This Row],[Feeder]],'6'!G$2:G$1040,"O/C &amp; E/F")+COUNTIFS('7'!A$2:A$1043,Table4[[#This Row],[Feeder]],'7'!G$2:G$1043,"O/C &amp; E/F")+COUNTIFS('8'!A$2:A$1063,Table4[[#This Row],[Feeder]],'8'!G$2:G$1063,"O/C &amp; E/F")+COUNTIFS('9'!A$2:A$1012,Table4[[#This Row],[Feeder]],'9'!G$2:G$1012,"O/C &amp; E/F")+COUNTIFS('10'!A$2:A$1027,Table4[[#This Row],[Feeder]],'10'!G$2:G$1027,"O/C &amp; E/F")+COUNTIFS('11'!A$2:A$1059,Table4[[#This Row],[Feeder]],'11'!G$2:G$1059,"O/C &amp; E/F")+COUNTIFS('12'!A$2:A$1003,Table4[[#This Row],[Feeder]],'12'!G$2:G$1003,"O/C &amp; E/F")+COUNTIFS('13'!A$2:A$1008,Table4[[#This Row],[Feeder]],'13'!G$2:G$1008,"O/C &amp; E/F")+COUNTIFS('14'!A$2:A$1024,Table4[[#This Row],[Feeder]],'14'!G$2:G$1024,"O/C &amp; E/F")+COUNTIFS('15'!A$2:A$1038,Table4[[#This Row],[Feeder]],'15'!G$2:G$1038,"O/C &amp; E/F")+COUNTIFS('16'!A$2:A$1035,Table4[[#This Row],[Feeder]],'16'!G$2:G$1035,"O/C &amp; E/F")+COUNTIFS('17'!A$2:A$1017,Table4[[#This Row],[Feeder]],'17'!G$2:G$1017,"O/C &amp; E/F")+COUNTIFS('18'!A$2:A$1030,Table4[[#This Row],[Feeder]],'18'!G$2:G$1030,"O/C &amp; E/F")+COUNTIFS('19'!A$2:A$1003,Table4[[#This Row],[Feeder]],'19'!G$2:G$1003,"O/C &amp; E/F")+COUNTIFS('20'!A$2:A$1012,Table4[[#This Row],[Feeder]],'20'!G$2:G$1012,"O/C &amp; E/F")+COUNTIFS('21'!A$2:A$1005,Table4[[#This Row],[Feeder]],'21'!G$2:G$1005,"O/C &amp; E/F")+COUNTIFS('22'!A$2:A$1032,Table4[[#This Row],[Feeder]],'22'!G$2:G$1032,"O/C &amp; E/F")+COUNTIFS('23'!A$2:A$1031,Table4[[#This Row],[Feeder]],'23'!G$2:G$1031,"O/C &amp; E/F")+COUNTIFS('24'!A$2:A$1037,Table4[[#This Row],[Feeder]],'24'!G$2:G$1037,"O/C &amp; E/F")+COUNTIFS('25'!A$2:A$1039,Table4[[#This Row],[Feeder]],'25'!G$2:G$1039,"O/C &amp; E/F")+COUNTIFS('26'!A$2:A$1039,Table4[[#This Row],[Feeder]],'26'!G$2:G$1039,"O/C &amp; E/F")+COUNTIFS('27'!A$2:A$1008,Table4[[#This Row],[Feeder]],'27'!G$2:G$1008,"O/C &amp; E/F")+COUNTIFS('28'!A$2:A$1008,Table4[[#This Row],[Feeder]],'28'!G$2:G$1008,"O/C &amp; E/F")+COUNTIFS('29'!A$2:A$1029,Table4[[#This Row],[Feeder]],'29'!G$2:G$1029,"O/C &amp; E/F")+COUNTIFS('30'!A$2:A$1012,Table4[[#This Row],[Feeder]],'30'!G$2:G$1012,"O/C &amp; E/F")+COUNTIFS('31'!A$2:A$1001,Table4[[#This Row],[Feeder]],'31'!G$2:G$1001,"O/C &amp; E/F")</f>
        <v>0</v>
      </c>
      <c r="J196" s="171">
        <f>COUNTIFS('1'!A$3:A$1021,Table4[[#This Row],[Feeder]],'1'!G$3:G$1021,"NO RI")+COUNTIFS('2'!A$2:A$1027,Table4[[#This Row],[Feeder]],'2'!G$2:G$1027,"NO RI")+COUNTIFS('3'!A$2:A$1026,Table4[[#This Row],[Feeder]],'3'!G$2:G$1026,"NO RI")+COUNTIFS('4'!A$2:A$1009,Table4[[#This Row],[Feeder]],'4'!G$2:G$1009,"NO RI")+COUNTIFS('5'!A$2:A$1041,Table4[[#This Row],[Feeder]],'5'!G$2:G$1041,"NO RI")+COUNTIFS('6'!A$2:A$1040,Table4[[#This Row],[Feeder]],'6'!G$2:G$1040,"NO RI")+COUNTIFS('7'!A$2:A$1043,Table4[[#This Row],[Feeder]],'7'!G$2:G$1043,"NO RI")+COUNTIFS('8'!A$2:A$1063,Table4[[#This Row],[Feeder]],'8'!G$2:G$1063,"NO RI")+COUNTIFS('9'!A$2:A$1012,Table4[[#This Row],[Feeder]],'9'!G$2:G$1012,"NO RI")+COUNTIFS('10'!A$2:A$1027,Table4[[#This Row],[Feeder]],'10'!G$2:G$1027,"NO RI")+COUNTIFS('11'!A$2:A$1059,Table4[[#This Row],[Feeder]],'11'!G$2:G$1059,"NO RI")+COUNTIFS('12'!A$2:A$1003,Table4[[#This Row],[Feeder]],'12'!G$2:G$1003,"NO RI")+COUNTIFS('13'!A$2:A$1008,Table4[[#This Row],[Feeder]],'13'!G$2:G$1008,"NO RI")+COUNTIFS('14'!A$2:A$1024,Table4[[#This Row],[Feeder]],'14'!G$2:G$1024,"NO RI")+COUNTIFS('15'!A$2:A$1038,Table4[[#This Row],[Feeder]],'15'!G$2:G$1038,"NO RI")+COUNTIFS('16'!A$2:A$1035,Table4[[#This Row],[Feeder]],'16'!G$2:G$1035,"NO RI")+COUNTIFS('17'!A$2:A$1017,Table4[[#This Row],[Feeder]],'17'!G$2:G$1017,"NO RI")+COUNTIFS('18'!A$2:A$1030,Table4[[#This Row],[Feeder]],'18'!G$2:G$1030,"NO RI")+COUNTIFS('19'!A$2:A$1003,Table4[[#This Row],[Feeder]],'19'!G$2:G$1003,"NO RI")+COUNTIFS('20'!A$2:A$1012,Table4[[#This Row],[Feeder]],'20'!G$2:G$1012,"NO RI")+COUNTIFS('21'!A$2:A$1005,Table4[[#This Row],[Feeder]],'21'!G$2:G$1005,"NO RI")+COUNTIFS('22'!A$2:A$1032,Table4[[#This Row],[Feeder]],'22'!G$2:G$1032,"NO RI")+COUNTIFS('23'!A$2:A$1031,Table4[[#This Row],[Feeder]],'23'!G$2:G$1031,"NO RI")+COUNTIFS('24'!A$2:A$1037,Table4[[#This Row],[Feeder]],'24'!G$2:G$1037,"NO RI")+COUNTIFS('25'!A$2:A$1039,Table4[[#This Row],[Feeder]],'25'!G$2:G$1039,"NO RI")+COUNTIFS('26'!A$2:A$1039,Table4[[#This Row],[Feeder]],'26'!G$2:G$1039,"NO RI")+COUNTIFS('27'!A$2:A$1008,Table4[[#This Row],[Feeder]],'27'!G$2:G$1008,"NO RI")+COUNTIFS('28'!A$2:A$1008,Table4[[#This Row],[Feeder]],'28'!G$2:G$1008,"NO RI")+COUNTIFS('29'!A$2:A$1029,Table4[[#This Row],[Feeder]],'29'!G$2:G$1029,"NO RI")+COUNTIFS('30'!A$2:A$1012,Table4[[#This Row],[Feeder]],'30'!G$2:G$1012,"NO RI")+COUNTIFS('31'!A$2:A$1001,Table4[[#This Row],[Feeder]],'31'!G$2:G$1001,"NO RI")</f>
        <v>0</v>
      </c>
      <c r="K196" s="46">
        <f>COUNTIFS('1'!A$3:A$1033,Table4[[#This Row],[Feeder]],'1'!I$3:I$1033,"TRANSIENT")+COUNTIFS('2'!A$2:A$1035,Table4[[#This Row],[Feeder]],'2'!I$2:I$1035,"TRANSIENT")+COUNTIFS('3'!A$2:A$1021,Table4[[#This Row],[Feeder]],'3'!I$2:I$1021,"TRANSIENT")+COUNTIFS('4'!A$2:A$1026,Table4[[#This Row],[Feeder]],'4'!I$2:I$1026,"TRANSIENT")+COUNTIFS('5'!A$2:A$1095,Table4[[#This Row],[Feeder]],'5'!I$2:I$1095,"TRANSIENT")+COUNTIFS('6'!A$2:A$1052,Table4[[#This Row],[Feeder]],'6'!I$2:I$1052,"TRANSIENT")+COUNTIFS('7'!A$2:A$1054,Table4[[#This Row],[Feeder]],'7'!I$2:I$1054,"TRANSIENT")+COUNTIFS('8'!A$2:A$1073,Table4[[#This Row],[Feeder]],'8'!I$2:I$1073,"TRANSIENT")+COUNTIFS('9'!A$2:A$1022,Table4[[#This Row],[Feeder]],'9'!I$2:I$1022,"TRANSIENT")+COUNTIFS('10'!A$2:A$1042,Table4[[#This Row],[Feeder]],'10'!I$2:I$1042,"TRANSIENT")+COUNTIFS('11'!A$2:A$1094,Table4[[#This Row],[Feeder]],'11'!I$2:I$1094,"TRANSIENT")+COUNTIFS('12'!A$2:A$1015,Table4[[#This Row],[Feeder]],'12'!I$2:I$1015,"TRANSIENT")+COUNTIFS('13'!A$2:A$1024,Table4[[#This Row],[Feeder]],'13'!I$2:I$1024,"TRANSIENT")+COUNTIFS('14'!A$2:A$1036,Table4[[#This Row],[Feeder]],'14'!I$2:I$1036,"TRANSIENT")+COUNTIFS('15'!A$2:A$1052,Table4[[#This Row],[Feeder]],'15'!I$2:I$1052,"TRANSIENT")+COUNTIFS('16'!A$2:A$1068,Table4[[#This Row],[Feeder]],'16'!I$2:I$1068,"TRANSIENT")+COUNTIFS('17'!A$2:A$1022,Table4[[#This Row],[Feeder]],'17'!I$2:I$1022,"TRANSIENT")+COUNTIFS('18'!A$2:A$1036,Table4[[#This Row],[Feeder]],'18'!I$2:I$1036,"TRANSIENT")+COUNTIFS('19'!A$2:A$1021,Table4[[#This Row],[Feeder]],'19'!I$2:I$1021,"TRANSIENT")+COUNTIFS('20'!A$2:A$1039,Table4[[#This Row],[Feeder]],'20'!I$2:I$1039,"TRANSIENT")+COUNTIFS('21'!A$2:A$1016,Table4[[#This Row],[Feeder]],'21'!I$2:I$1016,"TRANSIENT")+COUNTIFS('22'!A$2:A$1040,Table4[[#This Row],[Feeder]],'22'!I$2:I$1040,"TRANSIENT")+COUNTIFS('23'!A$2:A$1062,Table4[[#This Row],[Feeder]],'23'!I$2:I$1062,"TRANSIENT")+COUNTIFS('24'!A$2:A$1051,Table4[[#This Row],[Feeder]],'24'!I$2:I$1051,"TRANSIENT")+COUNTIFS('25'!A$2:A$1048,Table4[[#This Row],[Feeder]],'25'!I$2:I$1048,"TRANSIENT")+COUNTIFS('26'!A$2:A$1048,Table4[[#This Row],[Feeder]],'26'!I$2:I$1048,"TRANSIENT")+COUNTIFS('27'!A$2:A$1047,Table4[[#This Row],[Feeder]],'27'!I$2:I$1047,"TRANSIENT")+COUNTIFS('28'!A$2:A$1029,Table4[[#This Row],[Feeder]],'28'!I$2:I$1029,"TRANSIENT")+COUNTIFS('29'!A$2:A$1082,Table4[[#This Row],[Feeder]],'29'!I$2:I$1082,"TRANSIENT")+COUNTIFS('30'!A$2:A$1084,Table4[[#This Row],[Feeder]],'30'!I$2:I$1084,"TRANSIENT")+COUNTIFS('31'!A$2:A$1002,Table4[[#This Row],[Feeder]],'31'!I$2:I$1002,"TRANSIENT")</f>
        <v>0</v>
      </c>
      <c r="L196" s="46">
        <f>COUNTIFS('1'!A$3:A$1033,Table4[[#This Row],[Feeder]],'1'!I$3:I$1033,"NO")+COUNTIFS('2'!A$2:A$1035,Table4[[#This Row],[Feeder]],'2'!I$2:I$1035,"NO")+COUNTIFS('3'!A$2:A$1021,Table4[[#This Row],[Feeder]],'3'!I$2:I$1021,"NO")+COUNTIFS('4'!A$2:A$1026,Table4[[#This Row],[Feeder]],'4'!I$2:I$1026,"NO")+COUNTIFS('5'!A$2:A$1095,Table4[[#This Row],[Feeder]],'5'!I$2:I$1095,"NO")+COUNTIFS('6'!A$2:A$1052,Table4[[#This Row],[Feeder]],'6'!I$2:I$1052,"NO")+COUNTIFS('7'!A$2:A$1054,Table4[[#This Row],[Feeder]],'7'!I$2:I$1054,"NO")+COUNTIFS('8'!A$2:A$1073,Table4[[#This Row],[Feeder]],'8'!I$2:I$1073,"NO")+COUNTIFS('9'!A$2:A$1022,Table4[[#This Row],[Feeder]],'9'!I$2:I$1022,"NO")+COUNTIFS('10'!A$2:A$1042,Table4[[#This Row],[Feeder]],'10'!I$2:I$1042,"NO")+COUNTIFS('11'!A$2:A$1094,Table4[[#This Row],[Feeder]],'11'!I$2:I$1094,"NO")+COUNTIFS('12'!A$2:A$1015,Table4[[#This Row],[Feeder]],'12'!I$2:I$1015,"NO")+COUNTIFS('13'!A$2:A$1024,Table4[[#This Row],[Feeder]],'13'!I$2:I$1024,"NO")+COUNTIFS('14'!A$2:A$1036,Table4[[#This Row],[Feeder]],'14'!I$2:I$1036,"NO")+COUNTIFS('15'!A$2:A$1052,Table4[[#This Row],[Feeder]],'15'!I$2:I$1052,"NO")+COUNTIFS('16'!A$2:A$1068,Table4[[#This Row],[Feeder]],'16'!I$2:I$1068,"NO")+COUNTIFS('17'!A$2:A$1022,Table4[[#This Row],[Feeder]],'17'!I$2:I$1022,"NO")+COUNTIFS('18'!A$2:A$1036,Table4[[#This Row],[Feeder]],'18'!I$2:I$1036,"NO")+COUNTIFS('19'!A$2:A$1021,Table4[[#This Row],[Feeder]],'19'!I$2:I$1021,"NO")+COUNTIFS('20'!A$2:A$1039,Table4[[#This Row],[Feeder]],'20'!I$2:I$1039,"NO")+COUNTIFS('21'!A$2:A$1016,Table4[[#This Row],[Feeder]],'21'!I$2:I$1016,"NO")+COUNTIFS('22'!A$2:A$1040,Table4[[#This Row],[Feeder]],'22'!I$2:I$1040,"NO")+COUNTIFS('23'!A$2:A$1062,Table4[[#This Row],[Feeder]],'23'!I$2:I$1062,"NO")+COUNTIFS('24'!A$2:A$1051,Table4[[#This Row],[Feeder]],'24'!I$2:I$1051,"NO")+COUNTIFS('25'!A$2:A$1048,Table4[[#This Row],[Feeder]],'25'!I$2:I$1048,"NO")+COUNTIFS('26'!A$2:A$1048,Table4[[#This Row],[Feeder]],'26'!I$2:I$1048,"NO")+COUNTIFS('27'!A$2:A$1047,Table4[[#This Row],[Feeder]],'27'!I$2:I$1047,"NO")+COUNTIFS('28'!A$2:A$1029,Table4[[#This Row],[Feeder]],'28'!I$2:I$1029,"NO")+COUNTIFS('29'!A$2:A$1082,Table4[[#This Row],[Feeder]],'29'!I$2:I$1082,"NO")+COUNTIFS('30'!A$2:A$1084,Table4[[#This Row],[Feeder]],'30'!I$2:I$1084,"NO")+COUNTIFS('31'!A$2:A$1002,Table4[[#This Row],[Feeder]],'31'!I$2:I$1002,"NO")</f>
        <v>0</v>
      </c>
      <c r="M196" s="46">
        <f>COUNTIFS('1'!A$3:A$1033,Table4[[#This Row],[Feeder]],'1'!I$3:I$1033,"YES")+COUNTIFS('2'!A$2:A$1035,Table4[[#This Row],[Feeder]],'2'!I$2:I$1035,"YES")+COUNTIFS('3'!A$2:A$1021,Table4[[#This Row],[Feeder]],'3'!I$2:I$1021,"YES")+COUNTIFS('4'!A$2:A$1026,Table4[[#This Row],[Feeder]],'4'!I$2:I$1026,"YES")+COUNTIFS('5'!A$2:A$1095,Table4[[#This Row],[Feeder]],'5'!I$2:I$1095,"YES")+COUNTIFS('6'!A$2:A$1052,Table4[[#This Row],[Feeder]],'6'!I$2:I$1052,"YES")+COUNTIFS('7'!A$2:A$1054,Table4[[#This Row],[Feeder]],'7'!I$2:I$1054,"YES")+COUNTIFS('8'!A$2:A$1073,Table4[[#This Row],[Feeder]],'8'!I$2:I$1073,"YES")+COUNTIFS('9'!A$2:A$1022,Table4[[#This Row],[Feeder]],'9'!I$2:I$1022,"YES")+COUNTIFS('10'!A$2:A$1042,Table4[[#This Row],[Feeder]],'10'!I$2:I$1042,"YES")+COUNTIFS('11'!A$2:A$1094,Table4[[#This Row],[Feeder]],'11'!I$2:I$1094,"YES")+COUNTIFS('12'!A$2:A$1015,Table4[[#This Row],[Feeder]],'12'!I$2:I$1015,"YES")+COUNTIFS('13'!A$2:A$1024,Table4[[#This Row],[Feeder]],'13'!I$2:I$1024,"YES")+COUNTIFS('14'!A$2:A$1036,Table4[[#This Row],[Feeder]],'14'!I$2:I$1036,"YES")+COUNTIFS('15'!A$2:A$1052,Table4[[#This Row],[Feeder]],'15'!I$2:I$1052,"YES")+COUNTIFS('16'!A$2:A$1068,Table4[[#This Row],[Feeder]],'16'!I$2:I$1068,"YES")+COUNTIFS('17'!A$2:A$1022,Table4[[#This Row],[Feeder]],'17'!I$2:I$1022,"YES")+COUNTIFS('18'!A$2:A$1036,Table4[[#This Row],[Feeder]],'18'!I$2:I$1036,"YES")+COUNTIFS('19'!A$2:A$1021,Table4[[#This Row],[Feeder]],'19'!I$2:I$1021,"YES")+COUNTIFS('20'!A$2:A$1039,Table4[[#This Row],[Feeder]],'20'!I$2:I$1039,"YES")+COUNTIFS('21'!A$2:A$1016,Table4[[#This Row],[Feeder]],'21'!I$2:I$1016,"YES")+COUNTIFS('22'!A$2:A$1040,Table4[[#This Row],[Feeder]],'22'!I$2:I$1040,"YES")+COUNTIFS('23'!A$2:A$1062,Table4[[#This Row],[Feeder]],'23'!I$2:I$1062,"YES")+COUNTIFS('24'!A$2:A$1051,Table4[[#This Row],[Feeder]],'24'!I$2:I$1051,"YES")+COUNTIFS('25'!A$2:A$1048,Table4[[#This Row],[Feeder]],'25'!I$2:I$1048,"YES")+COUNTIFS('26'!A$2:A$1048,Table4[[#This Row],[Feeder]],'26'!I$2:I$1048,"YES")+COUNTIFS('27'!A$2:A$1047,Table4[[#This Row],[Feeder]],'27'!I$2:I$1047,"YES")+COUNTIFS('28'!A$2:A$1029,Table4[[#This Row],[Feeder]],'28'!I$2:I$1029,"YES")+COUNTIFS('29'!A$2:A$1082,Table4[[#This Row],[Feeder]],'29'!I$2:I$1082,"YES")+COUNTIFS('30'!A$2:A$1084,Table4[[#This Row],[Feeder]],'30'!I$2:I$1084,"YES")+COUNTIFS('31'!A$2:A$1002,Table4[[#This Row],[Feeder]],'31'!I$2:I$1002,"YES")</f>
        <v>0</v>
      </c>
      <c r="N196" s="41">
        <f>SUMIFS('1'!L$3:L$1020,'1'!B$3:B$1020,"TL",'1'!A$3:A$1020,Table4[[#This Row],[Feeder]])+SUMIFS('2'!L$2:L$1033,'2'!B$2:B$1033,"TL",'2'!A$2:A$1033,Table4[[#This Row],[Feeder]])+SUMIFS('3'!L$2:L$1014,'3'!B$2:B$1014,"TL",'3'!A$2:A$1014,Table4[[#This Row],[Feeder]])+SUMIFS('4'!L$2:L$1014,'4'!B$2:B$1014,"TL",'4'!A$2:A$1014,Table4[[#This Row],[Feeder]])+SUMIFS('5'!L$2:L$1052,'5'!B$2:B$1052,"TL",'5'!A$2:A$1052,Table4[[#This Row],[Feeder]])+SUMIFS('6'!L$2:L$1046,'6'!B$2:B$1046,"TL",'6'!A$2:A$1046,Table4[[#This Row],[Feeder]])+SUMIFS('7'!L$2:L$1047,'7'!B$2:B$1047,"TL",'7'!A$2:A$1047,Table4[[#This Row],[Feeder]])+SUMIFS('8'!L$2:L$1067,'8'!B$2:B$1067,"TL",'8'!A$2:A$1067,Table4[[#This Row],[Feeder]])+SUMIFS('9'!L$2:L$1029,'9'!B$2:B$1029,"TL",'9'!A$2:A$1029,Table4[[#This Row],[Feeder]])+SUMIFS('10'!L$2:L$1037,'10'!B$2:B$1037,"TL",'10'!A$2:A$1037,Table4[[#This Row],[Feeder]])+SUMIFS('11'!L$2:L$1064,'11'!B$2:B$1064,"TL",'11'!A$2:A$1064,Table4[[#This Row],[Feeder]])+SUMIFS('12'!L$2:L$1055,'12'!B$2:B$1055,"TL",'12'!A$2:A$1055,Table4[[#This Row],[Feeder]])+SUMIFS('13'!L$2:L$1020,'13'!B$2:B$1020,"TL",'13'!A$2:A$1020,Table4[[#This Row],[Feeder]])+SUMIFS('14'!L$2:L$1035,'14'!B$2:B$1035,"TL",'14'!A$2:A$1035,Table4[[#This Row],[Feeder]])+SUMIFS('15'!L$2:L$1044,'15'!B$2:B$1044,"TL",'15'!A$2:A$1044,Table4[[#This Row],[Feeder]])+SUMIFS('16'!L$2:L$1041,'16'!B$2:B$1041,"TL",'16'!A$2:A$1041,Table4[[#This Row],[Feeder]])+SUMIFS('17'!L$2:L$1075,'17'!B$2:B$1075,"TL",'17'!A$2:A$1075,Table4[[#This Row],[Feeder]])+SUMIFS('18'!L$2:L$1037,'18'!B$2:B$1037,"TL",'18'!A$2:A$1037,Table4[[#This Row],[Feeder]])+SUMIFS('19'!L$2:L$1017,'19'!B$2:B$1017,"TL",'19'!A$2:A$1017,Table4[[#This Row],[Feeder]])+SUMIFS('20'!L$2:L$1029,'20'!B$2:B$1029,"TL",'20'!A$2:A$1029,Table4[[#This Row],[Feeder]])+SUMIFS('21'!L$2:L$1011,'21'!B$2:B$1011,"TL",'21'!A$2:A$1011,Table4[[#This Row],[Feeder]])+SUMIFS('22'!L$2:L$1038,'22'!B$2:B$1038,"TL",'22'!A$2:A$1038,Table4[[#This Row],[Feeder]])+SUMIFS('23'!L$2:L$1040,'23'!B$2:B$1040,"TL",'23'!A$2:A$1040,Table4[[#This Row],[Feeder]])+SUMIFS('24'!L$2:L$1057,'24'!B$2:B$1057,"TL",'24'!A$2:A$1057,Table4[[#This Row],[Feeder]])+SUMIFS('25'!L$2:L$1047,'25'!B$2:B$1047,"TL",'25'!A$2:A$1047,Table4[[#This Row],[Feeder]])+SUMIFS('26'!L$2:L$1048,'26'!B$2:B$1048,"TL",'26'!A$2:A$1048,Table4[[#This Row],[Feeder]])+SUMIFS('27'!L$2:L$1018,'27'!B$2:B$1018,"TL",'27'!A$2:A$1018,Table4[[#This Row],[Feeder]])+SUMIFS('28'!L$2:L$1010,'28'!B$2:B$1010,"TL",'28'!A$2:A$1010,Table4[[#This Row],[Feeder]])+SUMIFS('29'!L$2:L$1032,'29'!B$2:B$1032,"TL",'29'!A$2:A$1032,Table4[[#This Row],[Feeder]])+SUMIFS('30'!L$2:L$1022,'30'!B$2:B$1022,"TL",'30'!A$2:A$1022,Table4[[#This Row],[Feeder]])+SUMIFS('31'!L$2:L$1002,'31'!B$2:B$1002,"TL",'31'!A$2:A$1002,Table4[[#This Row],[Feeder]])</f>
        <v>0</v>
      </c>
      <c r="O196" s="41">
        <f>SUMIFS('1'!L$3:L$1020,'1'!B$3:B$1020,"PM",'1'!A$3:A$1020,Table4[[#This Row],[Feeder]])+SUMIFS('2'!L$2:L$1033,'2'!B$2:B$1033,"PM",'2'!A$2:A$1033,Table4[[#This Row],[Feeder]])+SUMIFS('3'!L$2:L$1014,'3'!B$2:B$1014,"PM",'3'!A$2:A$1014,Table4[[#This Row],[Feeder]])+SUMIFS('4'!L$2:L$1014,'4'!B$2:B$1014,"PM",'4'!A$2:A$1014,Table4[[#This Row],[Feeder]])+SUMIFS('5'!L$2:L$1052,'5'!B$2:B$1052,"PM",'5'!A$2:A$1052,Table4[[#This Row],[Feeder]])+SUMIFS('6'!L$2:L$1046,'6'!B$2:B$1046,"PM",'6'!A$2:A$1046,Table4[[#This Row],[Feeder]])+SUMIFS('7'!L$2:L$1047,'7'!B$2:B$1047,"PM",'7'!A$2:A$1047,Table4[[#This Row],[Feeder]])+SUMIFS('8'!L$2:L$1067,'8'!B$2:B$1067,"PM",'8'!A$2:A$1067,Table4[[#This Row],[Feeder]])+SUMIFS('9'!L$2:L$1029,'9'!B$2:B$1029,"PM",'9'!A$2:A$1029,Table4[[#This Row],[Feeder]])+SUMIFS('10'!L$2:L$1037,'10'!B$2:B$1037,"PM",'10'!A$2:A$1037,Table4[[#This Row],[Feeder]])+SUMIFS('11'!L$2:L$1064,'11'!B$2:B$1064,"PM",'11'!A$2:A$1064,Table4[[#This Row],[Feeder]])+SUMIFS('12'!L$2:L$1055,'12'!B$2:B$1055,"PM",'12'!A$2:A$1055,Table4[[#This Row],[Feeder]])+SUMIFS('13'!L$2:L$1020,'13'!B$2:B$1020,"PM",'13'!A$2:A$1020,Table4[[#This Row],[Feeder]])+SUMIFS('14'!L$2:L$1035,'14'!B$2:B$1035,"PM",'14'!A$2:A$1035,Table4[[#This Row],[Feeder]])+SUMIFS('15'!L$2:L$1044,'15'!B$2:B$1044,"PM",'15'!A$2:A$1044,Table4[[#This Row],[Feeder]])+SUMIFS('16'!L$2:L$1041,'16'!B$2:B$1041,"PM",'16'!A$2:A$1041,Table4[[#This Row],[Feeder]])+SUMIFS('17'!L$2:L$1075,'17'!B$2:B$1075,"PM",'17'!A$2:A$1075,Table4[[#This Row],[Feeder]])+SUMIFS('18'!L$2:L$1037,'18'!B$2:B$1037,"PM",'18'!A$2:A$1037,Table4[[#This Row],[Feeder]])+SUMIFS('19'!L$2:L$1017,'19'!B$2:B$1017,"PM",'19'!A$2:A$1017,Table4[[#This Row],[Feeder]])+SUMIFS('20'!L$2:L$1029,'20'!B$2:B$1029,"PM",'20'!A$2:A$1029,Table4[[#This Row],[Feeder]])+SUMIFS('21'!L$2:L$1011,'21'!B$2:B$1011,"PM",'21'!A$2:A$1011,Table4[[#This Row],[Feeder]])+SUMIFS('22'!L$2:L$1038,'22'!B$2:B$1038,"PM",'22'!A$2:A$1038,Table4[[#This Row],[Feeder]])+SUMIFS('23'!L$2:L$1040,'23'!B$2:B$1040,"PM",'23'!A$2:A$1040,Table4[[#This Row],[Feeder]])+SUMIFS('24'!L$2:L$1057,'24'!B$2:B$1057,"PM",'24'!A$2:A$1057,Table4[[#This Row],[Feeder]])+SUMIFS('25'!L$2:L$1047,'25'!B$2:B$1047,"PM",'25'!A$2:A$1047,Table4[[#This Row],[Feeder]])+SUMIFS('26'!L$2:L$1048,'26'!B$2:B$1048,"PM",'26'!A$2:A$1048,Table4[[#This Row],[Feeder]])+SUMIFS('27'!L$2:L$1018,'27'!B$2:B$1018,"PM",'27'!A$2:A$1018,Table4[[#This Row],[Feeder]])+SUMIFS('28'!L$2:L$1010,'28'!B$2:B$1010,"PM",'28'!A$2:A$1010,Table4[[#This Row],[Feeder]])+SUMIFS('29'!L$2:L$1032,'29'!B$2:B$1032,"PM",'29'!A$2:A$1032,Table4[[#This Row],[Feeder]])+SUMIFS('30'!L$2:L$1022,'30'!B$2:B$1022,"PM",'30'!A$2:A$1022,Table4[[#This Row],[Feeder]])+SUMIFS('31'!L$2:L$1002,'31'!B$2:B$1002,"PM",'31'!A$2:A$1002,Table4[[#This Row],[Feeder]])</f>
        <v>0</v>
      </c>
      <c r="P196" s="41">
        <f>SUMIFS('1'!L$3:L$1020,'1'!B$3:B$1020,"PC",'1'!A$3:A$1020,Table4[[#This Row],[Feeder]])+SUMIFS('2'!L$2:L$1033,'2'!B$2:B$1033,"PC",'2'!A$2:A$1033,Table4[[#This Row],[Feeder]])+SUMIFS('3'!L$2:L$1014,'3'!B$2:B$1014,"PC",'3'!A$2:A$1014,Table4[[#This Row],[Feeder]])+SUMIFS('4'!L$2:L$1014,'4'!B$2:B$1014,"PC",'4'!A$2:A$1014,Table4[[#This Row],[Feeder]])+SUMIFS('5'!L$2:L$1052,'5'!B$2:B$1052,"PC",'5'!A$2:A$1052,Table4[[#This Row],[Feeder]])+SUMIFS('6'!L$2:L$1046,'6'!B$2:B$1046,"PC",'6'!A$2:A$1046,Table4[[#This Row],[Feeder]])+SUMIFS('7'!L$2:L$1047,'7'!B$2:B$1047,"PC",'7'!A$2:A$1047,Table4[[#This Row],[Feeder]])+SUMIFS('8'!L$2:L$1067,'8'!B$2:B$1067,"PC",'8'!A$2:A$1067,Table4[[#This Row],[Feeder]])+SUMIFS('9'!L$2:L$1029,'9'!B$2:B$1029,"PC",'9'!A$2:A$1029,Table4[[#This Row],[Feeder]])+SUMIFS('10'!L$2:L$1037,'10'!B$2:B$1037,"PC",'10'!A$2:A$1037,Table4[[#This Row],[Feeder]])+SUMIFS('11'!L$2:L$1064,'11'!B$2:B$1064,"PC",'11'!A$2:A$1064,Table4[[#This Row],[Feeder]])+SUMIFS('12'!L$2:L$1055,'12'!B$2:B$1055,"PC",'12'!A$2:A$1055,Table4[[#This Row],[Feeder]])+SUMIFS('13'!L$2:L$1020,'13'!B$2:B$1020,"PC",'13'!A$2:A$1020,Table4[[#This Row],[Feeder]])+SUMIFS('14'!L$2:L$1035,'14'!B$2:B$1035,"PC",'14'!A$2:A$1035,Table4[[#This Row],[Feeder]])+SUMIFS('15'!L$2:L$1044,'15'!B$2:B$1044,"PC",'15'!A$2:A$1044,Table4[[#This Row],[Feeder]])+SUMIFS('16'!L$2:L$1041,'16'!B$2:B$1041,"PC",'16'!A$2:A$1041,Table4[[#This Row],[Feeder]])+SUMIFS('17'!L$2:L$1075,'17'!B$2:B$1075,"PC",'17'!A$2:A$1075,Table4[[#This Row],[Feeder]])+SUMIFS('18'!L$2:L$1037,'18'!B$2:B$1037,"PC",'18'!A$2:A$1037,Table4[[#This Row],[Feeder]])+SUMIFS('19'!L$2:L$1017,'19'!B$2:B$1017,"PC",'19'!A$2:A$1017,Table4[[#This Row],[Feeder]])+SUMIFS('20'!L$2:L$1029,'20'!B$2:B$1029,"PC",'20'!A$2:A$1029,Table4[[#This Row],[Feeder]])+SUMIFS('21'!L$2:L$1011,'21'!B$2:B$1011,"PC",'21'!A$2:A$1011,Table4[[#This Row],[Feeder]])+SUMIFS('22'!L$2:L$1038,'22'!B$2:B$1038,"PC",'22'!A$2:A$1038,Table4[[#This Row],[Feeder]])+SUMIFS('23'!L$2:L$1040,'23'!B$2:B$1040,"PC",'23'!A$2:A$1040,Table4[[#This Row],[Feeder]])+SUMIFS('24'!L$2:L$1057,'24'!B$2:B$1057,"PC",'24'!A$2:A$1057,Table4[[#This Row],[Feeder]])+SUMIFS('25'!L$2:L$1047,'25'!B$2:B$1047,"PC",'25'!A$2:A$1047,Table4[[#This Row],[Feeder]])+SUMIFS('26'!L$2:L$1048,'26'!B$2:B$1048,"PC",'26'!A$2:A$1048,Table4[[#This Row],[Feeder]])+SUMIFS('27'!L$2:L$1018,'27'!B$2:B$1018,"PC",'27'!A$2:A$1018,Table4[[#This Row],[Feeder]])+SUMIFS('28'!L$2:L$1010,'28'!B$2:B$1010,"PC",'28'!A$2:A$1010,Table4[[#This Row],[Feeder]])+SUMIFS('29'!L$2:L$1032,'29'!B$2:B$1032,"PC",'29'!A$2:A$1032,Table4[[#This Row],[Feeder]])+SUMIFS('30'!L$2:L$1022,'30'!B$2:B$1022,"PC",'30'!A$2:A$1022,Table4[[#This Row],[Feeder]])+SUMIFS('31'!L$2:L$1002,'31'!B$2:B$1002,"PC",'31'!A$2:A$1002,Table4[[#This Row],[Feeder]])</f>
        <v>0</v>
      </c>
      <c r="Q196" s="41">
        <f>SUMIFS('1'!L$3:L$1020,'1'!B$3:B$1020,"TS",'1'!A$3:A$1020,Table4[[#This Row],[Feeder]])+SUMIFS('2'!L$2:L$1033,'2'!B$2:B$1033,"TS",'2'!A$2:A$1033,Table4[[#This Row],[Feeder]])+SUMIFS('3'!L$2:L$1014,'3'!B$2:B$1014,"TS",'3'!A$2:A$1014,Table4[[#This Row],[Feeder]])+SUMIFS('4'!L$2:L$1014,'4'!B$2:B$1014,"TS",'4'!A$2:A$1014,Table4[[#This Row],[Feeder]])+SUMIFS('5'!L$2:L$1052,'5'!B$2:B$1052,"TS",'5'!A$2:A$1052,Table4[[#This Row],[Feeder]])+SUMIFS('6'!L$2:L$1046,'6'!B$2:B$1046,"TS",'6'!A$2:A$1046,Table4[[#This Row],[Feeder]])+SUMIFS('7'!L$2:L$1047,'7'!B$2:B$1047,"TS",'7'!A$2:A$1047,Table4[[#This Row],[Feeder]])+SUMIFS('8'!L$2:L$1067,'8'!B$2:B$1067,"TS",'8'!A$2:A$1067,Table4[[#This Row],[Feeder]])+SUMIFS('9'!L$2:L$1029,'9'!B$2:B$1029,"TS",'9'!A$2:A$1029,Table4[[#This Row],[Feeder]])+SUMIFS('10'!L$2:L$1037,'10'!B$2:B$1037,"TS",'10'!A$2:A$1037,Table4[[#This Row],[Feeder]])+SUMIFS('11'!L$2:L$1064,'11'!B$2:B$1064,"TS",'11'!A$2:A$1064,Table4[[#This Row],[Feeder]])+SUMIFS('12'!L$2:L$1055,'12'!B$2:B$1055,"TS",'12'!A$2:A$1055,Table4[[#This Row],[Feeder]])+SUMIFS('13'!L$2:L$1020,'13'!B$2:B$1020,"TS",'13'!A$2:A$1020,Table4[[#This Row],[Feeder]])+SUMIFS('14'!L$2:L$1035,'14'!B$2:B$1035,"TS",'14'!A$2:A$1035,Table4[[#This Row],[Feeder]])+SUMIFS('15'!L$2:L$1044,'15'!B$2:B$1044,"TS",'15'!A$2:A$1044,Table4[[#This Row],[Feeder]])+SUMIFS('16'!L$2:L$1041,'16'!B$2:B$1041,"TS",'16'!A$2:A$1041,Table4[[#This Row],[Feeder]])+SUMIFS('17'!L$2:L$1075,'17'!B$2:B$1075,"TS",'17'!A$2:A$1075,Table4[[#This Row],[Feeder]])+SUMIFS('18'!L$2:L$1037,'18'!B$2:B$1037,"TS",'18'!A$2:A$1037,Table4[[#This Row],[Feeder]])+SUMIFS('19'!L$2:L$1017,'19'!B$2:B$1017,"TS",'19'!A$2:A$1017,Table4[[#This Row],[Feeder]])+SUMIFS('20'!L$2:L$1029,'20'!B$2:B$1029,"TS",'20'!A$2:A$1029,Table4[[#This Row],[Feeder]])+SUMIFS('21'!L$2:L$1011,'21'!B$2:B$1011,"TS",'21'!A$2:A$1011,Table4[[#This Row],[Feeder]])+SUMIFS('22'!L$2:L$1038,'22'!B$2:B$1038,"TS",'22'!A$2:A$1038,Table4[[#This Row],[Feeder]])+SUMIFS('23'!L$2:L$1040,'23'!B$2:B$1040,"TS",'23'!A$2:A$1040,Table4[[#This Row],[Feeder]])+SUMIFS('24'!L$2:L$1057,'24'!B$2:B$1057,"TS",'24'!A$2:A$1057,Table4[[#This Row],[Feeder]])+SUMIFS('25'!L$2:L$1047,'25'!B$2:B$1047,"TS",'25'!A$2:A$1047,Table4[[#This Row],[Feeder]])+SUMIFS('26'!L$2:L$1048,'26'!B$2:B$1048,"TS",'26'!A$2:A$1048,Table4[[#This Row],[Feeder]])+SUMIFS('27'!L$2:L$1018,'27'!B$2:B$1018,"TS",'27'!A$2:A$1018,Table4[[#This Row],[Feeder]])+SUMIFS('28'!L$2:L$1010,'28'!B$2:B$1010,"TS",'28'!A$2:A$1010,Table4[[#This Row],[Feeder]])+SUMIFS('29'!L$2:L$1032,'29'!B$2:B$1032,"TS",'29'!A$2:A$1032,Table4[[#This Row],[Feeder]])+SUMIFS('30'!L$2:L$1022,'30'!B$2:B$1022,"TS",'30'!A$2:A$1022,Table4[[#This Row],[Feeder]])+SUMIFS('31'!L$2:L$1002,'31'!B$2:B$1002,"TS",'31'!A$2:A$1002,Table4[[#This Row],[Feeder]])</f>
        <v>0</v>
      </c>
      <c r="R196" s="41">
        <f>SUMIF('1'!A$3:A$1020,Table4[[#This Row],[Feeder]],'1'!L$3:L$1020)+SUMIF('2'!A$2:A$1033,Table4[[#This Row],[Feeder]],'2'!L$2:L$1033)+SUMIF('3'!A$2:A$1014,Table4[[#This Row],[Feeder]],'3'!L$2:L$1014)+SUMIF('4'!A$2:A$1014,Table4[[#This Row],[Feeder]],'4'!L$2:L$1014)+SUMIF('5'!A$2:A$1052,Table4[[#This Row],[Feeder]],'5'!L$2:L$1052)+SUMIF('6'!A$2:A$1046,Table4[[#This Row],[Feeder]],'6'!L$2:L$1046)+SUMIF('7'!A$2:A$1047,Table4[[#This Row],[Feeder]],'7'!L$2:L$1047)+SUMIF('8'!A$2:A$1067,Table4[[#This Row],[Feeder]],'8'!L$2:L$1067)+SUMIF('9'!A$2:A$1029,Table4[[#This Row],[Feeder]],'9'!L$2:L$1029)+SUMIF('10'!A$2:A$1037,Table4[[#This Row],[Feeder]],'10'!L$2:L$1037)+SUMIF('11'!A$2:A$1064,Table4[[#This Row],[Feeder]],'11'!L$2:L$1064)+SUMIF('12'!A$2:A$1055,Table4[[#This Row],[Feeder]],'12'!L$2:L$1055)+SUMIF('13'!A$2:A$1020,Table4[[#This Row],[Feeder]],'13'!L$2:L$1020)+SUMIF('14'!A$2:A$1035,Table4[[#This Row],[Feeder]],'14'!L$2:L$1035)+SUMIF('15'!A$2:A$1044,Table4[[#This Row],[Feeder]],'15'!L$2:L$1044)+SUMIF('16'!A$2:A$1041,Table4[[#This Row],[Feeder]],'16'!L$2:L$1041)+SUMIF('17'!A$2:A$1075,Table4[[#This Row],[Feeder]],'17'!L$2:L$1075)+SUMIF('18'!A$2:A$1037,Table4[[#This Row],[Feeder]],'18'!L$2:L$1037)+SUMIF('19'!A$2:A$1017,Table4[[#This Row],[Feeder]],'19'!L$2:L$1017)+SUMIF('20'!A$2:A$1029,Table4[[#This Row],[Feeder]],'20'!L$2:L$1029)+SUMIF('21'!A$2:A$1011,Table4[[#This Row],[Feeder]],'21'!L$2:L$1011)+SUMIF('22'!A$2:A$1038,Table4[[#This Row],[Feeder]],'22'!L$2:L$1038)+SUMIF('23'!A$2:A$1040,Table4[[#This Row],[Feeder]],'23'!L$2:L$1040)+SUMIF('24'!A$2:A$1057,Table4[[#This Row],[Feeder]],'24'!L$2:L$1057)+SUMIF('25'!A$2:A$1047,Table4[[#This Row],[Feeder]],'25'!L$2:L$1047)+SUMIF('26'!A$2:A$1048,Table4[[#This Row],[Feeder]],'26'!L$2:L$1048)+SUMIF('27'!A$2:A$1018,Table4[[#This Row],[Feeder]],'27'!L$2:L$1018)+SUMIF('28'!A$2:A$1010,Table4[[#This Row],[Feeder]],'28'!L$2:L$1010)+SUMIF('29'!A$2:A$1032,Table4[[#This Row],[Feeder]],'29'!L$2:L$1032)+SUMIF('30'!A$2:A$1022,Table4[[#This Row],[Feeder]],'30'!L$2:L$1022)+SUMIF('31'!A$2:A$1002,Table4[[#This Row],[Feeder]],'31'!L$2:L$1002)</f>
        <v>0</v>
      </c>
      <c r="S196" s="41">
        <f t="shared" si="6"/>
        <v>30</v>
      </c>
      <c r="T196" s="122">
        <f>Table436[[#This Row],[Total Hours in Service]]</f>
        <v>11.479166666666671</v>
      </c>
      <c r="U196" s="42">
        <f>COUNTIFS('1'!A$3:A$1020,Table4[[#This Row],[Feeder]],'1'!B$3:B$1020,"TL")+COUNTIFS('2'!A$2:A$1033,Table4[[#This Row],[Feeder]],'2'!B$2:B$1033,"TL")+COUNTIFS('3'!A$2:A$1014,Table4[[#This Row],[Feeder]],'3'!B$2:B$1014,"TL")+COUNTIFS('4'!A$2:A$1014,Table4[[#This Row],[Feeder]],'4'!B$2:B$1014,"TL")+COUNTIFS('5'!A$2:A$1052,Table4[[#This Row],[Feeder]],'5'!B$2:B$1052,"TL")+COUNTIFS('6'!A$2:A$1046,Table4[[#This Row],[Feeder]],'6'!B$2:B$1046,"TL")+COUNTIFS('7'!A$2:A$1047,Table4[[#This Row],[Feeder]],'7'!B$2:B$1047,"TL")+COUNTIFS('8'!A$2:A$1067,Table4[[#This Row],[Feeder]],'8'!B$2:B$1067,"TL")+COUNTIFS('9'!A$2:A$1029,Table4[[#This Row],[Feeder]],'9'!B$2:B$1029,"TL")+COUNTIFS('10'!A$2:A$1037,Table4[[#This Row],[Feeder]],'10'!B$2:B$1037,"TL")+COUNTIFS('11'!A$2:A$1064,Table4[[#This Row],[Feeder]],'11'!B$2:B$1064,"TL")+COUNTIFS('12'!A$2:A$1055,Table4[[#This Row],[Feeder]],'12'!B$2:B$1055,"TL")+COUNTIFS('13'!A$2:A$1020,Table4[[#This Row],[Feeder]],'13'!B$2:B$1020,"TL")+COUNTIFS('14'!A$2:A$1035,Table4[[#This Row],[Feeder]],'14'!B$2:B$1035,"TL")+COUNTIFS('15'!A$2:A$1044,Table4[[#This Row],[Feeder]],'15'!B$2:B$1044,"TL")+COUNTIFS('16'!A$2:A$1041,Table4[[#This Row],[Feeder]],'16'!B$2:B$1041,"TL")+COUNTIFS('17'!A$2:A$1075,Table4[[#This Row],[Feeder]],'17'!B$2:B$1075,"TL")+COUNTIFS('18'!A$2:A$1037,Table4[[#This Row],[Feeder]],'18'!B$2:B$1037,"TL")+COUNTIFS('19'!A$2:A$1017,Table4[[#This Row],[Feeder]],'19'!B$2:B$1017,"TL")+COUNTIFS('20'!A$2:A$1029,Table4[[#This Row],[Feeder]],'20'!B$2:B$1029,"TL")+COUNTIFS('21'!A$2:A$1011,Table4[[#This Row],[Feeder]],'21'!B$2:B$1011,"TL")+COUNTIFS('22'!A$2:A$1038,Table4[[#This Row],[Feeder]],'22'!B$2:B$1038,"TL")+COUNTIFS('23'!A$2:A$1040,Table4[[#This Row],[Feeder]],'23'!B$2:B$1040,"TL")+COUNTIFS('24'!A$2:A$1057,Table4[[#This Row],[Feeder]],'24'!B$2:B$1057,"TL")+COUNTIFS('25'!A$2:A$1047,Table4[[#This Row],[Feeder]],'25'!B$2:B$1047,"TL")+COUNTIFS('26'!A$2:A$1048,Table4[[#This Row],[Feeder]],'26'!B$2:B$1048,"TL")+COUNTIFS('27'!A$2:A$1018,Table4[[#This Row],[Feeder]],'27'!B$2:B$1018,"TL")+COUNTIFS('28'!A$2:A$1010,Table4[[#This Row],[Feeder]],'28'!B$2:B$1010,"TL")+COUNTIFS('29'!A$2:A$1032,Table4[[#This Row],[Feeder]],'29'!B$2:B$1032,"TL")+COUNTIFS('30'!A$2:A$1022,Table4[[#This Row],[Feeder]],'30'!B$2:B$1022,"TL")+COUNTIFS('31'!A$2:A$1002,Table4[[#This Row],[Feeder]],'31'!B$2:B$1002,"TL")</f>
        <v>0</v>
      </c>
      <c r="V196" s="42">
        <f>Table4[[#This Row],[Total Interrruption]]-Table4[[#This Row],[Planned shutdown for construction activity ]]-Table4[[#This Row],[Planned shutdown for O&amp;M activity ]]</f>
        <v>0</v>
      </c>
      <c r="W196" s="42">
        <f>COUNTIFS('1'!A$3:A$1020,Table4[[#This Row],[Feeder]],'1'!B$3:B$1020,"TS")+COUNTIFS('2'!A$2:A$1033,Table4[[#This Row],[Feeder]],'2'!B$2:B$1033,"TS")+COUNTIFS('3'!A$2:A$1014,Table4[[#This Row],[Feeder]],'3'!B$2:B$1014,"TS")+COUNTIFS('4'!A$2:A$1014,Table4[[#This Row],[Feeder]],'4'!B$2:B$1014,"TS")+COUNTIFS('5'!A$2:A$1052,Table4[[#This Row],[Feeder]],'5'!B$2:B$1052,"TS")+COUNTIFS('6'!A$2:A$1046,Table4[[#This Row],[Feeder]],'6'!B$2:B$1046,"TS")+COUNTIFS('7'!A$2:A$1047,Table4[[#This Row],[Feeder]],'7'!B$2:B$1047,"TS")+COUNTIFS('8'!A$2:A$1067,Table4[[#This Row],[Feeder]],'8'!B$2:B$1067,"TS")+COUNTIFS('9'!A$2:A$1029,Table4[[#This Row],[Feeder]],'9'!B$2:B$1029,"TS")+COUNTIFS('10'!A$2:A$1037,Table4[[#This Row],[Feeder]],'10'!B$2:B$1037,"TS")+COUNTIFS('11'!A$2:A$1064,Table4[[#This Row],[Feeder]],'11'!B$2:B$1064,"TS")+COUNTIFS('12'!A$2:A$1055,Table4[[#This Row],[Feeder]],'12'!B$2:B$1055,"TS")+COUNTIFS('13'!A$2:A$1020,Table4[[#This Row],[Feeder]],'13'!B$2:B$1020,"TS")+COUNTIFS('14'!A$2:A$1035,Table4[[#This Row],[Feeder]],'14'!B$2:B$1035,"TS")+COUNTIFS('15'!A$2:A$1044,Table4[[#This Row],[Feeder]],'15'!B$2:B$1044,"TS")+COUNTIFS('16'!A$2:A$1041,Table4[[#This Row],[Feeder]],'16'!B$2:B$1041,"TS")+COUNTIFS('17'!A$2:A$1075,Table4[[#This Row],[Feeder]],'17'!B$2:B$1075,"TS")+COUNTIFS('18'!A$2:A$1037,Table4[[#This Row],[Feeder]],'18'!B$2:B$1037,"TS")+COUNTIFS('19'!A$2:A$1017,Table4[[#This Row],[Feeder]],'19'!B$2:B$1017,"TS")+COUNTIFS('20'!A$2:A$1029,Table4[[#This Row],[Feeder]],'20'!B$2:B$1029,"TS")+COUNTIFS('21'!A$2:A$1011,Table4[[#This Row],[Feeder]],'21'!B$2:B$1011,"TS")+COUNTIFS('22'!A$2:A$1038,Table4[[#This Row],[Feeder]],'22'!B$2:B$1038,"TS")+COUNTIFS('23'!A$2:A$1040,Table4[[#This Row],[Feeder]],'23'!B$2:B$1040,"TS")+COUNTIFS('24'!A$2:A$1057,Table4[[#This Row],[Feeder]],'24'!B$2:B$1057,"TS")+COUNTIFS('25'!A$2:A$1047,Table4[[#This Row],[Feeder]],'25'!B$2:B$1047,"TS")+COUNTIFS('26'!A$2:A$1048,Table4[[#This Row],[Feeder]],'26'!B$2:B$1048,"TS")+COUNTIFS('27'!A$2:A$1018,Table4[[#This Row],[Feeder]],'27'!B$2:B$1018,"TS")+COUNTIFS('28'!A$2:A$1010,Table4[[#This Row],[Feeder]],'28'!B$2:B$1010,"TS")+COUNTIFS('29'!A$2:A$1032,Table4[[#This Row],[Feeder]],'29'!B$2:B$1032,"TS")+COUNTIFS('30'!A$2:A$1022,Table4[[#This Row],[Feeder]],'30'!B$2:B$1022,"TS")+COUNTIFS('31'!A$2:A$1002,Table4[[#This Row],[Feeder]],'31'!B$2:B$1002,"TS")</f>
        <v>0</v>
      </c>
      <c r="X196" s="42">
        <f>COUNTIFS('1'!A$3:A$1020,Table4[[#This Row],[Feeder]],'1'!B$3:B$1020,"PC")+COUNTIFS('2'!A$2:A$1033,Table4[[#This Row],[Feeder]],'2'!B$2:B$1033,"PC")+COUNTIFS('3'!A$2:A$1014,Table4[[#This Row],[Feeder]],'3'!B$2:B$1014,"PC")+COUNTIFS('4'!A$2:A$1014,Table4[[#This Row],[Feeder]],'4'!B$2:B$1014,"PC")+COUNTIFS('5'!A$2:A$1052,Table4[[#This Row],[Feeder]],'5'!B$2:B$1052,"PC")+COUNTIFS('6'!A$2:A$1046,Table4[[#This Row],[Feeder]],'6'!B$2:B$1046,"PC")+COUNTIFS('7'!A$2:A$1047,Table4[[#This Row],[Feeder]],'7'!B$2:B$1047,"PC")+COUNTIFS('8'!A$2:A$1067,Table4[[#This Row],[Feeder]],'8'!B$2:B$1067,"PC")+COUNTIFS('9'!A$2:A$1029,Table4[[#This Row],[Feeder]],'9'!B$2:B$1029,"PC")+COUNTIFS('10'!A$2:A$1037,Table4[[#This Row],[Feeder]],'10'!B$2:B$1037,"PC")+COUNTIFS('11'!A$2:A$1064,Table4[[#This Row],[Feeder]],'11'!B$2:B$1064,"PC")+COUNTIFS('12'!A$2:A$1055,Table4[[#This Row],[Feeder]],'12'!B$2:B$1055,"PC")+COUNTIFS('13'!A$2:A$1020,Table4[[#This Row],[Feeder]],'13'!B$2:B$1020,"PC")+COUNTIFS('14'!A$2:A$1035,Table4[[#This Row],[Feeder]],'14'!B$2:B$1035,"PC")+COUNTIFS('15'!A$2:A$1044,Table4[[#This Row],[Feeder]],'15'!B$2:B$1044,"PC")+COUNTIFS('16'!A$2:A$1041,Table4[[#This Row],[Feeder]],'16'!B$2:B$1041,"PC")+COUNTIFS('17'!A$2:A$1075,Table4[[#This Row],[Feeder]],'17'!B$2:B$1075,"PC")+COUNTIFS('18'!A$2:A$1037,Table4[[#This Row],[Feeder]],'18'!B$2:B$1037,"PC")+COUNTIFS('19'!A$2:A$1017,Table4[[#This Row],[Feeder]],'19'!B$2:B$1017,"PC")+COUNTIFS('20'!A$2:A$1029,Table4[[#This Row],[Feeder]],'20'!B$2:B$1029,"PC")+COUNTIFS('21'!A$2:A$1011,Table4[[#This Row],[Feeder]],'21'!B$2:B$1011,"PC")+COUNTIFS('22'!A$2:A$1038,Table4[[#This Row],[Feeder]],'22'!B$2:B$1038,"PC")+COUNTIFS('23'!A$2:A$1040,Table4[[#This Row],[Feeder]],'23'!B$2:B$1040,"PC")+COUNTIFS('24'!A$2:A$1057,Table4[[#This Row],[Feeder]],'24'!B$2:B$1057,"PC")+COUNTIFS('25'!A$2:A$1047,Table4[[#This Row],[Feeder]],'25'!B$2:B$1047,"PC")+COUNTIFS('26'!A$2:A$1048,Table4[[#This Row],[Feeder]],'26'!B$2:B$1048,"PC")+COUNTIFS('27'!A$2:A$1018,Table4[[#This Row],[Feeder]],'27'!B$2:B$1018,"PC")+COUNTIFS('28'!A$2:A$1010,Table4[[#This Row],[Feeder]],'28'!B$2:B$1010,"PC")+COUNTIFS('29'!A$2:A$1032,Table4[[#This Row],[Feeder]],'29'!B$2:B$1032,"PC")+COUNTIFS('30'!A$2:A$1022,Table4[[#This Row],[Feeder]],'30'!B$2:B$1022,"PC")+COUNTIFS('31'!A$2:A$1002,Table4[[#This Row],[Feeder]],'31'!B$2:B$1002,"PC")</f>
        <v>0</v>
      </c>
      <c r="Y196" s="42">
        <f>COUNTIFS('1'!A$3:A$1020,Table4[[#This Row],[Feeder]],'1'!B$3:B$1020,"PM")+COUNTIFS('2'!A$2:A$1033,Table4[[#This Row],[Feeder]],'2'!B$2:B$1033,"PM")+COUNTIFS('3'!A$2:A$1014,Table4[[#This Row],[Feeder]],'3'!B$2:B$1014,"PM")+COUNTIFS('4'!A$2:A$1014,Table4[[#This Row],[Feeder]],'4'!B$2:B$1014,"PM")+COUNTIFS('5'!A$2:A$1052,Table4[[#This Row],[Feeder]],'5'!B$2:B$1052,"PM")+COUNTIFS('6'!A$2:A$1046,Table4[[#This Row],[Feeder]],'6'!B$2:B$1046,"PM")+COUNTIFS('7'!A$2:A$1047,Table4[[#This Row],[Feeder]],'7'!B$2:B$1047,"PM")+COUNTIFS('8'!A$2:A$1067,Table4[[#This Row],[Feeder]],'8'!B$2:B$1067,"PM")+COUNTIFS('9'!A$2:A$1029,Table4[[#This Row],[Feeder]],'9'!B$2:B$1029,"PM")+COUNTIFS('10'!A$2:A$1037,Table4[[#This Row],[Feeder]],'10'!B$2:B$1037,"PM")+COUNTIFS('11'!A$2:A$1064,Table4[[#This Row],[Feeder]],'11'!B$2:B$1064,"PM")+COUNTIFS('12'!A$2:A$1055,Table4[[#This Row],[Feeder]],'12'!B$2:B$1055,"PM")+COUNTIFS('13'!A$2:A$1020,Table4[[#This Row],[Feeder]],'13'!B$2:B$1020,"PM")+COUNTIFS('14'!A$2:A$1035,Table4[[#This Row],[Feeder]],'14'!B$2:B$1035,"PM")+COUNTIFS('15'!A$2:A$1044,Table4[[#This Row],[Feeder]],'15'!B$2:B$1044,"PM")+COUNTIFS('16'!A$2:A$1041,Table4[[#This Row],[Feeder]],'16'!B$2:B$1041,"PM")+COUNTIFS('17'!A$2:A$1075,Table4[[#This Row],[Feeder]],'17'!B$2:B$1075,"PM")+COUNTIFS('18'!A$2:A$1037,Table4[[#This Row],[Feeder]],'18'!B$2:B$1037,"PM")+COUNTIFS('19'!A$2:A$1017,Table4[[#This Row],[Feeder]],'19'!B$2:B$1017,"PM")+COUNTIFS('20'!A$2:A$1029,Table4[[#This Row],[Feeder]],'20'!B$2:B$1029,"PM")+COUNTIFS('21'!A$2:A$1011,Table4[[#This Row],[Feeder]],'21'!B$2:B$1011,"PM")+COUNTIFS('22'!A$2:A$1038,Table4[[#This Row],[Feeder]],'22'!B$2:B$1038,"PM")+COUNTIFS('23'!A$2:A$1040,Table4[[#This Row],[Feeder]],'23'!B$2:B$1040,"PM")+COUNTIFS('24'!A$2:A$1057,Table4[[#This Row],[Feeder]],'24'!B$2:B$1057,"PM")+COUNTIFS('25'!A$2:A$1047,Table4[[#This Row],[Feeder]],'25'!B$2:B$1047,"PM")+COUNTIFS('26'!A$2:A$1048,Table4[[#This Row],[Feeder]],'26'!B$2:B$1048,"PM")+COUNTIFS('27'!A$2:A$1018,Table4[[#This Row],[Feeder]],'27'!B$2:B$1018,"PM")+COUNTIFS('28'!A$2:A$1010,Table4[[#This Row],[Feeder]],'28'!B$2:B$1010,"PM")+COUNTIFS('29'!A$2:A$1032,Table4[[#This Row],[Feeder]],'29'!B$2:B$1032,"PM")+COUNTIFS('30'!A$2:A$1022,Table4[[#This Row],[Feeder]],'30'!B$2:B$1022,"PM")+COUNTIFS('31'!A$2:A$1002,Table4[[#This Row],[Feeder]],'31'!B$2:B$1002,"PM")</f>
        <v>0</v>
      </c>
      <c r="Z196" s="42">
        <f>COUNTIFS('1'!A$3:A$1020,Table4[[#This Row],[Feeder]],'1'!B$3:B$1020,"SE")+COUNTIFS('2'!A$2:A$1033,Table4[[#This Row],[Feeder]],'2'!B$2:B$1033,"SE")+COUNTIFS('3'!A$2:A$1014,Table4[[#This Row],[Feeder]],'3'!B$2:B$1014,"SE")+COUNTIFS('4'!A$2:A$1014,Table4[[#This Row],[Feeder]],'4'!B$2:B$1014,"SE")+COUNTIFS('5'!A$2:A$1052,Table4[[#This Row],[Feeder]],'5'!B$2:B$1052,"SE")+COUNTIFS('6'!A$2:A$1046,Table4[[#This Row],[Feeder]],'6'!B$2:B$1046,"SE")+COUNTIFS('7'!A$2:A$1047,Table4[[#This Row],[Feeder]],'7'!B$2:B$1047,"SE")+COUNTIFS('8'!A$2:A$1067,Table4[[#This Row],[Feeder]],'8'!B$2:B$1067,"SE")+COUNTIFS('9'!A$2:A$1029,Table4[[#This Row],[Feeder]],'9'!B$2:B$1029,"SE")+COUNTIFS('10'!A$2:A$1037,Table4[[#This Row],[Feeder]],'10'!B$2:B$1037,"SE")+COUNTIFS('11'!A$2:A$1064,Table4[[#This Row],[Feeder]],'11'!B$2:B$1064,"SE")+COUNTIFS('12'!A$2:A$1055,Table4[[#This Row],[Feeder]],'12'!B$2:B$1055,"SE")+COUNTIFS('13'!A$2:A$1020,Table4[[#This Row],[Feeder]],'13'!B$2:B$1020,"SE")+COUNTIFS('14'!A$2:A$1035,Table4[[#This Row],[Feeder]],'14'!B$2:B$1035,"SE")+COUNTIFS('15'!A$2:A$1044,Table4[[#This Row],[Feeder]],'15'!B$2:B$1044,"SE")+COUNTIFS('16'!A$2:A$1041,Table4[[#This Row],[Feeder]],'16'!B$2:B$1041,"SE")+COUNTIFS('17'!A$2:A$1075,Table4[[#This Row],[Feeder]],'17'!B$2:B$1075,"SE")+COUNTIFS('18'!A$2:A$1037,Table4[[#This Row],[Feeder]],'18'!B$2:B$1037,"SE")+COUNTIFS('19'!A$2:A$1017,Table4[[#This Row],[Feeder]],'19'!B$2:B$1017,"SE")+COUNTIFS('20'!A$2:A$1029,Table4[[#This Row],[Feeder]],'20'!B$2:B$1029,"SE")+COUNTIFS('21'!A$2:A$1011,Table4[[#This Row],[Feeder]],'21'!B$2:B$1011,"SE")+COUNTIFS('22'!A$2:A$1038,Table4[[#This Row],[Feeder]],'22'!B$2:B$1038,"SE")+COUNTIFS('23'!A$2:A$1040,Table4[[#This Row],[Feeder]],'23'!B$2:B$1040,"SE")+COUNTIFS('24'!A$2:A$1057,Table4[[#This Row],[Feeder]],'24'!B$2:B$1057,"SE")+COUNTIFS('25'!A$2:A$1047,Table4[[#This Row],[Feeder]],'25'!B$2:B$1047,"SE")+COUNTIFS('26'!A$2:A$1048,Table4[[#This Row],[Feeder]],'26'!B$2:B$1048,"SE")+COUNTIFS('27'!A$2:A$1018,Table4[[#This Row],[Feeder]],'27'!B$2:B$1018,"SE")+COUNTIFS('28'!A$2:A$1010,Table4[[#This Row],[Feeder]],'28'!B$2:B$1010,"SE")+COUNTIFS('29'!A$2:A$1032,Table4[[#This Row],[Feeder]],'29'!B$2:B$1032,"SE")+COUNTIFS('30'!A$2:A$1022,Table4[[#This Row],[Feeder]],'30'!B$2:B$1022,"SE")+COUNTIFS('31'!A$2:A$1002,Table4[[#This Row],[Feeder]],'31'!B$2:B$1002,"SE")</f>
        <v>0</v>
      </c>
      <c r="AA196" s="42">
        <f>COUNTIFS('1'!A$3:A$1020,Table4[[#This Row],[Feeder]],'1'!B$3:B$1020,"UF")+COUNTIFS('2'!A$2:A$1033,Table4[[#This Row],[Feeder]],'2'!B$2:B$1033,"UF")+COUNTIFS('3'!A$2:A$1014,Table4[[#This Row],[Feeder]],'3'!B$2:B$1014,"UF")+COUNTIFS('4'!A$2:A$1014,Table4[[#This Row],[Feeder]],'4'!B$2:B$1014,"UF")+COUNTIFS('5'!A$2:A$1052,Table4[[#This Row],[Feeder]],'5'!B$2:B$1052,"UF")+COUNTIFS('6'!A$2:A$1046,Table4[[#This Row],[Feeder]],'6'!B$2:B$1046,"UF")+COUNTIFS('7'!A$2:A$1047,Table4[[#This Row],[Feeder]],'7'!B$2:B$1047,"UF")+COUNTIFS('8'!A$2:A$1067,Table4[[#This Row],[Feeder]],'8'!B$2:B$1067,"UF")+COUNTIFS('9'!A$2:A$1029,Table4[[#This Row],[Feeder]],'9'!B$2:B$1029,"UF")+COUNTIFS('10'!A$2:A$1037,Table4[[#This Row],[Feeder]],'10'!B$2:B$1037,"UF")+COUNTIFS('11'!A$2:A$1064,Table4[[#This Row],[Feeder]],'11'!B$2:B$1064,"UF")+COUNTIFS('12'!A$2:A$1055,Table4[[#This Row],[Feeder]],'12'!B$2:B$1055,"UF")+COUNTIFS('13'!A$2:A$1020,Table4[[#This Row],[Feeder]],'13'!B$2:B$1020,"UF")+COUNTIFS('14'!A$2:A$1035,Table4[[#This Row],[Feeder]],'14'!B$2:B$1035,"UF")+COUNTIFS('15'!A$2:A$1044,Table4[[#This Row],[Feeder]],'15'!B$2:B$1044,"UF")+COUNTIFS('16'!A$2:A$1041,Table4[[#This Row],[Feeder]],'16'!B$2:B$1041,"UF")+COUNTIFS('17'!A$2:A$1075,Table4[[#This Row],[Feeder]],'17'!B$2:B$1075,"UF")+COUNTIFS('18'!A$2:A$1037,Table4[[#This Row],[Feeder]],'18'!B$2:B$1037,"UF")+COUNTIFS('19'!A$2:A$1017,Table4[[#This Row],[Feeder]],'19'!B$2:B$1017,"UF")+COUNTIFS('20'!A$2:A$1029,Table4[[#This Row],[Feeder]],'20'!B$2:B$1029,"UF")+COUNTIFS('21'!A$2:A$1011,Table4[[#This Row],[Feeder]],'21'!B$2:B$1011,"UF")+COUNTIFS('22'!A$2:A$1038,Table4[[#This Row],[Feeder]],'22'!B$2:B$1038,"UF")+COUNTIFS('23'!A$2:A$1040,Table4[[#This Row],[Feeder]],'23'!B$2:B$1040,"UF")+COUNTIFS('24'!A$2:A$1057,Table4[[#This Row],[Feeder]],'24'!B$2:B$1057,"UF")+COUNTIFS('25'!A$2:A$1047,Table4[[#This Row],[Feeder]],'25'!B$2:B$1047,"UF")+COUNTIFS('26'!A$2:A$1048,Table4[[#This Row],[Feeder]],'26'!B$2:B$1048,"UF")+COUNTIFS('27'!A$2:A$1018,Table4[[#This Row],[Feeder]],'27'!B$2:B$1018,"UF")+COUNTIFS('28'!A$2:A$1010,Table4[[#This Row],[Feeder]],'28'!B$2:B$1010,"UF")+COUNTIFS('29'!A$2:A$1032,Table4[[#This Row],[Feeder]],'29'!B$2:B$1032,"UF")+COUNTIFS('30'!A$2:A$1022,Table4[[#This Row],[Feeder]],'30'!B$2:B$1022,"UF")+COUNTIFS('31'!A$2:A$1002,Table4[[#This Row],[Feeder]],'31'!B$2:B$1002,"UF")</f>
        <v>0</v>
      </c>
      <c r="AB196" s="42">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C196" s="40">
        <f>COUNTIFS('1'!A$3:A$1020,Table4[[#This Row],[Feeder]],'1'!P$3:P$1020,"Yes")+COUNTIFS('2'!A$2:A$1033,Table4[[#This Row],[Feeder]],'2'!P$2:P$1033,"Yes")+COUNTIFS('3'!A$2:A$1014,Table4[[#This Row],[Feeder]],'3'!P$2:P$1014,"Yes")+COUNTIFS('4'!A$2:A$1014,Table4[[#This Row],[Feeder]],'4'!P$2:P$1014,"Yes")+COUNTIFS('5'!A$2:A$1052,Table4[[#This Row],[Feeder]],'5'!P$2:P$1052,"Yes")+COUNTIFS('6'!A$2:A$1046,Table4[[#This Row],[Feeder]],'6'!P$2:P$1046,"Yes")+COUNTIFS('7'!A$2:A$1047,Table4[[#This Row],[Feeder]],'7'!P$2:P$1047,"Yes")+COUNTIFS('8'!A$2:A$1067,Table4[[#This Row],[Feeder]],'8'!P$2:P$1067,"Yes")+COUNTIFS('9'!A$2:A$1029,Table4[[#This Row],[Feeder]],'9'!P$2:P$1029,"Yes")+COUNTIFS('10'!A$2:A$1037,Table4[[#This Row],[Feeder]],'10'!P$2:P$1037,"Yes")+COUNTIFS('11'!A$2:A$1064,Table4[[#This Row],[Feeder]],'11'!P$2:P$1064,"Yes")+COUNTIFS('12'!A$2:A$1055,Table4[[#This Row],[Feeder]],'12'!P$2:P$1055,"Yes")+COUNTIFS('13'!A$2:A$1020,Table4[[#This Row],[Feeder]],'13'!P$2:P$1020,"Yes")+COUNTIFS('14'!A$2:A$1035,Table4[[#This Row],[Feeder]],'14'!P$2:P$1035,"Yes")+COUNTIFS('15'!A$2:A$1044,Table4[[#This Row],[Feeder]],'15'!P$2:P$1044,"Yes")+COUNTIFS('16'!A$2:A$1041,Table4[[#This Row],[Feeder]],'16'!P$2:P$1041,"Yes")+COUNTIFS('17'!A$2:A$1075,Table4[[#This Row],[Feeder]],'17'!P$2:P$1075,"Yes")+COUNTIFS('18'!A$2:A$1037,Table4[[#This Row],[Feeder]],'18'!P$2:P$1037,"Yes")+COUNTIFS('19'!A$2:A$1017,Table4[[#This Row],[Feeder]],'19'!P$2:P$1017,"Yes")+COUNTIFS('20'!A$2:A$1029,Table4[[#This Row],[Feeder]],'20'!P$2:P$1029,"Yes")+COUNTIFS('21'!A$2:A$1011,Table4[[#This Row],[Feeder]],'21'!P$2:P$1011,"Yes")+COUNTIFS('22'!A$2:A$1038,Table4[[#This Row],[Feeder]],'22'!P$2:P$1038,"Yes")+COUNTIFS('23'!A$2:A$1040,Table4[[#This Row],[Feeder]],'23'!P$2:P$1040,"Yes")+COUNTIFS('24'!A$2:A$1057,Table4[[#This Row],[Feeder]],'24'!P$2:P$1057,"Yes")+COUNTIFS('25'!A$2:A$1047,Table4[[#This Row],[Feeder]],'25'!P$2:P$1047,"Yes")+COUNTIFS('26'!A$2:A$1048,Table4[[#This Row],[Feeder]],'26'!P$2:P$1048,"Yes")+COUNTIFS('27'!A$2:A$1018,Table4[[#This Row],[Feeder]],'27'!P$2:P$1018,"Yes")+COUNTIFS('28'!A$2:A$1010,Table4[[#This Row],[Feeder]],'28'!P$2:P$1010,"Yes")+COUNTIFS('29'!A$2:A$1032,Table4[[#This Row],[Feeder]],'29'!P$2:P$1032,"Yes")+COUNTIFS('30'!A$2:A$1022,Table4[[#This Row],[Feeder]],'30'!P$2:P$1022,"Yes")+COUNTIFS('31'!A$2:A$1002,Table4[[#This Row],[Feeder]],'31'!P$2:P$1002,"Yes")</f>
        <v>0</v>
      </c>
      <c r="AD196" s="171">
        <f>COUNTIFS('1'!A$3:A$1020,Table4[[#This Row],[Feeder]],'1'!N$3:N$1020,"Yes")+COUNTIFS('2'!A$2:A$1033,Table4[[#This Row],[Feeder]],'2'!N$2:N$1033,"Yes")+COUNTIFS('3'!A$2:A$1014,Table4[[#This Row],[Feeder]],'3'!N$2:N$1014,"Yes")+COUNTIFS('4'!A$2:A$1014,Table4[[#This Row],[Feeder]],'4'!N$2:N$1014,"Yes")+COUNTIFS('5'!A$2:A$1052,Table4[[#This Row],[Feeder]],'5'!N$2:N$1052,"Yes")+COUNTIFS('6'!A$2:A$1046,Table4[[#This Row],[Feeder]],'6'!N$2:N$1046,"Yes")+COUNTIFS('7'!A$2:A$1047,Table4[[#This Row],[Feeder]],'7'!N$2:N$1047,"Yes")+COUNTIFS('8'!A$2:A$1067,Table4[[#This Row],[Feeder]],'8'!N$2:N$1067,"Yes")+COUNTIFS('9'!A$2:A$1029,Table4[[#This Row],[Feeder]],'9'!N$2:N$1029,"Yes")+COUNTIFS('10'!A$2:A$1037,Table4[[#This Row],[Feeder]],'10'!N$2:N$1037,"Yes")+COUNTIFS('11'!A$2:A$1064,Table4[[#This Row],[Feeder]],'11'!N$2:N$1064,"Yes")+COUNTIFS('12'!A$2:A$1055,Table4[[#This Row],[Feeder]],'12'!N$2:N$1055,"Yes")+COUNTIFS('13'!A$2:A$1020,Table4[[#This Row],[Feeder]],'13'!N$2:N$1020,"Yes")+COUNTIFS('14'!A$2:A$1035,Table4[[#This Row],[Feeder]],'14'!N$2:N$1035,"Yes")+COUNTIFS('15'!A$2:A$1044,Table4[[#This Row],[Feeder]],'15'!N$2:N$1044,"Yes")+COUNTIFS('16'!A$2:A$1041,Table4[[#This Row],[Feeder]],'16'!N$2:N$1041,"Yes")+COUNTIFS('17'!A$2:A$1075,Table4[[#This Row],[Feeder]],'17'!N$2:N$1075,"Yes")+COUNTIFS('18'!A$2:A$1037,Table4[[#This Row],[Feeder]],'18'!N$2:N$1037,"Yes")+COUNTIFS('19'!A$2:A$1017,Table4[[#This Row],[Feeder]],'19'!N$2:N$1017,"Yes")+COUNTIFS('20'!A$2:A$1029,Table4[[#This Row],[Feeder]],'20'!N$2:N$1029,"Yes")+COUNTIFS('21'!A$2:A$1011,Table4[[#This Row],[Feeder]],'21'!N$2:N$1011,"Yes")+COUNTIFS('22'!A$2:A$1038,Table4[[#This Row],[Feeder]],'22'!N$2:N$1038,"Yes")+COUNTIFS('23'!A$2:A$1040,Table4[[#This Row],[Feeder]],'23'!N$2:N$1040,"Yes")+COUNTIFS('24'!A$2:A$1057,Table4[[#This Row],[Feeder]],'24'!N$2:N$1057,"Yes")+COUNTIFS('25'!A$2:A$1047,Table4[[#This Row],[Feeder]],'25'!N$2:N$1047,"Yes")+COUNTIFS('26'!A$2:A$1048,Table4[[#This Row],[Feeder]],'26'!N$2:N$1048,"Yes")+COUNTIFS('27'!A$2:A$1018,Table4[[#This Row],[Feeder]],'27'!N$2:N$1018,"Yes")+COUNTIFS('28'!A$2:A$1010,Table4[[#This Row],[Feeder]],'28'!N$2:N$1010,"Yes")+COUNTIFS('29'!A$2:A$1032,Table4[[#This Row],[Feeder]],'29'!N$2:N$1032,"Yes")+COUNTIFS('30'!A$2:A$1022,Table4[[#This Row],[Feeder]],'30'!N$2:N$1022,"Yes")+COUNTIFS('31'!A$2:A$1002,Table4[[#This Row],[Feeder]],'31'!N$2:N$1002,"Yes")</f>
        <v>0</v>
      </c>
      <c r="AE196" s="40">
        <f>SUMIF('1'!A$3:A$1020,Table4[[#This Row],[Feeder]],'1'!F$3:F$1020)+SUMIF('2'!A$2:A$1033,Table4[[#This Row],[Feeder]],'2'!F$2:F$1033)+SUMIF('3'!A$2:A$1014,Table4[[#This Row],[Feeder]],'3'!F$2:F$1014)+SUMIF('4'!A$2:A$1014,Table4[[#This Row],[Feeder]],'4'!F$2:F$1014)+SUMIF('5'!A$2:A$1052,Table4[[#This Row],[Feeder]],'5'!F$2:F$1052)+SUMIF('6'!A$2:A$1046,Table4[[#This Row],[Feeder]],'6'!F$2:F$1046)+SUMIF('7'!A$2:A$1047,Table4[[#This Row],[Feeder]],'7'!F$2:F$1047)+SUMIF('8'!A$2:A$1067,Table4[[#This Row],[Feeder]],'8'!F$2:F$1067)+SUMIF('9'!A$2:A$1029,Table4[[#This Row],[Feeder]],'9'!F$2:F$1029)+SUMIF('10'!A$2:A$1037,Table4[[#This Row],[Feeder]],'10'!F$2:F$1037)+SUMIF('11'!A$2:A$1064,Table4[[#This Row],[Feeder]],'11'!F$2:F$1064)+SUMIF('12'!A$2:A$1055,Table4[[#This Row],[Feeder]],'12'!F$2:F$1055)+SUMIF('13'!A$2:A$1020,Table4[[#This Row],[Feeder]],'13'!F$2:F$1020)+SUMIF('14'!A$2:A$1035,Table4[[#This Row],[Feeder]],'14'!F$2:F$1035)+SUMIF('15'!A$2:A$1044,Table4[[#This Row],[Feeder]],'15'!F$2:F$1044)+SUMIF('16'!A$2:A$1041,Table4[[#This Row],[Feeder]],'16'!F$2:F$1041)+SUMIF('17'!A$2:A$1075,Table4[[#This Row],[Feeder]],'17'!F$2:F$1075)+SUMIF('18'!A$2:A$1037,Table4[[#This Row],[Feeder]],'18'!F$2:F$1037)+SUMIF('19'!A$2:A$1017,Table4[[#This Row],[Feeder]],'19'!F$2:F$1017)+SUMIF('20'!A$2:A$1029,Table4[[#This Row],[Feeder]],'20'!F$2:F$1029)+SUMIF('21'!A$2:A$1011,Table4[[#This Row],[Feeder]],'21'!F$2:F$1011)+SUMIF('22'!A$2:A$1038,Table4[[#This Row],[Feeder]],'22'!F$2:F$1038)+SUMIF('23'!A$2:A$1040,Table4[[#This Row],[Feeder]],'23'!F$2:F$1040)+SUMIF('24'!A$2:A$1057,Table4[[#This Row],[Feeder]],'24'!F$2:F$1057)+SUMIF('25'!A$2:A$1047,Table4[[#This Row],[Feeder]],'25'!F$2:F$1047)+SUMIF('26'!A$2:A$1048,Table4[[#This Row],[Feeder]],'26'!F$2:F$1048)+SUMIF('27'!A$2:A$1018,Table4[[#This Row],[Feeder]],'27'!F$2:F$1018)+SUMIF('28'!A$2:A$1010,Table4[[#This Row],[Feeder]],'28'!F$2:F$1010)+SUMIF('29'!A$2:A$1032,Table4[[#This Row],[Feeder]],'29'!F$2:F$1032)+SUMIF('30'!A$2:A$1022,Table4[[#This Row],[Feeder]],'30'!F$2:F$1022)+SUMIF('31'!A$2:A$1002,Table4[[#This Row],[Feeder]],'31'!F$2:F$1002)</f>
        <v>0</v>
      </c>
      <c r="AF196" s="40">
        <f>SUMIF('1'!A$3:A$1020,Table4[[#This Row],[Feeder]],'1'!K$3:K$1020)+SUMIF('2'!A$2:A$1033,Table4[[#This Row],[Feeder]],'2'!K$2:K$1033)+SUMIF('3'!A$2:A$1014,Table4[[#This Row],[Feeder]],'3'!K$2:K$1014)+SUMIF('4'!A$2:A$1014,Table4[[#This Row],[Feeder]],'4'!K$2:K$1014)+SUMIF('5'!A$2:A$1052,Table4[[#This Row],[Feeder]],'5'!K$2:K$1052)+SUMIF('6'!A$2:A$1046,Table4[[#This Row],[Feeder]],'6'!K$2:K$1046)+SUMIF('7'!A$2:A$1047,Table4[[#This Row],[Feeder]],'7'!K$2:K$1047)+SUMIF('8'!A$2:A$1067,Table4[[#This Row],[Feeder]],'8'!K$2:K$1067)+SUMIF('9'!A$2:A$1029,Table4[[#This Row],[Feeder]],'9'!K$2:K$1029)+SUMIF('10'!A$2:A$1037,Table4[[#This Row],[Feeder]],'10'!K$2:K$1037)+SUMIF('11'!A$2:A$1064,Table4[[#This Row],[Feeder]],'11'!K$2:K$1064)+SUMIF('12'!A$2:A$1055,Table4[[#This Row],[Feeder]],'12'!K$2:K$1055)+SUMIF('13'!A$2:A$1020,Table4[[#This Row],[Feeder]],'13'!K$2:K$1020)+SUMIF('14'!A$2:A$1035,Table4[[#This Row],[Feeder]],'14'!K$2:K$1035)+SUMIF('15'!A$2:A$1044,Table4[[#This Row],[Feeder]],'15'!K$2:K$1044)+SUMIF('16'!A$2:A$1041,Table4[[#This Row],[Feeder]],'16'!K$2:K$1041)+SUMIF('17'!A$2:A$1075,Table4[[#This Row],[Feeder]],'17'!K$2:K$1075)+SUMIF('18'!A$2:A$1037,Table4[[#This Row],[Feeder]],'18'!K$2:K$1037)+SUMIF('19'!A$2:A$1017,Table4[[#This Row],[Feeder]],'19'!K$2:K$1017)+SUMIF('20'!A$2:A$1029,Table4[[#This Row],[Feeder]],'20'!K$2:K$1029)+SUMIF('21'!A$2:A$1011,Table4[[#This Row],[Feeder]],'21'!K$2:K$1011)+SUMIF('22'!A$2:A$1038,Table4[[#This Row],[Feeder]],'22'!K$2:K$1038)+SUMIF('23'!A$2:A$1040,Table4[[#This Row],[Feeder]],'23'!K$2:K$1040)+SUMIF('24'!A$2:A$1057,Table4[[#This Row],[Feeder]],'24'!K$2:K$1057)+SUMIF('25'!A$2:A$1047,Table4[[#This Row],[Feeder]],'25'!K$2:K$1047)+SUMIF('26'!A$2:A$1048,Table4[[#This Row],[Feeder]],'26'!K$2:K$1048)+SUMIF('27'!A$2:A$1018,Table4[[#This Row],[Feeder]],'27'!K$2:K$1018)+SUMIF('28'!A$2:A$1010,Table4[[#This Row],[Feeder]],'28'!K$2:K$1010)+SUMIF('29'!A$2:A$1032,Table4[[#This Row],[Feeder]],'29'!K$2:K$1032)+SUMIF('30'!A$2:A$1022,Table4[[#This Row],[Feeder]],'30'!K$2:K$1022)+SUMIF('31'!A$2:A$1002,Table4[[#This Row],[Feeder]],'31'!K$2:K$1002)</f>
        <v>0</v>
      </c>
      <c r="AG196" s="40">
        <f>Table4[[#This Row],[Load Interrupted (MW)]]-Table4[[#This Row],[Load at Restoration]]</f>
        <v>0</v>
      </c>
      <c r="AH196" s="43">
        <f>SUMIF('1'!A$3:A$1020,Table4[[#This Row],[Feeder]],'1'!M$3:M$1020)+SUMIF('2'!A$2:A$1033,Table4[[#This Row],[Feeder]],'2'!M$2:M$1033)+SUMIF('3'!A$2:A$1014,Table4[[#This Row],[Feeder]],'3'!M$2:M$1014)+SUMIF('4'!A$2:A$1014,Table4[[#This Row],[Feeder]],'4'!M$2:M$1014)+SUMIF('5'!A$2:A$1052,Table4[[#This Row],[Feeder]],'5'!M$2:M$1052)+SUMIF('6'!A$2:A$1046,Table4[[#This Row],[Feeder]],'6'!M$2:M$1046)+SUMIF('7'!A$2:A$1047,Table4[[#This Row],[Feeder]],'7'!M$2:M$1047)+SUMIF('8'!A$2:A$1067,Table4[[#This Row],[Feeder]],'8'!M$2:M$1067)+SUMIF('9'!A$2:A$1029,Table4[[#This Row],[Feeder]],'9'!M$2:M$1029)+SUMIF('10'!A$2:A$1037,Table4[[#This Row],[Feeder]],'10'!M$2:M$1037)+SUMIF('11'!A$2:A$1064,Table4[[#This Row],[Feeder]],'11'!M$2:M$1064)+SUMIF('12'!A$2:A$1055,Table4[[#This Row],[Feeder]],'12'!M$2:M$1055)+SUMIF('13'!A$2:A$1020,Table4[[#This Row],[Feeder]],'13'!M$2:M$1020)+SUMIF('14'!A$2:A$1035,Table4[[#This Row],[Feeder]],'14'!M$2:M$1035)+SUMIF('15'!A$2:A$1044,Table4[[#This Row],[Feeder]],'15'!M$2:M$1044)+SUMIF('16'!A$2:A$1041,Table4[[#This Row],[Feeder]],'16'!M$2:M$1041)+SUMIF('17'!A$2:A$1075,Table4[[#This Row],[Feeder]],'17'!M$2:M$1075)+SUMIF('18'!A$2:A$1037,Table4[[#This Row],[Feeder]],'18'!M$2:M$1037)+SUMIF('19'!A$2:A$1017,Table4[[#This Row],[Feeder]],'19'!M$2:M$1017)+SUMIF('20'!A$2:A$1029,Table4[[#This Row],[Feeder]],'20'!M$2:M$1029)+SUMIF('21'!A$2:A$1011,Table4[[#This Row],[Feeder]],'21'!M$2:M$1011)+SUMIF('22'!A$2:A$1038,Table4[[#This Row],[Feeder]],'22'!M$2:M$1038)+SUMIF('23'!A$2:A$1040,Table4[[#This Row],[Feeder]],'23'!M$2:M$1040)+SUMIF('24'!A$2:A$1057,Table4[[#This Row],[Feeder]],'24'!M$2:M$1057)+SUMIF('25'!A$2:A$1047,Table4[[#This Row],[Feeder]],'25'!M$2:M$1047)+SUMIF('26'!A$2:A$1048,Table4[[#This Row],[Feeder]],'26'!M$2:M$1048)+SUMIF('27'!A$2:A$1018,Table4[[#This Row],[Feeder]],'27'!M$2:M$1018)+SUMIF('28'!A$2:A$1010,Table4[[#This Row],[Feeder]],'28'!M$2:M$1010)+SUMIF('29'!A$2:A$1032,Table4[[#This Row],[Feeder]],'29'!M$2:M$1032)+SUMIF('30'!A$2:A$1022,Table4[[#This Row],[Feeder]],'30'!M$2:M$1022)+SUMIF('31'!A$2:A$1002,Table4[[#This Row],[Feeder]],'31'!M$2:M$1002)</f>
        <v>0</v>
      </c>
      <c r="AI196" s="66">
        <f>(Table4[[#This Row],[Load Interrupted (MW)]]/0.85*1000)</f>
        <v>0</v>
      </c>
      <c r="AJ196" s="169" t="s">
        <v>461</v>
      </c>
    </row>
    <row r="197" spans="1:36" ht="15" x14ac:dyDescent="0.35">
      <c r="A197" s="196" t="s">
        <v>194</v>
      </c>
      <c r="B197" s="197"/>
      <c r="C197" s="197"/>
      <c r="D197" s="196"/>
      <c r="E197" s="196"/>
      <c r="F197" s="198">
        <f>SUBTOTAL(109,Table4[Total Interrruption])</f>
        <v>40</v>
      </c>
      <c r="G197" s="198">
        <f>SUBTOTAL(109,Table4[O/C Fault])</f>
        <v>9</v>
      </c>
      <c r="H197" s="198">
        <f>SUBTOTAL(109,Table4[E/F Fault])</f>
        <v>13</v>
      </c>
      <c r="I197" s="198">
        <f>SUBTOTAL(109,Table4[O/C &amp; E/F Fault])</f>
        <v>16</v>
      </c>
      <c r="J197" s="198"/>
      <c r="K197" s="198"/>
      <c r="L197" s="198"/>
      <c r="M197" s="198"/>
      <c r="N197" s="199">
        <f>SUBTOTAL(109,Table4[Outage Duration of Fault])</f>
        <v>-268754.0083333333</v>
      </c>
      <c r="O197" s="199">
        <f>SUBTOTAL(109,Table4[Duration of Planned Outage])</f>
        <v>0.2541666666729725</v>
      </c>
      <c r="P197" s="199">
        <f>SUBTOTAL(109,Table4[Duration of Planned Construction Activity])</f>
        <v>0</v>
      </c>
      <c r="Q197" s="199">
        <f>SUBTOTAL(109,Table4[Duration of S/S Fault])</f>
        <v>0</v>
      </c>
      <c r="R197" s="199">
        <f>SUBTOTAL(109,Table4[Total Outage Duration])</f>
        <v>-268753.31249999994</v>
      </c>
      <c r="S197" s="199"/>
      <c r="T197" s="199"/>
      <c r="U197" s="200">
        <f>SUBTOTAL(109,Table4[Tripping due to Line fault])</f>
        <v>38</v>
      </c>
      <c r="V197" s="200">
        <f>SUBTOTAL(109,Table4[Total Faults])</f>
        <v>39</v>
      </c>
      <c r="W197" s="200">
        <f>SUBTOTAL(109,Table4[Tripping due to S/S fault])</f>
        <v>0</v>
      </c>
      <c r="X197" s="200">
        <f>SUBTOTAL(109,Table4[[Planned shutdown for construction activity ]])</f>
        <v>0</v>
      </c>
      <c r="Y197" s="200">
        <f>SUBTOTAL(109,Table4[Planned shutdown for O&amp;M activity ])</f>
        <v>1</v>
      </c>
      <c r="Z197" s="200">
        <f>SUBTOTAL(109,Table4[Shutdown on Emergency])</f>
        <v>1</v>
      </c>
      <c r="AA197" s="200">
        <f>SUBTOTAL(109,Table4[Tripped due to under-frequency])</f>
        <v>0</v>
      </c>
      <c r="AB197" s="200">
        <f>SUBTOTAL(109,Table4[No. of Outage Surrender within Duration])</f>
        <v>1</v>
      </c>
      <c r="AC197" s="201">
        <f>SUBTOTAL(109,Table4[No. of Fault Cleared in Specified Time])</f>
        <v>24</v>
      </c>
      <c r="AD197" s="201">
        <f>SUBTOTAL(109,Table4[No. of PM Done within Approved Time])</f>
        <v>1</v>
      </c>
      <c r="AE197" s="202"/>
      <c r="AF197" s="202"/>
      <c r="AG197" s="202"/>
      <c r="AH197" s="202"/>
      <c r="AI197" s="202">
        <f>SUBTOTAL(109,Table4[Load Interrupted (KVA)])</f>
        <v>353999.99999999994</v>
      </c>
      <c r="AJ197" s="202"/>
    </row>
    <row r="199" spans="1:36" ht="15.5" x14ac:dyDescent="0.35">
      <c r="O199" s="47" t="s">
        <v>320</v>
      </c>
      <c r="P199" s="47"/>
      <c r="Q199" s="48">
        <v>30</v>
      </c>
    </row>
    <row r="215" spans="2:20" x14ac:dyDescent="0.35">
      <c r="F215" s="221" t="s">
        <v>149</v>
      </c>
      <c r="G215" s="221"/>
    </row>
    <row r="216" spans="2:20" x14ac:dyDescent="0.35">
      <c r="F216" s="3" t="s">
        <v>150</v>
      </c>
      <c r="G216" s="3" t="s">
        <v>151</v>
      </c>
    </row>
    <row r="217" spans="2:20" x14ac:dyDescent="0.35">
      <c r="F217" s="3" t="s">
        <v>152</v>
      </c>
      <c r="G217" s="3" t="s">
        <v>153</v>
      </c>
    </row>
    <row r="218" spans="2:20" x14ac:dyDescent="0.35">
      <c r="F218" s="3" t="s">
        <v>154</v>
      </c>
      <c r="G218" s="3" t="s">
        <v>155</v>
      </c>
    </row>
    <row r="219" spans="2:20" x14ac:dyDescent="0.35">
      <c r="F219" s="3" t="s">
        <v>156</v>
      </c>
      <c r="G219" s="3" t="s">
        <v>157</v>
      </c>
    </row>
    <row r="220" spans="2:20" x14ac:dyDescent="0.35">
      <c r="F220" s="3" t="s">
        <v>158</v>
      </c>
      <c r="G220" s="3" t="s">
        <v>159</v>
      </c>
    </row>
    <row r="221" spans="2:20" x14ac:dyDescent="0.35">
      <c r="F221" s="3" t="s">
        <v>160</v>
      </c>
      <c r="G221" s="3" t="s">
        <v>161</v>
      </c>
    </row>
    <row r="222" spans="2:20" x14ac:dyDescent="0.35">
      <c r="F222" s="3" t="s">
        <v>162</v>
      </c>
      <c r="G222" s="3" t="s">
        <v>167</v>
      </c>
    </row>
    <row r="223" spans="2:20" x14ac:dyDescent="0.35">
      <c r="F223" s="3" t="s">
        <v>164</v>
      </c>
      <c r="G223" s="3" t="s">
        <v>168</v>
      </c>
    </row>
    <row r="224" spans="2:20" s="157" customFormat="1" x14ac:dyDescent="0.35">
      <c r="B224" s="1"/>
      <c r="C224" s="1"/>
      <c r="D224" s="1"/>
      <c r="E224" s="1"/>
      <c r="F224" s="3" t="s">
        <v>439</v>
      </c>
      <c r="G224" s="3" t="s">
        <v>440</v>
      </c>
      <c r="S224" s="117"/>
      <c r="T224" s="117"/>
    </row>
    <row r="225" spans="6:7" x14ac:dyDescent="0.35">
      <c r="F225" s="3" t="s">
        <v>163</v>
      </c>
      <c r="G225" s="3" t="s">
        <v>169</v>
      </c>
    </row>
    <row r="226" spans="6:7" x14ac:dyDescent="0.35">
      <c r="F226" s="3" t="s">
        <v>333</v>
      </c>
      <c r="G226" s="3" t="s">
        <v>335</v>
      </c>
    </row>
    <row r="227" spans="6:7" x14ac:dyDescent="0.35">
      <c r="F227" s="3" t="s">
        <v>334</v>
      </c>
      <c r="G227" s="3" t="s">
        <v>336</v>
      </c>
    </row>
    <row r="228" spans="6:7" x14ac:dyDescent="0.35">
      <c r="F228" s="3" t="s">
        <v>339</v>
      </c>
      <c r="G228" s="3" t="s">
        <v>337</v>
      </c>
    </row>
  </sheetData>
  <mergeCells count="1">
    <mergeCell ref="F215:G215"/>
  </mergeCell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79"/>
  <sheetViews>
    <sheetView topLeftCell="B61" zoomScale="70" zoomScaleNormal="70" workbookViewId="0">
      <selection activeCell="Q6" sqref="Q6"/>
    </sheetView>
  </sheetViews>
  <sheetFormatPr defaultRowHeight="14.5" x14ac:dyDescent="0.35"/>
  <cols>
    <col min="1" max="1" width="27.26953125" customWidth="1"/>
    <col min="2" max="2" width="8.26953125" customWidth="1"/>
    <col min="3" max="3" width="17.26953125" customWidth="1"/>
    <col min="4" max="4" width="17.1796875" customWidth="1"/>
    <col min="5" max="5" width="17.4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5" si="0">J2-E2</f>
        <v>0</v>
      </c>
      <c r="M2" s="31">
        <f t="shared" ref="M2:M22" si="1">L2*F2</f>
        <v>0</v>
      </c>
      <c r="N2" s="15" t="str">
        <f>IF(Table2683241[[#This Row],[Fault Type]]="PM",IF(L2&lt;=(D2-C2),"Yes","No"),"")</f>
        <v/>
      </c>
      <c r="O2" s="16" t="str">
        <f t="shared" ref="O2:O65" si="2">IF(N2="No",(L2-(D2-C2)),"")</f>
        <v/>
      </c>
      <c r="P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IF(Table2683241[[#This Row],[Fault Type]]="PM",IF(L3&lt;=(D3-C3),"Yes","No"),"")</f>
        <v/>
      </c>
      <c r="O3" s="16" t="str">
        <f t="shared" si="2"/>
        <v/>
      </c>
      <c r="P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IF(Table2683241[[#This Row],[Fault Type]]="PM",IF(L4&lt;=(D4-C4),"Yes","No"),"")</f>
        <v/>
      </c>
      <c r="O4" s="16" t="str">
        <f t="shared" si="2"/>
        <v/>
      </c>
      <c r="P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IF(Table2683241[[#This Row],[Fault Type]]="PM",IF(L5&lt;=(D5-C5),"Yes","No"),"")</f>
        <v/>
      </c>
      <c r="O5" s="16" t="str">
        <f t="shared" si="2"/>
        <v/>
      </c>
      <c r="P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IF(Table2683241[[#This Row],[Fault Type]]="PM",IF(L6&lt;=(D6-C6),"Yes","No"),"")</f>
        <v/>
      </c>
      <c r="O6" s="16" t="str">
        <f t="shared" si="2"/>
        <v/>
      </c>
      <c r="P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IF(Table2683241[[#This Row],[Fault Type]]="PM",IF(L7&lt;=(D7-C7),"Yes","No"),"")</f>
        <v/>
      </c>
      <c r="O7" s="16" t="str">
        <f t="shared" si="2"/>
        <v/>
      </c>
      <c r="P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IF(Table2683241[[#This Row],[Fault Type]]="PM",IF(L8&lt;=(D8-C8),"Yes","No"),"")</f>
        <v/>
      </c>
      <c r="O8" s="16" t="str">
        <f t="shared" si="2"/>
        <v/>
      </c>
      <c r="P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IF(Table2683241[[#This Row],[Fault Type]]="PM",IF(L9&lt;=(D9-C9),"Yes","No"),"")</f>
        <v/>
      </c>
      <c r="O9" s="16" t="str">
        <f t="shared" si="2"/>
        <v/>
      </c>
      <c r="P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IF(Table2683241[[#This Row],[Fault Type]]="PM",IF(L10&lt;=(D10-C10),"Yes","No"),"")</f>
        <v/>
      </c>
      <c r="O10" s="16" t="str">
        <f t="shared" si="2"/>
        <v/>
      </c>
      <c r="P1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IF(Table2683241[[#This Row],[Fault Type]]="PM",IF(L11&lt;=(D11-C11),"Yes","No"),"")</f>
        <v/>
      </c>
      <c r="O11" s="16" t="str">
        <f t="shared" si="2"/>
        <v/>
      </c>
      <c r="P1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IF(Table2683241[[#This Row],[Fault Type]]="PM",IF(L12&lt;=(D12-C12),"Yes","No"),"")</f>
        <v/>
      </c>
      <c r="O12" s="16" t="str">
        <f t="shared" si="2"/>
        <v/>
      </c>
      <c r="P1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2" s="17"/>
    </row>
    <row r="13" spans="1:17" ht="15.5" x14ac:dyDescent="0.35">
      <c r="A13" s="4"/>
      <c r="B13" s="12"/>
      <c r="C13" s="13"/>
      <c r="D13" s="13"/>
      <c r="E13" s="13"/>
      <c r="F13" s="12"/>
      <c r="G13" s="12"/>
      <c r="H13" s="12"/>
      <c r="I13" s="12"/>
      <c r="J13" s="13"/>
      <c r="K13" s="32"/>
      <c r="L13" s="14">
        <f t="shared" si="0"/>
        <v>0</v>
      </c>
      <c r="M13" s="31">
        <f t="shared" si="1"/>
        <v>0</v>
      </c>
      <c r="N13" s="15" t="str">
        <f>IF(Table2683241[[#This Row],[Fault Type]]="PM",IF(L13&lt;=(D13-C13),"Yes","No"),"")</f>
        <v/>
      </c>
      <c r="O13" s="16" t="str">
        <f t="shared" si="2"/>
        <v/>
      </c>
      <c r="P1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3" s="17"/>
    </row>
    <row r="14" spans="1:17" ht="15.5" x14ac:dyDescent="0.35">
      <c r="A14" s="4"/>
      <c r="B14" s="12"/>
      <c r="C14" s="13"/>
      <c r="D14" s="13"/>
      <c r="E14" s="13"/>
      <c r="F14" s="12"/>
      <c r="G14" s="12"/>
      <c r="H14" s="12"/>
      <c r="I14" s="12"/>
      <c r="J14" s="13"/>
      <c r="K14" s="32"/>
      <c r="L14" s="14">
        <f t="shared" si="0"/>
        <v>0</v>
      </c>
      <c r="M14" s="31">
        <f t="shared" si="1"/>
        <v>0</v>
      </c>
      <c r="N14" s="15" t="str">
        <f>IF(Table2683241[[#This Row],[Fault Type]]="PM",IF(L14&lt;=(D14-C14),"Yes","No"),"")</f>
        <v/>
      </c>
      <c r="O14" s="16" t="str">
        <f t="shared" si="2"/>
        <v/>
      </c>
      <c r="P1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4" s="17"/>
    </row>
    <row r="15" spans="1:17" ht="15.5" x14ac:dyDescent="0.35">
      <c r="A15" s="4"/>
      <c r="B15" s="12"/>
      <c r="C15" s="13"/>
      <c r="D15" s="13"/>
      <c r="E15" s="13"/>
      <c r="F15" s="12"/>
      <c r="G15" s="12"/>
      <c r="H15" s="12"/>
      <c r="I15" s="12"/>
      <c r="J15" s="13"/>
      <c r="K15" s="32"/>
      <c r="L15" s="14">
        <f t="shared" si="0"/>
        <v>0</v>
      </c>
      <c r="M15" s="31">
        <f t="shared" si="1"/>
        <v>0</v>
      </c>
      <c r="N15" s="15" t="str">
        <f>IF(Table2683241[[#This Row],[Fault Type]]="PM",IF(L15&lt;=(D15-C15),"Yes","No"),"")</f>
        <v/>
      </c>
      <c r="O15" s="16" t="str">
        <f t="shared" si="2"/>
        <v/>
      </c>
      <c r="P1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5" s="17"/>
    </row>
    <row r="16" spans="1:17" ht="15.5" x14ac:dyDescent="0.35">
      <c r="A16" s="4"/>
      <c r="B16" s="12"/>
      <c r="C16" s="13"/>
      <c r="D16" s="13"/>
      <c r="E16" s="13"/>
      <c r="F16" s="18"/>
      <c r="G16" s="12"/>
      <c r="H16" s="18"/>
      <c r="I16" s="18"/>
      <c r="J16" s="13"/>
      <c r="K16" s="32"/>
      <c r="L16" s="14">
        <f t="shared" si="0"/>
        <v>0</v>
      </c>
      <c r="M16" s="31">
        <f t="shared" si="1"/>
        <v>0</v>
      </c>
      <c r="N16" s="15" t="str">
        <f>IF(Table2683241[[#This Row],[Fault Type]]="PM",IF(L16&lt;=(D16-C16),"Yes","No"),"")</f>
        <v/>
      </c>
      <c r="O16" s="16" t="str">
        <f t="shared" si="2"/>
        <v/>
      </c>
      <c r="P1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6" s="17"/>
    </row>
    <row r="17" spans="1:17" ht="15.5" x14ac:dyDescent="0.35">
      <c r="A17" s="4"/>
      <c r="B17" s="12"/>
      <c r="C17" s="13"/>
      <c r="D17" s="13"/>
      <c r="E17" s="13"/>
      <c r="F17" s="12"/>
      <c r="G17" s="12"/>
      <c r="H17" s="12"/>
      <c r="I17" s="12"/>
      <c r="J17" s="13"/>
      <c r="K17" s="32"/>
      <c r="L17" s="14">
        <f t="shared" si="0"/>
        <v>0</v>
      </c>
      <c r="M17" s="31">
        <f t="shared" si="1"/>
        <v>0</v>
      </c>
      <c r="N17" s="15" t="str">
        <f>IF(Table2683241[[#This Row],[Fault Type]]="PM",IF(L17&lt;=(D17-C17),"Yes","No"),"")</f>
        <v/>
      </c>
      <c r="O17" s="16" t="str">
        <f t="shared" si="2"/>
        <v/>
      </c>
      <c r="P1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7" s="17"/>
    </row>
    <row r="18" spans="1:17" ht="15.5" x14ac:dyDescent="0.35">
      <c r="A18" s="4"/>
      <c r="B18" s="12"/>
      <c r="C18" s="13"/>
      <c r="D18" s="13"/>
      <c r="E18" s="13"/>
      <c r="F18" s="18"/>
      <c r="G18" s="12"/>
      <c r="H18" s="18"/>
      <c r="I18" s="18"/>
      <c r="J18" s="13"/>
      <c r="K18" s="32"/>
      <c r="L18" s="14">
        <f t="shared" si="0"/>
        <v>0</v>
      </c>
      <c r="M18" s="31">
        <f t="shared" si="1"/>
        <v>0</v>
      </c>
      <c r="N18" s="15" t="str">
        <f>IF(Table2683241[[#This Row],[Fault Type]]="PM",IF(L18&lt;=(D18-C18),"Yes","No"),"")</f>
        <v/>
      </c>
      <c r="O18" s="16" t="str">
        <f t="shared" si="2"/>
        <v/>
      </c>
      <c r="P1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8" s="17"/>
    </row>
    <row r="19" spans="1:17" ht="15.5" x14ac:dyDescent="0.35">
      <c r="A19" s="4"/>
      <c r="B19" s="12"/>
      <c r="C19" s="13"/>
      <c r="D19" s="13"/>
      <c r="E19" s="13"/>
      <c r="F19" s="18"/>
      <c r="G19" s="12"/>
      <c r="H19" s="18"/>
      <c r="I19" s="18"/>
      <c r="J19" s="13"/>
      <c r="K19" s="32"/>
      <c r="L19" s="14">
        <f t="shared" si="0"/>
        <v>0</v>
      </c>
      <c r="M19" s="31">
        <f t="shared" si="1"/>
        <v>0</v>
      </c>
      <c r="N19" s="15" t="str">
        <f>IF(Table2683241[[#This Row],[Fault Type]]="PM",IF(L19&lt;=(D19-C19),"Yes","No"),"")</f>
        <v/>
      </c>
      <c r="O19" s="16" t="str">
        <f t="shared" si="2"/>
        <v/>
      </c>
      <c r="P1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19" s="17"/>
    </row>
    <row r="20" spans="1:17" ht="15.5" x14ac:dyDescent="0.35">
      <c r="A20" s="4"/>
      <c r="B20" s="12"/>
      <c r="C20" s="13"/>
      <c r="D20" s="13"/>
      <c r="E20" s="13"/>
      <c r="F20" s="165"/>
      <c r="G20" s="159"/>
      <c r="H20" s="54"/>
      <c r="I20" s="54"/>
      <c r="J20" s="13"/>
      <c r="K20" s="32"/>
      <c r="L20" s="14">
        <f t="shared" si="0"/>
        <v>0</v>
      </c>
      <c r="M20" s="31">
        <f t="shared" si="1"/>
        <v>0</v>
      </c>
      <c r="N20" s="15" t="str">
        <f>IF(Table2683241[[#This Row],[Fault Type]]="PM",IF(L20&lt;=(D20-C20),"Yes","No"),"")</f>
        <v/>
      </c>
      <c r="O20" s="16" t="str">
        <f t="shared" si="2"/>
        <v/>
      </c>
      <c r="P2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0" s="17"/>
    </row>
    <row r="21" spans="1:17" ht="15.5" x14ac:dyDescent="0.35">
      <c r="A21" s="4"/>
      <c r="B21" s="12"/>
      <c r="C21" s="13"/>
      <c r="D21" s="13"/>
      <c r="E21" s="13"/>
      <c r="F21" s="18"/>
      <c r="G21" s="12"/>
      <c r="H21" s="18"/>
      <c r="I21" s="18"/>
      <c r="J21" s="13"/>
      <c r="K21" s="32"/>
      <c r="L21" s="14">
        <f t="shared" si="0"/>
        <v>0</v>
      </c>
      <c r="M21" s="31">
        <f t="shared" si="1"/>
        <v>0</v>
      </c>
      <c r="N21" s="15" t="str">
        <f>IF(Table2683241[[#This Row],[Fault Type]]="PM",IF(L21&lt;=(D21-C21),"Yes","No"),"")</f>
        <v/>
      </c>
      <c r="O21" s="16" t="str">
        <f t="shared" si="2"/>
        <v/>
      </c>
      <c r="P2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1" s="17"/>
    </row>
    <row r="22" spans="1:17" ht="15.5" x14ac:dyDescent="0.35">
      <c r="A22" s="4"/>
      <c r="B22" s="12"/>
      <c r="C22" s="13"/>
      <c r="D22" s="13"/>
      <c r="E22" s="13"/>
      <c r="F22" s="18"/>
      <c r="G22" s="12"/>
      <c r="H22" s="18"/>
      <c r="I22" s="18"/>
      <c r="J22" s="13"/>
      <c r="K22" s="32"/>
      <c r="L22" s="14">
        <f t="shared" si="0"/>
        <v>0</v>
      </c>
      <c r="M22" s="31">
        <f t="shared" si="1"/>
        <v>0</v>
      </c>
      <c r="N22" s="130"/>
      <c r="O22" s="16" t="str">
        <f t="shared" si="2"/>
        <v/>
      </c>
      <c r="P2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2" s="17"/>
    </row>
    <row r="23" spans="1:17" ht="15.5" x14ac:dyDescent="0.35">
      <c r="A23" s="4"/>
      <c r="B23" s="12"/>
      <c r="C23" s="13"/>
      <c r="D23" s="13"/>
      <c r="E23" s="13"/>
      <c r="F23" s="18"/>
      <c r="G23" s="12"/>
      <c r="H23" s="18"/>
      <c r="I23" s="18"/>
      <c r="J23" s="13"/>
      <c r="K23" s="32"/>
      <c r="L23" s="14">
        <f t="shared" si="0"/>
        <v>0</v>
      </c>
      <c r="M23" s="31">
        <f t="shared" ref="M23:M79" si="3">L23*F23</f>
        <v>0</v>
      </c>
      <c r="N23" s="130"/>
      <c r="O23" s="16" t="str">
        <f t="shared" si="2"/>
        <v/>
      </c>
      <c r="P2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3" s="17"/>
    </row>
    <row r="24" spans="1:17" ht="15.5" x14ac:dyDescent="0.35">
      <c r="A24" s="4"/>
      <c r="B24" s="12"/>
      <c r="C24" s="13"/>
      <c r="D24" s="13"/>
      <c r="E24" s="13"/>
      <c r="F24" s="18"/>
      <c r="G24" s="12"/>
      <c r="H24" s="18"/>
      <c r="I24" s="18"/>
      <c r="J24" s="13"/>
      <c r="K24" s="32"/>
      <c r="L24" s="14">
        <f t="shared" si="0"/>
        <v>0</v>
      </c>
      <c r="M24" s="31">
        <f t="shared" si="3"/>
        <v>0</v>
      </c>
      <c r="N24" s="130"/>
      <c r="O24" s="16" t="str">
        <f t="shared" si="2"/>
        <v/>
      </c>
      <c r="P2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4" s="17"/>
    </row>
    <row r="25" spans="1:17" ht="15.5" x14ac:dyDescent="0.35">
      <c r="A25" s="4"/>
      <c r="B25" s="12"/>
      <c r="C25" s="13"/>
      <c r="D25" s="13"/>
      <c r="E25" s="13"/>
      <c r="F25" s="18"/>
      <c r="G25" s="12"/>
      <c r="H25" s="18"/>
      <c r="I25" s="18"/>
      <c r="J25" s="13"/>
      <c r="K25" s="32"/>
      <c r="L25" s="14">
        <f t="shared" si="0"/>
        <v>0</v>
      </c>
      <c r="M25" s="31">
        <f t="shared" si="3"/>
        <v>0</v>
      </c>
      <c r="N25" s="130"/>
      <c r="O25" s="16" t="str">
        <f t="shared" si="2"/>
        <v/>
      </c>
      <c r="P2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5" s="17"/>
    </row>
    <row r="26" spans="1:17" ht="15.5" x14ac:dyDescent="0.35">
      <c r="A26" s="4"/>
      <c r="B26" s="12"/>
      <c r="C26" s="13"/>
      <c r="D26" s="13"/>
      <c r="E26" s="13"/>
      <c r="F26" s="12"/>
      <c r="G26" s="12"/>
      <c r="H26" s="12"/>
      <c r="I26" s="12"/>
      <c r="J26" s="13"/>
      <c r="K26" s="32"/>
      <c r="L26" s="14">
        <f t="shared" si="0"/>
        <v>0</v>
      </c>
      <c r="M26" s="31">
        <f t="shared" si="3"/>
        <v>0</v>
      </c>
      <c r="N26" s="130"/>
      <c r="O26" s="16" t="str">
        <f t="shared" si="2"/>
        <v/>
      </c>
      <c r="P2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6" s="17"/>
    </row>
    <row r="27" spans="1:17" ht="15.5" x14ac:dyDescent="0.35">
      <c r="A27" s="4"/>
      <c r="B27" s="12"/>
      <c r="C27" s="13"/>
      <c r="D27" s="13"/>
      <c r="E27" s="13"/>
      <c r="F27" s="18"/>
      <c r="G27" s="12"/>
      <c r="H27" s="18"/>
      <c r="I27" s="18"/>
      <c r="J27" s="13"/>
      <c r="K27" s="32"/>
      <c r="L27" s="14">
        <f t="shared" si="0"/>
        <v>0</v>
      </c>
      <c r="M27" s="31">
        <f t="shared" si="3"/>
        <v>0</v>
      </c>
      <c r="N27" s="130"/>
      <c r="O27" s="16" t="str">
        <f t="shared" si="2"/>
        <v/>
      </c>
      <c r="P2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7" s="17"/>
    </row>
    <row r="28" spans="1:17" ht="15.5" x14ac:dyDescent="0.35">
      <c r="A28" s="4"/>
      <c r="B28" s="12"/>
      <c r="C28" s="13"/>
      <c r="D28" s="13"/>
      <c r="E28" s="13"/>
      <c r="F28" s="18"/>
      <c r="G28" s="12"/>
      <c r="H28" s="18"/>
      <c r="I28" s="18"/>
      <c r="J28" s="13"/>
      <c r="K28" s="32"/>
      <c r="L28" s="14">
        <f t="shared" si="0"/>
        <v>0</v>
      </c>
      <c r="M28" s="31">
        <f t="shared" si="3"/>
        <v>0</v>
      </c>
      <c r="N28" s="130"/>
      <c r="O28" s="16" t="str">
        <f t="shared" si="2"/>
        <v/>
      </c>
      <c r="P2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8" s="17"/>
    </row>
    <row r="29" spans="1:17" ht="15.5" x14ac:dyDescent="0.35">
      <c r="A29" s="4"/>
      <c r="B29" s="12"/>
      <c r="C29" s="13"/>
      <c r="D29" s="13"/>
      <c r="E29" s="13"/>
      <c r="F29" s="12"/>
      <c r="G29" s="12"/>
      <c r="H29" s="12"/>
      <c r="I29" s="12"/>
      <c r="J29" s="13"/>
      <c r="K29" s="32"/>
      <c r="L29" s="14">
        <f t="shared" si="0"/>
        <v>0</v>
      </c>
      <c r="M29" s="31">
        <f t="shared" si="3"/>
        <v>0</v>
      </c>
      <c r="N29" s="130"/>
      <c r="O29" s="16" t="str">
        <f t="shared" si="2"/>
        <v/>
      </c>
      <c r="P2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29" s="17"/>
    </row>
    <row r="30" spans="1:17" ht="15.5" x14ac:dyDescent="0.35">
      <c r="A30" s="4"/>
      <c r="B30" s="12"/>
      <c r="C30" s="13"/>
      <c r="D30" s="13"/>
      <c r="E30" s="13"/>
      <c r="F30" s="18"/>
      <c r="G30" s="12"/>
      <c r="H30" s="18"/>
      <c r="I30" s="18"/>
      <c r="J30" s="13"/>
      <c r="K30" s="32"/>
      <c r="L30" s="14">
        <f t="shared" si="0"/>
        <v>0</v>
      </c>
      <c r="M30" s="31">
        <f t="shared" si="3"/>
        <v>0</v>
      </c>
      <c r="N30" s="130"/>
      <c r="O30" s="16" t="str">
        <f t="shared" si="2"/>
        <v/>
      </c>
      <c r="P3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0" s="17"/>
    </row>
    <row r="31" spans="1:17" ht="15.5" x14ac:dyDescent="0.35">
      <c r="A31" s="4"/>
      <c r="B31" s="12"/>
      <c r="C31" s="13"/>
      <c r="D31" s="13"/>
      <c r="E31" s="13"/>
      <c r="F31" s="18"/>
      <c r="G31" s="12"/>
      <c r="H31" s="18"/>
      <c r="I31" s="18"/>
      <c r="J31" s="13"/>
      <c r="K31" s="32"/>
      <c r="L31" s="14">
        <f t="shared" si="0"/>
        <v>0</v>
      </c>
      <c r="M31" s="31">
        <f t="shared" si="3"/>
        <v>0</v>
      </c>
      <c r="N31" s="130"/>
      <c r="O31" s="16" t="str">
        <f t="shared" si="2"/>
        <v/>
      </c>
      <c r="P3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IF(Table2683241[[#This Row],[Fault Type]]="PM",IF(L32&lt;=(D32-C32),"Yes","No"),"")</f>
        <v/>
      </c>
      <c r="O32" s="16" t="str">
        <f t="shared" si="2"/>
        <v/>
      </c>
      <c r="P3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IF(Table2683241[[#This Row],[Fault Type]]="PM",IF(L33&lt;=(D33-C33),"Yes","No"),"")</f>
        <v/>
      </c>
      <c r="O33" s="16" t="str">
        <f t="shared" si="2"/>
        <v/>
      </c>
      <c r="P3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IF(Table2683241[[#This Row],[Fault Type]]="PM",IF(L34&lt;=(D34-C34),"Yes","No"),"")</f>
        <v/>
      </c>
      <c r="O34" s="16" t="str">
        <f t="shared" si="2"/>
        <v/>
      </c>
      <c r="P3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IF(Table2683241[[#This Row],[Fault Type]]="PM",IF(L35&lt;=(D35-C35),"Yes","No"),"")</f>
        <v/>
      </c>
      <c r="O35" s="16" t="str">
        <f t="shared" si="2"/>
        <v/>
      </c>
      <c r="P3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IF(Table2683241[[#This Row],[Fault Type]]="PM",IF(L36&lt;=(D36-C36),"Yes","No"),"")</f>
        <v/>
      </c>
      <c r="O36" s="16" t="str">
        <f t="shared" si="2"/>
        <v/>
      </c>
      <c r="P3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IF(Table2683241[[#This Row],[Fault Type]]="PM",IF(L37&lt;=(D37-C37),"Yes","No"),"")</f>
        <v/>
      </c>
      <c r="O37" s="16" t="str">
        <f t="shared" si="2"/>
        <v/>
      </c>
      <c r="P3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IF(Table2683241[[#This Row],[Fault Type]]="PM",IF(L38&lt;=(D38-C38),"Yes","No"),"")</f>
        <v/>
      </c>
      <c r="O38" s="16" t="str">
        <f t="shared" si="2"/>
        <v/>
      </c>
      <c r="P3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IF(Table2683241[[#This Row],[Fault Type]]="PM",IF(L39&lt;=(D39-C39),"Yes","No"),"")</f>
        <v/>
      </c>
      <c r="O39" s="16" t="str">
        <f t="shared" si="2"/>
        <v/>
      </c>
      <c r="P3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IF(Table2683241[[#This Row],[Fault Type]]="PM",IF(L40&lt;=(D40-C40),"Yes","No"),"")</f>
        <v/>
      </c>
      <c r="O40" s="16" t="str">
        <f t="shared" si="2"/>
        <v/>
      </c>
      <c r="P4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IF(Table2683241[[#This Row],[Fault Type]]="PM",IF(L41&lt;=(D41-C41),"Yes","No"),"")</f>
        <v/>
      </c>
      <c r="O41" s="16" t="str">
        <f t="shared" si="2"/>
        <v/>
      </c>
      <c r="P4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IF(Table2683241[[#This Row],[Fault Type]]="PM",IF(L42&lt;=(D42-C42),"Yes","No"),"")</f>
        <v/>
      </c>
      <c r="O42" s="16" t="str">
        <f t="shared" si="2"/>
        <v/>
      </c>
      <c r="P4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IF(Table2683241[[#This Row],[Fault Type]]="PM",IF(L43&lt;=(D43-C43),"Yes","No"),"")</f>
        <v/>
      </c>
      <c r="O43" s="16" t="str">
        <f t="shared" si="2"/>
        <v/>
      </c>
      <c r="P4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3" s="17"/>
    </row>
    <row r="44" spans="1:17" ht="15.5" x14ac:dyDescent="0.35">
      <c r="A44" s="4"/>
      <c r="B44" s="12"/>
      <c r="C44" s="13"/>
      <c r="D44" s="13"/>
      <c r="E44" s="13"/>
      <c r="F44" s="18"/>
      <c r="G44" s="12"/>
      <c r="H44" s="18"/>
      <c r="I44" s="18"/>
      <c r="J44" s="126"/>
      <c r="K44" s="32"/>
      <c r="L44" s="14">
        <f t="shared" si="0"/>
        <v>0</v>
      </c>
      <c r="M44" s="31">
        <f t="shared" si="3"/>
        <v>0</v>
      </c>
      <c r="N44" s="15" t="str">
        <f>IF(Table2683241[[#This Row],[Fault Type]]="PM",IF(L44&lt;=(D44-C44),"Yes","No"),"")</f>
        <v/>
      </c>
      <c r="O44" s="16" t="str">
        <f t="shared" si="2"/>
        <v/>
      </c>
      <c r="P4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4" s="17"/>
    </row>
    <row r="45" spans="1:17" ht="15.75" customHeight="1" x14ac:dyDescent="0.35">
      <c r="A45" s="4"/>
      <c r="B45" s="12"/>
      <c r="C45" s="13"/>
      <c r="D45" s="13"/>
      <c r="E45" s="13"/>
      <c r="F45" s="12"/>
      <c r="G45" s="12"/>
      <c r="H45" s="12"/>
      <c r="I45" s="12"/>
      <c r="J45" s="13"/>
      <c r="K45" s="32"/>
      <c r="L45" s="14">
        <f t="shared" si="0"/>
        <v>0</v>
      </c>
      <c r="M45" s="31">
        <f t="shared" si="3"/>
        <v>0</v>
      </c>
      <c r="N45" s="15" t="str">
        <f>IF(Table2683241[[#This Row],[Fault Type]]="PM",IF(L45&lt;=(D45-C45),"Yes","No"),"")</f>
        <v/>
      </c>
      <c r="O45" s="16" t="str">
        <f t="shared" si="2"/>
        <v/>
      </c>
      <c r="P4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5" s="17"/>
    </row>
    <row r="46" spans="1:17" ht="15.5" x14ac:dyDescent="0.35">
      <c r="A46" s="4"/>
      <c r="B46" s="12"/>
      <c r="C46" s="13"/>
      <c r="D46" s="13"/>
      <c r="E46" s="13"/>
      <c r="F46" s="18"/>
      <c r="G46" s="12"/>
      <c r="H46" s="18"/>
      <c r="I46" s="18"/>
      <c r="J46" s="13"/>
      <c r="K46" s="32"/>
      <c r="L46" s="14">
        <f t="shared" si="0"/>
        <v>0</v>
      </c>
      <c r="M46" s="31">
        <f t="shared" si="3"/>
        <v>0</v>
      </c>
      <c r="N46" s="15" t="str">
        <f>IF(Table2683241[[#This Row],[Fault Type]]="PM",IF(L46&lt;=(D46-C46),"Yes","No"),"")</f>
        <v/>
      </c>
      <c r="O46" s="16" t="str">
        <f t="shared" si="2"/>
        <v/>
      </c>
      <c r="P4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6" s="17"/>
    </row>
    <row r="47" spans="1:17" ht="15.5" x14ac:dyDescent="0.35">
      <c r="A47" s="4"/>
      <c r="B47" s="49"/>
      <c r="C47" s="49"/>
      <c r="D47" s="49"/>
      <c r="E47" s="13"/>
      <c r="F47" s="64"/>
      <c r="G47" s="159"/>
      <c r="H47" s="54"/>
      <c r="I47" s="54"/>
      <c r="J47" s="13"/>
      <c r="K47" s="32"/>
      <c r="L47" s="14">
        <f t="shared" si="0"/>
        <v>0</v>
      </c>
      <c r="M47" s="53">
        <f t="shared" si="3"/>
        <v>0</v>
      </c>
      <c r="N47" s="50" t="str">
        <f>IF(Table2683241[[#This Row],[Fault Type]]="PM",IF(L47&lt;=(D47-C47),"Yes","No"),"")</f>
        <v/>
      </c>
      <c r="O47" s="51" t="str">
        <f t="shared" si="2"/>
        <v/>
      </c>
      <c r="P4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row>
    <row r="48" spans="1:17" ht="15.5" x14ac:dyDescent="0.35">
      <c r="A48" s="58"/>
      <c r="B48" s="55"/>
      <c r="C48" s="56"/>
      <c r="D48" s="56"/>
      <c r="E48" s="13"/>
      <c r="F48" s="55"/>
      <c r="G48" s="55"/>
      <c r="H48" s="57"/>
      <c r="I48" s="18"/>
      <c r="J48" s="13"/>
      <c r="K48" s="32"/>
      <c r="L48" s="14">
        <f t="shared" si="0"/>
        <v>0</v>
      </c>
      <c r="M48" s="59">
        <f t="shared" si="3"/>
        <v>0</v>
      </c>
      <c r="N48" s="61" t="str">
        <f>IF(Table2683241[[#This Row],[Fault Type]]="PM",IF(L48&lt;=(D48-C48),"Yes","No"),"")</f>
        <v/>
      </c>
      <c r="O48" s="62" t="str">
        <f t="shared" si="2"/>
        <v/>
      </c>
      <c r="P4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8" s="63"/>
    </row>
    <row r="49" spans="1:17" ht="15.5" x14ac:dyDescent="0.35">
      <c r="A49" s="58"/>
      <c r="B49" s="55"/>
      <c r="C49" s="56"/>
      <c r="D49" s="56"/>
      <c r="E49" s="13"/>
      <c r="F49" s="55"/>
      <c r="G49" s="55"/>
      <c r="H49" s="57"/>
      <c r="I49" s="18"/>
      <c r="J49" s="13"/>
      <c r="K49" s="32"/>
      <c r="L49" s="14">
        <f t="shared" si="0"/>
        <v>0</v>
      </c>
      <c r="M49" s="59">
        <f t="shared" si="3"/>
        <v>0</v>
      </c>
      <c r="N49" s="61" t="str">
        <f>IF(Table2683241[[#This Row],[Fault Type]]="PM",IF(L49&lt;=(D49-C49),"Yes","No"),"")</f>
        <v/>
      </c>
      <c r="O49" s="62" t="str">
        <f t="shared" si="2"/>
        <v/>
      </c>
      <c r="P4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IF(Table2683241[[#This Row],[Fault Type]]="PM",IF(L50&lt;=(D50-C50),"Yes","No"),"")</f>
        <v/>
      </c>
      <c r="O50" s="62" t="str">
        <f t="shared" si="2"/>
        <v/>
      </c>
      <c r="P5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0" s="63"/>
    </row>
    <row r="51" spans="1:17" ht="15.5" x14ac:dyDescent="0.35">
      <c r="A51" s="58"/>
      <c r="B51" s="55"/>
      <c r="C51" s="56"/>
      <c r="D51" s="56"/>
      <c r="E51" s="13"/>
      <c r="F51" s="55"/>
      <c r="G51" s="55"/>
      <c r="H51" s="57"/>
      <c r="I51" s="18"/>
      <c r="J51" s="13"/>
      <c r="K51" s="60"/>
      <c r="L51" s="14">
        <f t="shared" si="0"/>
        <v>0</v>
      </c>
      <c r="M51" s="59">
        <f t="shared" si="3"/>
        <v>0</v>
      </c>
      <c r="N51" s="61" t="str">
        <f>IF(Table2683241[[#This Row],[Fault Type]]="PM",IF(L51&lt;=(D51-C51),"Yes","No"),"")</f>
        <v/>
      </c>
      <c r="O51" s="62" t="str">
        <f t="shared" si="2"/>
        <v/>
      </c>
      <c r="P5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1" s="63"/>
    </row>
    <row r="52" spans="1:17" ht="15.5" x14ac:dyDescent="0.35">
      <c r="A52" s="58"/>
      <c r="B52" s="55"/>
      <c r="C52" s="56"/>
      <c r="D52" s="56"/>
      <c r="E52" s="13"/>
      <c r="F52" s="55"/>
      <c r="G52" s="55"/>
      <c r="H52" s="57"/>
      <c r="I52" s="18"/>
      <c r="J52" s="13"/>
      <c r="K52" s="60"/>
      <c r="L52" s="14">
        <f t="shared" si="0"/>
        <v>0</v>
      </c>
      <c r="M52" s="59">
        <f t="shared" si="3"/>
        <v>0</v>
      </c>
      <c r="N52" s="61" t="str">
        <f>IF(Table2683241[[#This Row],[Fault Type]]="PM",IF(L52&lt;=(D52-C52),"Yes","No"),"")</f>
        <v/>
      </c>
      <c r="O52" s="62" t="str">
        <f t="shared" si="2"/>
        <v/>
      </c>
      <c r="P5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2" s="63"/>
    </row>
    <row r="53" spans="1:17" ht="15.5" x14ac:dyDescent="0.35">
      <c r="A53" s="58"/>
      <c r="B53" s="55"/>
      <c r="C53" s="56"/>
      <c r="D53" s="56"/>
      <c r="E53" s="13"/>
      <c r="F53" s="55"/>
      <c r="G53" s="55"/>
      <c r="H53" s="57"/>
      <c r="I53" s="18"/>
      <c r="J53" s="13"/>
      <c r="K53" s="60"/>
      <c r="L53" s="14">
        <f t="shared" si="0"/>
        <v>0</v>
      </c>
      <c r="M53" s="59">
        <f t="shared" si="3"/>
        <v>0</v>
      </c>
      <c r="N53" s="61" t="str">
        <f>IF(Table2683241[[#This Row],[Fault Type]]="PM",IF(L53&lt;=(D53-C53),"Yes","No"),"")</f>
        <v/>
      </c>
      <c r="O53" s="62" t="str">
        <f t="shared" si="2"/>
        <v/>
      </c>
      <c r="P5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3" s="63"/>
    </row>
    <row r="54" spans="1:17" ht="15.5" x14ac:dyDescent="0.35">
      <c r="A54" s="58"/>
      <c r="B54" s="55"/>
      <c r="C54" s="56"/>
      <c r="D54" s="56"/>
      <c r="E54" s="13"/>
      <c r="F54" s="55"/>
      <c r="G54" s="55"/>
      <c r="H54" s="57"/>
      <c r="I54" s="18"/>
      <c r="J54" s="13"/>
      <c r="K54" s="60"/>
      <c r="L54" s="14">
        <f t="shared" si="0"/>
        <v>0</v>
      </c>
      <c r="M54" s="59">
        <f t="shared" si="3"/>
        <v>0</v>
      </c>
      <c r="N54" s="61" t="str">
        <f>IF(Table2683241[[#This Row],[Fault Type]]="PM",IF(L54&lt;=(D54-C54),"Yes","No"),"")</f>
        <v/>
      </c>
      <c r="O54" s="62" t="str">
        <f t="shared" si="2"/>
        <v/>
      </c>
      <c r="P5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4" s="63"/>
    </row>
    <row r="55" spans="1:17" ht="15.5" x14ac:dyDescent="0.35">
      <c r="A55" s="58"/>
      <c r="B55" s="55"/>
      <c r="C55" s="56"/>
      <c r="D55" s="56"/>
      <c r="E55" s="13"/>
      <c r="F55" s="55"/>
      <c r="G55" s="55"/>
      <c r="H55" s="57"/>
      <c r="I55" s="18"/>
      <c r="J55" s="13"/>
      <c r="K55" s="60"/>
      <c r="L55" s="14">
        <f t="shared" si="0"/>
        <v>0</v>
      </c>
      <c r="M55" s="59">
        <f t="shared" si="3"/>
        <v>0</v>
      </c>
      <c r="N55" s="61" t="str">
        <f>IF(Table2683241[[#This Row],[Fault Type]]="PM",IF(L55&lt;=(D55-C55),"Yes","No"),"")</f>
        <v/>
      </c>
      <c r="O55" s="62" t="str">
        <f t="shared" si="2"/>
        <v/>
      </c>
      <c r="P5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5" s="63"/>
    </row>
    <row r="56" spans="1:17" ht="15.5" x14ac:dyDescent="0.35">
      <c r="A56" s="58"/>
      <c r="B56" s="55"/>
      <c r="C56" s="56"/>
      <c r="D56" s="56"/>
      <c r="E56" s="13"/>
      <c r="F56" s="55"/>
      <c r="G56" s="55"/>
      <c r="H56" s="57"/>
      <c r="I56" s="18"/>
      <c r="J56" s="13"/>
      <c r="K56" s="60"/>
      <c r="L56" s="14">
        <f t="shared" si="0"/>
        <v>0</v>
      </c>
      <c r="M56" s="59">
        <f t="shared" si="3"/>
        <v>0</v>
      </c>
      <c r="N56" s="61" t="str">
        <f>IF(Table2683241[[#This Row],[Fault Type]]="PM",IF(L56&lt;=(D56-C56),"Yes","No"),"")</f>
        <v/>
      </c>
      <c r="O56" s="62" t="str">
        <f t="shared" si="2"/>
        <v/>
      </c>
      <c r="P5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6" s="63"/>
    </row>
    <row r="57" spans="1:17" ht="15.5" x14ac:dyDescent="0.35">
      <c r="A57" s="58"/>
      <c r="B57" s="55"/>
      <c r="C57" s="56"/>
      <c r="D57" s="56"/>
      <c r="E57" s="13"/>
      <c r="F57" s="55"/>
      <c r="G57" s="55"/>
      <c r="H57" s="57"/>
      <c r="I57" s="18"/>
      <c r="J57" s="13"/>
      <c r="K57" s="60"/>
      <c r="L57" s="14">
        <f t="shared" si="0"/>
        <v>0</v>
      </c>
      <c r="M57" s="59">
        <f t="shared" si="3"/>
        <v>0</v>
      </c>
      <c r="N57" s="61" t="str">
        <f>IF(Table2683241[[#This Row],[Fault Type]]="PM",IF(L57&lt;=(D57-C57),"Yes","No"),"")</f>
        <v/>
      </c>
      <c r="O57" s="62" t="str">
        <f t="shared" si="2"/>
        <v/>
      </c>
      <c r="P5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7" s="63"/>
    </row>
    <row r="58" spans="1:17" ht="15.5" x14ac:dyDescent="0.35">
      <c r="A58" s="58"/>
      <c r="B58" s="55"/>
      <c r="C58" s="56"/>
      <c r="D58" s="56"/>
      <c r="E58" s="13"/>
      <c r="F58" s="55"/>
      <c r="G58" s="55"/>
      <c r="H58" s="57"/>
      <c r="I58" s="18"/>
      <c r="J58" s="13"/>
      <c r="K58" s="60"/>
      <c r="L58" s="14">
        <f t="shared" si="0"/>
        <v>0</v>
      </c>
      <c r="M58" s="59">
        <f t="shared" si="3"/>
        <v>0</v>
      </c>
      <c r="N58" s="61" t="str">
        <f>IF(Table2683241[[#This Row],[Fault Type]]="PM",IF(L58&lt;=(D58-C58),"Yes","No"),"")</f>
        <v/>
      </c>
      <c r="O58" s="62" t="str">
        <f t="shared" si="2"/>
        <v/>
      </c>
      <c r="P5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IF(Table2683241[[#This Row],[Fault Type]]="PM",IF(L59&lt;=(D59-C59),"Yes","No"),"")</f>
        <v/>
      </c>
      <c r="O59" s="62" t="str">
        <f t="shared" si="2"/>
        <v/>
      </c>
      <c r="P5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IF(Table2683241[[#This Row],[Fault Type]]="PM",IF(L60&lt;=(D60-C60),"Yes","No"),"")</f>
        <v/>
      </c>
      <c r="O60" s="62" t="str">
        <f t="shared" si="2"/>
        <v/>
      </c>
      <c r="P6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IF(Table2683241[[#This Row],[Fault Type]]="PM",IF(L61&lt;=(D61-C61),"Yes","No"),"")</f>
        <v/>
      </c>
      <c r="O61" s="62" t="str">
        <f t="shared" si="2"/>
        <v/>
      </c>
      <c r="P6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IF(Table2683241[[#This Row],[Fault Type]]="PM",IF(L62&lt;=(D62-C62),"Yes","No"),"")</f>
        <v/>
      </c>
      <c r="O62" s="62" t="str">
        <f t="shared" si="2"/>
        <v/>
      </c>
      <c r="P6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IF(Table2683241[[#This Row],[Fault Type]]="PM",IF(L63&lt;=(D63-C63),"Yes","No"),"")</f>
        <v/>
      </c>
      <c r="O63" s="62" t="str">
        <f t="shared" si="2"/>
        <v/>
      </c>
      <c r="P6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IF(Table2683241[[#This Row],[Fault Type]]="PM",IF(L64&lt;=(D64-C64),"Yes","No"),"")</f>
        <v/>
      </c>
      <c r="O64" s="62" t="str">
        <f t="shared" si="2"/>
        <v/>
      </c>
      <c r="P6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IF(Table2683241[[#This Row],[Fault Type]]="PM",IF(L65&lt;=(D65-C65),"Yes","No"),"")</f>
        <v/>
      </c>
      <c r="O65" s="62" t="str">
        <f t="shared" si="2"/>
        <v/>
      </c>
      <c r="P6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5" s="63"/>
    </row>
    <row r="66" spans="1:17" ht="15.5" x14ac:dyDescent="0.35">
      <c r="A66" s="58"/>
      <c r="B66" s="55"/>
      <c r="C66" s="56"/>
      <c r="D66" s="56"/>
      <c r="E66" s="13"/>
      <c r="F66" s="55"/>
      <c r="G66" s="55"/>
      <c r="H66" s="57"/>
      <c r="I66" s="18"/>
      <c r="J66" s="13"/>
      <c r="K66" s="60"/>
      <c r="L66" s="14">
        <f t="shared" ref="L66:L79" si="4">J66-E66</f>
        <v>0</v>
      </c>
      <c r="M66" s="59">
        <f t="shared" si="3"/>
        <v>0</v>
      </c>
      <c r="N66" s="61" t="str">
        <f>IF(Table2683241[[#This Row],[Fault Type]]="PM",IF(L66&lt;=(D66-C66),"Yes","No"),"")</f>
        <v/>
      </c>
      <c r="O66" s="62" t="str">
        <f t="shared" ref="O66:O79" si="5">IF(N66="No",(L66-(D66-C66)),"")</f>
        <v/>
      </c>
      <c r="P6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6" s="63"/>
    </row>
    <row r="67" spans="1:17" ht="15.5" x14ac:dyDescent="0.35">
      <c r="A67" s="58"/>
      <c r="B67" s="55"/>
      <c r="C67" s="56"/>
      <c r="D67" s="56"/>
      <c r="E67" s="13"/>
      <c r="F67" s="55"/>
      <c r="G67" s="55"/>
      <c r="H67" s="57"/>
      <c r="I67" s="18"/>
      <c r="J67" s="13"/>
      <c r="K67" s="60"/>
      <c r="L67" s="14">
        <f t="shared" si="4"/>
        <v>0</v>
      </c>
      <c r="M67" s="59">
        <f t="shared" si="3"/>
        <v>0</v>
      </c>
      <c r="N67" s="61" t="str">
        <f>IF(Table2683241[[#This Row],[Fault Type]]="PM",IF(L67&lt;=(D67-C67),"Yes","No"),"")</f>
        <v/>
      </c>
      <c r="O67" s="62" t="str">
        <f t="shared" si="5"/>
        <v/>
      </c>
      <c r="P6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IF(Table2683241[[#This Row],[Fault Type]]="PM",IF(L68&lt;=(D68-C68),"Yes","No"),"")</f>
        <v/>
      </c>
      <c r="O68" s="62" t="str">
        <f t="shared" si="5"/>
        <v/>
      </c>
      <c r="P6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IF(Table2683241[[#This Row],[Fault Type]]="PM",IF(L69&lt;=(D69-C69),"Yes","No"),"")</f>
        <v/>
      </c>
      <c r="O69" s="62" t="str">
        <f t="shared" si="5"/>
        <v/>
      </c>
      <c r="P6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IF(Table2683241[[#This Row],[Fault Type]]="PM",IF(L70&lt;=(D70-C70),"Yes","No"),"")</f>
        <v/>
      </c>
      <c r="O70" s="62" t="str">
        <f t="shared" si="5"/>
        <v/>
      </c>
      <c r="P70"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IF(Table2683241[[#This Row],[Fault Type]]="PM",IF(L71&lt;=(D71-C71),"Yes","No"),"")</f>
        <v/>
      </c>
      <c r="O71" s="62" t="str">
        <f t="shared" si="5"/>
        <v/>
      </c>
      <c r="P71"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IF(Table2683241[[#This Row],[Fault Type]]="PM",IF(L72&lt;=(D72-C72),"Yes","No"),"")</f>
        <v/>
      </c>
      <c r="O72" s="62" t="str">
        <f t="shared" si="5"/>
        <v/>
      </c>
      <c r="P72"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IF(Table2683241[[#This Row],[Fault Type]]="PM",IF(L73&lt;=(D73-C73),"Yes","No"),"")</f>
        <v/>
      </c>
      <c r="O73" s="62" t="str">
        <f t="shared" si="5"/>
        <v/>
      </c>
      <c r="P73"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IF(Table2683241[[#This Row],[Fault Type]]="PM",IF(L74&lt;=(D74-C74),"Yes","No"),"")</f>
        <v/>
      </c>
      <c r="O74" s="62" t="str">
        <f t="shared" si="5"/>
        <v/>
      </c>
      <c r="P74"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IF(Table2683241[[#This Row],[Fault Type]]="PM",IF(L75&lt;=(D75-C75),"Yes","No"),"")</f>
        <v/>
      </c>
      <c r="O75" s="62" t="str">
        <f t="shared" si="5"/>
        <v/>
      </c>
      <c r="P75"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IF(Table2683241[[#This Row],[Fault Type]]="PM",IF(L76&lt;=(D76-C76),"Yes","No"),"")</f>
        <v/>
      </c>
      <c r="O76" s="62" t="str">
        <f t="shared" si="5"/>
        <v/>
      </c>
      <c r="P76"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IF(Table2683241[[#This Row],[Fault Type]]="PM",IF(L77&lt;=(D77-C77),"Yes","No"),"")</f>
        <v/>
      </c>
      <c r="O77" s="62" t="str">
        <f t="shared" si="5"/>
        <v/>
      </c>
      <c r="P77"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IF(Table2683241[[#This Row],[Fault Type]]="PM",IF(L78&lt;=(D78-C78),"Yes","No"),"")</f>
        <v/>
      </c>
      <c r="O78" s="62" t="str">
        <f t="shared" si="5"/>
        <v/>
      </c>
      <c r="P78"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IF(Table2683241[[#This Row],[Fault Type]]="PM",IF(L79&lt;=(D79-C79),"Yes","No"),"")</f>
        <v/>
      </c>
      <c r="O79" s="62" t="str">
        <f t="shared" si="5"/>
        <v/>
      </c>
      <c r="P79" s="30" t="str">
        <f>IF(AND(Table2683241[[#This Row],[Name of Feeder]]&lt;&gt;"",OR(Table2683241[[#This Row],[Fault Type]]="TL",Table2683241[[#This Row],[Fault Type]]="TS",Table2683241[[#This Row],[Fault Type]]="UF",Table2683241[[#This Row],[Fault Type]]="SE")),(IF(AND(VLOOKUP(Table2683241[[#This Row],[Name of Feeder]],Main!D:E,2,0)="URBAN",ISNUMBER(SEARCH("33KV",Table2683241[[#This Row],[Name of Feeder]]))),IF(AND(Table2683241[[#This Row],[Outage Duration]]&gt;0,Table2683241[[#This Row],[Outage Duration]]&lt;=0.25),"Yes","No"),IF(AND(VLOOKUP(Table2683241[[#This Row],[Name of Feeder]],Main!D:E,2,0)="RURAL",ISNUMBER(SEARCH("33KV",Table2683241[[#This Row],[Name of Feeder]]))),IF(AND(Table2683241[[#This Row],[Outage Duration]]&gt;0,Table2683241[[#This Row],[Outage Duration]]&lt;=0.33),"Yes","No"),IF(AND(VLOOKUP(Table2683241[[#This Row],[Name of Feeder]],Main!D:E,2,0)="RURAL",ISNUMBER(SEARCH("11KV",Table2683241[[#This Row],[Name of Feeder]]))),IF(AND(Table2683241[[#This Row],[Outage Duration]]&gt;0,Table2683241[[#This Row],[Outage Duration]]&lt;=0.17),"Yes","No"),IF(AND(VLOOKUP(Table2683241[[#This Row],[Name of Feeder]],Main!D:E,2,0)="URBAN",ISNUMBER(SEARCH("11KV",Table2683241[[#This Row],[Name of Feeder]]))),IF(AND(Table2683241[[#This Row],[Outage Duration]]&gt;0,Table2683241[[#This Row],[Outage Duration]]&lt;=0.17),"Yes","No"),""))))),"")</f>
        <v/>
      </c>
      <c r="Q79"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D00-000000000000}">
          <x14:formula1>
            <xm:f>Main!$F$226:$F$228</xm:f>
          </x14:formula1>
          <xm:sqref>I2:I79</xm:sqref>
        </x14:dataValidation>
        <x14:dataValidation type="list" allowBlank="1" showInputMessage="1" showErrorMessage="1" xr:uid="{00000000-0002-0000-1D00-000001000000}">
          <x14:formula1>
            <xm:f>Main!$D$2:$D$196</xm:f>
          </x14:formula1>
          <xm:sqref>A2:A79</xm:sqref>
        </x14:dataValidation>
        <x14:dataValidation type="list" allowBlank="1" showInputMessage="1" showErrorMessage="1" xr:uid="{00000000-0002-0000-1D00-000002000000}">
          <x14:formula1>
            <xm:f>Main!F$222:F$225</xm:f>
          </x14:formula1>
          <xm:sqref>G2:G79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79"/>
  <sheetViews>
    <sheetView topLeftCell="C64" zoomScale="70" zoomScaleNormal="70" workbookViewId="0">
      <selection activeCell="Q10" sqref="Q10"/>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5" si="0">J2-E2</f>
        <v>0</v>
      </c>
      <c r="M2" s="31">
        <f t="shared" ref="M2:M24" si="1">L2*F2</f>
        <v>0</v>
      </c>
      <c r="N2" s="15" t="str">
        <f>IF(Table2683240[[#This Row],[Fault Type]]="PM",IF(L2&lt;=(D2-C2),"Yes","No"),"")</f>
        <v/>
      </c>
      <c r="O2" s="16" t="str">
        <f t="shared" ref="O2:O65" si="2">IF(N2="No",(L2-(D2-C2)),"")</f>
        <v/>
      </c>
      <c r="P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 s="17"/>
    </row>
    <row r="3" spans="1:17" ht="15.5" x14ac:dyDescent="0.35">
      <c r="A3" s="4"/>
      <c r="B3" s="159"/>
      <c r="C3" s="13"/>
      <c r="D3" s="13"/>
      <c r="E3" s="13"/>
      <c r="F3" s="12"/>
      <c r="G3" s="159"/>
      <c r="H3" s="27"/>
      <c r="I3" s="27"/>
      <c r="J3" s="13"/>
      <c r="K3" s="32"/>
      <c r="L3" s="14">
        <f t="shared" si="0"/>
        <v>0</v>
      </c>
      <c r="M3" s="31">
        <f t="shared" si="1"/>
        <v>0</v>
      </c>
      <c r="N3" s="15" t="str">
        <f>IF(Table2683240[[#This Row],[Fault Type]]="PM",IF(L3&lt;=(D3-C3),"Yes","No"),"")</f>
        <v/>
      </c>
      <c r="O3" s="16" t="str">
        <f t="shared" si="2"/>
        <v/>
      </c>
      <c r="P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 s="17"/>
    </row>
    <row r="4" spans="1:17" ht="15.5" x14ac:dyDescent="0.35">
      <c r="A4" s="4"/>
      <c r="B4" s="12"/>
      <c r="C4" s="13"/>
      <c r="D4" s="13"/>
      <c r="E4" s="13"/>
      <c r="F4" s="12"/>
      <c r="G4" s="159"/>
      <c r="H4" s="12"/>
      <c r="I4" s="12"/>
      <c r="J4" s="13"/>
      <c r="K4" s="32"/>
      <c r="L4" s="14">
        <f t="shared" si="0"/>
        <v>0</v>
      </c>
      <c r="M4" s="31">
        <f t="shared" si="1"/>
        <v>0</v>
      </c>
      <c r="N4" s="15" t="str">
        <f>IF(Table2683240[[#This Row],[Fault Type]]="PM",IF(L4&lt;=(D4-C4),"Yes","No"),"")</f>
        <v/>
      </c>
      <c r="O4" s="16" t="str">
        <f t="shared" si="2"/>
        <v/>
      </c>
      <c r="P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 s="17"/>
    </row>
    <row r="5" spans="1:17" ht="15.5" x14ac:dyDescent="0.35">
      <c r="A5" s="4"/>
      <c r="B5" s="12"/>
      <c r="C5" s="13"/>
      <c r="D5" s="13"/>
      <c r="E5" s="13"/>
      <c r="F5" s="12"/>
      <c r="G5" s="159"/>
      <c r="H5" s="12"/>
      <c r="I5" s="12"/>
      <c r="J5" s="13"/>
      <c r="K5" s="32"/>
      <c r="L5" s="14">
        <f t="shared" si="0"/>
        <v>0</v>
      </c>
      <c r="M5" s="31">
        <f t="shared" si="1"/>
        <v>0</v>
      </c>
      <c r="N5" s="15" t="str">
        <f>IF(Table2683240[[#This Row],[Fault Type]]="PM",IF(L5&lt;=(D5-C5),"Yes","No"),"")</f>
        <v/>
      </c>
      <c r="O5" s="16" t="str">
        <f t="shared" si="2"/>
        <v/>
      </c>
      <c r="P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 s="17"/>
    </row>
    <row r="6" spans="1:17" ht="15.5" x14ac:dyDescent="0.35">
      <c r="A6" s="4"/>
      <c r="B6" s="12"/>
      <c r="C6" s="13"/>
      <c r="D6" s="13"/>
      <c r="E6" s="13"/>
      <c r="F6" s="12"/>
      <c r="G6" s="159"/>
      <c r="H6" s="12"/>
      <c r="I6" s="12"/>
      <c r="J6" s="13"/>
      <c r="K6" s="32"/>
      <c r="L6" s="14">
        <f t="shared" si="0"/>
        <v>0</v>
      </c>
      <c r="M6" s="31">
        <f t="shared" si="1"/>
        <v>0</v>
      </c>
      <c r="N6" s="15" t="str">
        <f>IF(Table2683240[[#This Row],[Fault Type]]="PM",IF(L6&lt;=(D6-C6),"Yes","No"),"")</f>
        <v/>
      </c>
      <c r="O6" s="16" t="str">
        <f t="shared" si="2"/>
        <v/>
      </c>
      <c r="P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 s="17"/>
    </row>
    <row r="7" spans="1:17" ht="15.5" x14ac:dyDescent="0.35">
      <c r="A7" s="4"/>
      <c r="B7" s="12"/>
      <c r="C7" s="13"/>
      <c r="D7" s="13"/>
      <c r="E7" s="13"/>
      <c r="F7" s="12"/>
      <c r="G7" s="159"/>
      <c r="H7" s="12"/>
      <c r="I7" s="12"/>
      <c r="J7" s="13"/>
      <c r="K7" s="32"/>
      <c r="L7" s="14">
        <f t="shared" si="0"/>
        <v>0</v>
      </c>
      <c r="M7" s="31">
        <f t="shared" si="1"/>
        <v>0</v>
      </c>
      <c r="N7" s="15" t="str">
        <f>IF(Table2683240[[#This Row],[Fault Type]]="PM",IF(L7&lt;=(D7-C7),"Yes","No"),"")</f>
        <v/>
      </c>
      <c r="O7" s="16" t="str">
        <f t="shared" si="2"/>
        <v/>
      </c>
      <c r="P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 s="17"/>
    </row>
    <row r="8" spans="1:17" ht="15.5" x14ac:dyDescent="0.35">
      <c r="A8" s="4"/>
      <c r="B8" s="12"/>
      <c r="C8" s="13"/>
      <c r="D8" s="13"/>
      <c r="E8" s="13"/>
      <c r="F8" s="12"/>
      <c r="G8" s="159"/>
      <c r="H8" s="12"/>
      <c r="I8" s="12"/>
      <c r="J8" s="13"/>
      <c r="K8" s="32"/>
      <c r="L8" s="14">
        <f t="shared" si="0"/>
        <v>0</v>
      </c>
      <c r="M8" s="31">
        <f t="shared" si="1"/>
        <v>0</v>
      </c>
      <c r="N8" s="15" t="str">
        <f>IF(Table2683240[[#This Row],[Fault Type]]="PM",IF(L8&lt;=(D8-C8),"Yes","No"),"")</f>
        <v/>
      </c>
      <c r="O8" s="16" t="str">
        <f t="shared" si="2"/>
        <v/>
      </c>
      <c r="P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8" s="130"/>
    </row>
    <row r="9" spans="1:17" ht="15.5" x14ac:dyDescent="0.35">
      <c r="A9" s="4"/>
      <c r="B9" s="12"/>
      <c r="C9" s="13"/>
      <c r="D9" s="13"/>
      <c r="E9" s="13"/>
      <c r="F9" s="12"/>
      <c r="G9" s="159"/>
      <c r="H9" s="12"/>
      <c r="I9" s="12"/>
      <c r="J9" s="13"/>
      <c r="K9" s="32"/>
      <c r="L9" s="14">
        <f t="shared" si="0"/>
        <v>0</v>
      </c>
      <c r="M9" s="31">
        <f t="shared" si="1"/>
        <v>0</v>
      </c>
      <c r="N9" s="15" t="str">
        <f>IF(Table2683240[[#This Row],[Fault Type]]="PM",IF(L9&lt;=(D9-C9),"Yes","No"),"")</f>
        <v/>
      </c>
      <c r="O9" s="16" t="str">
        <f t="shared" si="2"/>
        <v/>
      </c>
      <c r="P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9" s="130"/>
    </row>
    <row r="10" spans="1:17" ht="15.5" x14ac:dyDescent="0.35">
      <c r="A10" s="4"/>
      <c r="B10" s="12"/>
      <c r="C10" s="13"/>
      <c r="D10" s="13"/>
      <c r="E10" s="13"/>
      <c r="F10" s="12"/>
      <c r="G10" s="159"/>
      <c r="H10" s="12"/>
      <c r="I10" s="12"/>
      <c r="J10" s="13"/>
      <c r="K10" s="32"/>
      <c r="L10" s="14">
        <f t="shared" si="0"/>
        <v>0</v>
      </c>
      <c r="M10" s="31">
        <f t="shared" si="1"/>
        <v>0</v>
      </c>
      <c r="N10" s="15" t="str">
        <f>IF(Table2683240[[#This Row],[Fault Type]]="PM",IF(L10&lt;=(D10-C10),"Yes","No"),"")</f>
        <v/>
      </c>
      <c r="O10" s="16" t="str">
        <f t="shared" si="2"/>
        <v/>
      </c>
      <c r="P1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0" s="130"/>
    </row>
    <row r="11" spans="1:17" ht="15.5" x14ac:dyDescent="0.35">
      <c r="A11" s="4"/>
      <c r="B11" s="12"/>
      <c r="C11" s="13"/>
      <c r="D11" s="13"/>
      <c r="E11" s="13"/>
      <c r="F11" s="12"/>
      <c r="G11" s="159"/>
      <c r="H11" s="12"/>
      <c r="I11" s="12"/>
      <c r="J11" s="13"/>
      <c r="K11" s="32"/>
      <c r="L11" s="14">
        <f t="shared" si="0"/>
        <v>0</v>
      </c>
      <c r="M11" s="31">
        <f t="shared" si="1"/>
        <v>0</v>
      </c>
      <c r="N11" s="15" t="str">
        <f>IF(Table2683240[[#This Row],[Fault Type]]="PM",IF(L11&lt;=(D11-C11),"Yes","No"),"")</f>
        <v/>
      </c>
      <c r="O11" s="16" t="str">
        <f t="shared" si="2"/>
        <v/>
      </c>
      <c r="P1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1" s="130"/>
    </row>
    <row r="12" spans="1:17" ht="15.5" x14ac:dyDescent="0.35">
      <c r="A12" s="4"/>
      <c r="B12" s="12"/>
      <c r="C12" s="13"/>
      <c r="D12" s="13"/>
      <c r="E12" s="13"/>
      <c r="F12" s="12"/>
      <c r="G12" s="159"/>
      <c r="H12" s="12"/>
      <c r="I12" s="12"/>
      <c r="J12" s="13"/>
      <c r="K12" s="32"/>
      <c r="L12" s="14">
        <f t="shared" si="0"/>
        <v>0</v>
      </c>
      <c r="M12" s="31">
        <f t="shared" si="1"/>
        <v>0</v>
      </c>
      <c r="N12" s="15" t="str">
        <f>IF(Table2683240[[#This Row],[Fault Type]]="PM",IF(L12&lt;=(D12-C12),"Yes","No"),"")</f>
        <v/>
      </c>
      <c r="O12" s="16" t="str">
        <f t="shared" si="2"/>
        <v/>
      </c>
      <c r="P1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2" s="130"/>
    </row>
    <row r="13" spans="1:17" ht="15.5" x14ac:dyDescent="0.35">
      <c r="A13" s="4"/>
      <c r="B13" s="12"/>
      <c r="C13" s="13"/>
      <c r="D13" s="13"/>
      <c r="E13" s="13"/>
      <c r="F13" s="12"/>
      <c r="G13" s="159"/>
      <c r="H13" s="12"/>
      <c r="I13" s="12"/>
      <c r="J13" s="13"/>
      <c r="K13" s="32"/>
      <c r="L13" s="14">
        <f t="shared" si="0"/>
        <v>0</v>
      </c>
      <c r="M13" s="31">
        <f t="shared" si="1"/>
        <v>0</v>
      </c>
      <c r="N13" s="15" t="str">
        <f>IF(Table2683240[[#This Row],[Fault Type]]="PM",IF(L13&lt;=(D13-C13),"Yes","No"),"")</f>
        <v/>
      </c>
      <c r="O13" s="16" t="str">
        <f t="shared" si="2"/>
        <v/>
      </c>
      <c r="P1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3" s="130"/>
    </row>
    <row r="14" spans="1:17" ht="15.5" x14ac:dyDescent="0.35">
      <c r="A14" s="4"/>
      <c r="B14" s="12"/>
      <c r="C14" s="13"/>
      <c r="D14" s="13"/>
      <c r="E14" s="13"/>
      <c r="F14" s="12"/>
      <c r="G14" s="159"/>
      <c r="H14" s="12"/>
      <c r="I14" s="12"/>
      <c r="J14" s="13"/>
      <c r="K14" s="32"/>
      <c r="L14" s="14">
        <f t="shared" si="0"/>
        <v>0</v>
      </c>
      <c r="M14" s="31">
        <f t="shared" si="1"/>
        <v>0</v>
      </c>
      <c r="N14" s="15" t="str">
        <f>IF(Table2683240[[#This Row],[Fault Type]]="PM",IF(L14&lt;=(D14-C14),"Yes","No"),"")</f>
        <v/>
      </c>
      <c r="O14" s="16" t="str">
        <f t="shared" si="2"/>
        <v/>
      </c>
      <c r="P1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4" s="130"/>
    </row>
    <row r="15" spans="1:17" ht="15.5" x14ac:dyDescent="0.35">
      <c r="A15" s="4"/>
      <c r="B15" s="12"/>
      <c r="C15" s="13"/>
      <c r="D15" s="13"/>
      <c r="E15" s="13"/>
      <c r="F15" s="12"/>
      <c r="G15" s="159"/>
      <c r="H15" s="12"/>
      <c r="I15" s="12"/>
      <c r="J15" s="13"/>
      <c r="K15" s="32"/>
      <c r="L15" s="14">
        <f t="shared" si="0"/>
        <v>0</v>
      </c>
      <c r="M15" s="31">
        <f t="shared" si="1"/>
        <v>0</v>
      </c>
      <c r="N15" s="15" t="str">
        <f>IF(Table2683240[[#This Row],[Fault Type]]="PM",IF(L15&lt;=(D15-C15),"Yes","No"),"")</f>
        <v/>
      </c>
      <c r="O15" s="16" t="str">
        <f t="shared" si="2"/>
        <v/>
      </c>
      <c r="P1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5" s="130"/>
    </row>
    <row r="16" spans="1:17" ht="15.5" x14ac:dyDescent="0.35">
      <c r="A16" s="4"/>
      <c r="B16" s="12"/>
      <c r="C16" s="13"/>
      <c r="D16" s="13"/>
      <c r="E16" s="13"/>
      <c r="F16" s="18"/>
      <c r="G16" s="159"/>
      <c r="H16" s="18"/>
      <c r="I16" s="18"/>
      <c r="J16" s="13"/>
      <c r="K16" s="32"/>
      <c r="L16" s="14">
        <f t="shared" si="0"/>
        <v>0</v>
      </c>
      <c r="M16" s="31">
        <f t="shared" si="1"/>
        <v>0</v>
      </c>
      <c r="N16" s="15" t="str">
        <f>IF(Table2683240[[#This Row],[Fault Type]]="PM",IF(L16&lt;=(D16-C16),"Yes","No"),"")</f>
        <v/>
      </c>
      <c r="O16" s="16" t="str">
        <f t="shared" si="2"/>
        <v/>
      </c>
      <c r="P1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6" s="130"/>
    </row>
    <row r="17" spans="1:17" ht="15.5" x14ac:dyDescent="0.35">
      <c r="A17" s="4"/>
      <c r="B17" s="12"/>
      <c r="C17" s="13"/>
      <c r="D17" s="13"/>
      <c r="E17" s="13"/>
      <c r="F17" s="12"/>
      <c r="G17" s="159"/>
      <c r="H17" s="12"/>
      <c r="I17" s="12"/>
      <c r="J17" s="13"/>
      <c r="K17" s="32"/>
      <c r="L17" s="14">
        <f t="shared" si="0"/>
        <v>0</v>
      </c>
      <c r="M17" s="31">
        <f t="shared" si="1"/>
        <v>0</v>
      </c>
      <c r="N17" s="15" t="str">
        <f>IF(Table2683240[[#This Row],[Fault Type]]="PM",IF(L17&lt;=(D17-C17),"Yes","No"),"")</f>
        <v/>
      </c>
      <c r="O17" s="16" t="str">
        <f t="shared" si="2"/>
        <v/>
      </c>
      <c r="P1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7" s="130"/>
    </row>
    <row r="18" spans="1:17" ht="15.5" x14ac:dyDescent="0.35">
      <c r="A18" s="158"/>
      <c r="B18" s="12"/>
      <c r="C18" s="13"/>
      <c r="D18" s="13"/>
      <c r="E18" s="13"/>
      <c r="F18" s="18"/>
      <c r="G18" s="159"/>
      <c r="H18" s="18"/>
      <c r="I18" s="18"/>
      <c r="J18" s="13"/>
      <c r="K18" s="32"/>
      <c r="L18" s="14">
        <f t="shared" si="0"/>
        <v>0</v>
      </c>
      <c r="M18" s="31">
        <f t="shared" si="1"/>
        <v>0</v>
      </c>
      <c r="N18" s="15" t="str">
        <f>IF(Table2683240[[#This Row],[Fault Type]]="PM",IF(L18&lt;=(D18-C18),"Yes","No"),"")</f>
        <v/>
      </c>
      <c r="O18" s="16" t="str">
        <f t="shared" si="2"/>
        <v/>
      </c>
      <c r="P1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8" s="130"/>
    </row>
    <row r="19" spans="1:17" ht="15.5" x14ac:dyDescent="0.35">
      <c r="A19" s="4"/>
      <c r="B19" s="12"/>
      <c r="C19" s="13"/>
      <c r="D19" s="13"/>
      <c r="E19" s="13"/>
      <c r="F19" s="18"/>
      <c r="G19" s="159"/>
      <c r="H19" s="18"/>
      <c r="I19" s="18"/>
      <c r="J19" s="13"/>
      <c r="K19" s="32"/>
      <c r="L19" s="14">
        <f t="shared" si="0"/>
        <v>0</v>
      </c>
      <c r="M19" s="31">
        <f t="shared" si="1"/>
        <v>0</v>
      </c>
      <c r="N19" s="15" t="str">
        <f>IF(Table2683240[[#This Row],[Fault Type]]="PM",IF(L19&lt;=(D19-C19),"Yes","No"),"")</f>
        <v/>
      </c>
      <c r="O19" s="16" t="str">
        <f t="shared" si="2"/>
        <v/>
      </c>
      <c r="P1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19" s="130"/>
    </row>
    <row r="20" spans="1:17" ht="15.5" x14ac:dyDescent="0.35">
      <c r="A20" s="4"/>
      <c r="B20" s="12"/>
      <c r="C20" s="13"/>
      <c r="D20" s="13"/>
      <c r="E20" s="13"/>
      <c r="G20" s="159"/>
      <c r="H20" s="54"/>
      <c r="I20" s="54"/>
      <c r="J20" s="13"/>
      <c r="K20" s="32"/>
      <c r="L20" s="14">
        <f t="shared" si="0"/>
        <v>0</v>
      </c>
      <c r="M20" s="31">
        <f t="shared" si="1"/>
        <v>0</v>
      </c>
      <c r="N20" s="15" t="str">
        <f>IF(Table2683240[[#This Row],[Fault Type]]="PM",IF(L20&lt;=(D20-C20),"Yes","No"),"")</f>
        <v/>
      </c>
      <c r="O20" s="16" t="str">
        <f t="shared" si="2"/>
        <v/>
      </c>
      <c r="P2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0" s="130"/>
    </row>
    <row r="21" spans="1:17" ht="15.5" x14ac:dyDescent="0.35">
      <c r="A21" s="4"/>
      <c r="B21" s="12"/>
      <c r="C21" s="13"/>
      <c r="D21" s="13"/>
      <c r="E21" s="13"/>
      <c r="F21" s="18"/>
      <c r="G21" s="159"/>
      <c r="H21" s="18"/>
      <c r="I21" s="18"/>
      <c r="J21" s="13"/>
      <c r="K21" s="32"/>
      <c r="L21" s="14">
        <f t="shared" si="0"/>
        <v>0</v>
      </c>
      <c r="M21" s="31">
        <f t="shared" si="1"/>
        <v>0</v>
      </c>
      <c r="N21" s="15" t="str">
        <f>IF(Table2683240[[#This Row],[Fault Type]]="PM",IF(L21&lt;=(D21-C21),"Yes","No"),"")</f>
        <v/>
      </c>
      <c r="O21" s="16" t="str">
        <f t="shared" si="2"/>
        <v/>
      </c>
      <c r="P2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1" s="130"/>
    </row>
    <row r="22" spans="1:17" ht="15.5" x14ac:dyDescent="0.35">
      <c r="A22" s="4"/>
      <c r="B22" s="12"/>
      <c r="C22" s="13"/>
      <c r="D22" s="13"/>
      <c r="E22" s="13"/>
      <c r="F22" s="18"/>
      <c r="G22" s="159"/>
      <c r="H22" s="18"/>
      <c r="I22" s="18"/>
      <c r="J22" s="13"/>
      <c r="K22" s="32"/>
      <c r="L22" s="14">
        <f t="shared" si="0"/>
        <v>0</v>
      </c>
      <c r="M22" s="31">
        <f t="shared" si="1"/>
        <v>0</v>
      </c>
      <c r="N22" s="15" t="str">
        <f>IF(Table2683240[[#This Row],[Fault Type]]="PM",IF(L22&lt;=(D22-C22),"Yes","No"),"")</f>
        <v/>
      </c>
      <c r="O22" s="16" t="str">
        <f t="shared" si="2"/>
        <v/>
      </c>
      <c r="P2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2" s="130"/>
    </row>
    <row r="23" spans="1:17" ht="15.5" x14ac:dyDescent="0.35">
      <c r="A23" s="4"/>
      <c r="B23" s="12"/>
      <c r="C23" s="13"/>
      <c r="D23" s="13"/>
      <c r="E23" s="13"/>
      <c r="F23" s="18"/>
      <c r="G23" s="159"/>
      <c r="H23" s="18"/>
      <c r="I23" s="18"/>
      <c r="J23" s="13"/>
      <c r="K23" s="32"/>
      <c r="L23" s="14">
        <f t="shared" si="0"/>
        <v>0</v>
      </c>
      <c r="M23" s="31">
        <f t="shared" si="1"/>
        <v>0</v>
      </c>
      <c r="N23" s="15" t="str">
        <f>IF(Table2683240[[#This Row],[Fault Type]]="PM",IF(L23&lt;=(D23-C23),"Yes","No"),"")</f>
        <v/>
      </c>
      <c r="O23" s="16" t="str">
        <f t="shared" si="2"/>
        <v/>
      </c>
      <c r="P2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3" s="130"/>
    </row>
    <row r="24" spans="1:17" ht="15.5" x14ac:dyDescent="0.35">
      <c r="A24" s="4"/>
      <c r="B24" s="12"/>
      <c r="C24" s="13"/>
      <c r="D24" s="13"/>
      <c r="E24" s="13"/>
      <c r="F24" s="18"/>
      <c r="G24" s="159"/>
      <c r="H24" s="18"/>
      <c r="I24" s="18"/>
      <c r="J24" s="13"/>
      <c r="K24" s="32"/>
      <c r="L24" s="14">
        <f t="shared" si="0"/>
        <v>0</v>
      </c>
      <c r="M24" s="31">
        <f t="shared" si="1"/>
        <v>0</v>
      </c>
      <c r="N24" s="15" t="str">
        <f>IF(Table2683240[[#This Row],[Fault Type]]="PM",IF(L24&lt;=(D24-C24),"Yes","No"),"")</f>
        <v/>
      </c>
      <c r="O24" s="16" t="str">
        <f t="shared" si="2"/>
        <v/>
      </c>
      <c r="P2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4" s="130"/>
    </row>
    <row r="25" spans="1:17" ht="15.5" x14ac:dyDescent="0.35">
      <c r="A25" s="4"/>
      <c r="B25" s="12"/>
      <c r="C25" s="13"/>
      <c r="D25" s="13"/>
      <c r="E25" s="13"/>
      <c r="F25" s="18"/>
      <c r="G25" s="159"/>
      <c r="H25" s="18"/>
      <c r="I25" s="18"/>
      <c r="J25" s="13"/>
      <c r="K25" s="32"/>
      <c r="L25" s="14">
        <f t="shared" si="0"/>
        <v>0</v>
      </c>
      <c r="M25" s="31">
        <f t="shared" ref="M25:M79" si="3">L25*F25</f>
        <v>0</v>
      </c>
      <c r="N25" s="15" t="str">
        <f>IF(Table2683240[[#This Row],[Fault Type]]="PM",IF(L25&lt;=(D25-C25),"Yes","No"),"")</f>
        <v/>
      </c>
      <c r="O25" s="16" t="str">
        <f t="shared" si="2"/>
        <v/>
      </c>
      <c r="P2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5" s="130"/>
    </row>
    <row r="26" spans="1:17" ht="15.5" x14ac:dyDescent="0.35">
      <c r="A26" s="4"/>
      <c r="B26" s="12"/>
      <c r="C26" s="13"/>
      <c r="D26" s="13"/>
      <c r="E26" s="13"/>
      <c r="F26" s="12"/>
      <c r="G26" s="159"/>
      <c r="H26" s="12"/>
      <c r="I26" s="12"/>
      <c r="J26" s="13"/>
      <c r="K26" s="32"/>
      <c r="L26" s="14">
        <f t="shared" si="0"/>
        <v>0</v>
      </c>
      <c r="M26" s="31">
        <f t="shared" si="3"/>
        <v>0</v>
      </c>
      <c r="N26" s="15" t="str">
        <f>IF(Table2683240[[#This Row],[Fault Type]]="PM",IF(L26&lt;=(D26-C26),"Yes","No"),"")</f>
        <v/>
      </c>
      <c r="O26" s="16" t="str">
        <f t="shared" si="2"/>
        <v/>
      </c>
      <c r="P2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6" s="130"/>
    </row>
    <row r="27" spans="1:17" ht="15.5" x14ac:dyDescent="0.35">
      <c r="A27" s="4"/>
      <c r="B27" s="12"/>
      <c r="C27" s="13"/>
      <c r="D27" s="13"/>
      <c r="E27" s="13"/>
      <c r="F27" s="18"/>
      <c r="G27" s="159"/>
      <c r="H27" s="18"/>
      <c r="I27" s="18"/>
      <c r="J27" s="13"/>
      <c r="K27" s="32"/>
      <c r="L27" s="14">
        <f t="shared" si="0"/>
        <v>0</v>
      </c>
      <c r="M27" s="31">
        <f t="shared" si="3"/>
        <v>0</v>
      </c>
      <c r="N27" s="15" t="str">
        <f>IF(Table2683240[[#This Row],[Fault Type]]="PM",IF(L27&lt;=(D27-C27),"Yes","No"),"")</f>
        <v/>
      </c>
      <c r="O27" s="16" t="str">
        <f t="shared" si="2"/>
        <v/>
      </c>
      <c r="P2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7" s="130"/>
    </row>
    <row r="28" spans="1:17" ht="15.5" x14ac:dyDescent="0.35">
      <c r="A28" s="4"/>
      <c r="B28" s="12"/>
      <c r="C28" s="13"/>
      <c r="D28" s="13"/>
      <c r="E28" s="13"/>
      <c r="F28" s="18"/>
      <c r="G28" s="159"/>
      <c r="H28" s="18"/>
      <c r="I28" s="18"/>
      <c r="J28" s="13"/>
      <c r="K28" s="32"/>
      <c r="L28" s="14">
        <f t="shared" si="0"/>
        <v>0</v>
      </c>
      <c r="M28" s="31">
        <f t="shared" si="3"/>
        <v>0</v>
      </c>
      <c r="N28" s="15" t="str">
        <f>IF(Table2683240[[#This Row],[Fault Type]]="PM",IF(L28&lt;=(D28-C28),"Yes","No"),"")</f>
        <v/>
      </c>
      <c r="O28" s="16" t="str">
        <f t="shared" si="2"/>
        <v/>
      </c>
      <c r="P2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8" s="130"/>
    </row>
    <row r="29" spans="1:17" ht="15.5" x14ac:dyDescent="0.35">
      <c r="A29" s="4"/>
      <c r="B29" s="12"/>
      <c r="C29" s="13"/>
      <c r="D29" s="13"/>
      <c r="E29" s="13"/>
      <c r="F29" s="12"/>
      <c r="G29" s="159"/>
      <c r="H29" s="12"/>
      <c r="I29" s="12"/>
      <c r="J29" s="13"/>
      <c r="K29" s="32"/>
      <c r="L29" s="14">
        <f t="shared" si="0"/>
        <v>0</v>
      </c>
      <c r="M29" s="31">
        <f t="shared" si="3"/>
        <v>0</v>
      </c>
      <c r="N29" s="15" t="str">
        <f>IF(Table2683240[[#This Row],[Fault Type]]="PM",IF(L29&lt;=(D29-C29),"Yes","No"),"")</f>
        <v/>
      </c>
      <c r="O29" s="16" t="str">
        <f t="shared" si="2"/>
        <v/>
      </c>
      <c r="P2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29" s="130"/>
    </row>
    <row r="30" spans="1:17" ht="15.5" x14ac:dyDescent="0.35">
      <c r="A30" s="4"/>
      <c r="B30" s="12"/>
      <c r="C30" s="13"/>
      <c r="D30" s="13"/>
      <c r="E30" s="13"/>
      <c r="F30" s="18"/>
      <c r="G30" s="159"/>
      <c r="H30" s="18"/>
      <c r="I30" s="18"/>
      <c r="J30" s="13"/>
      <c r="K30" s="32"/>
      <c r="L30" s="14">
        <f t="shared" si="0"/>
        <v>0</v>
      </c>
      <c r="M30" s="31">
        <f t="shared" si="3"/>
        <v>0</v>
      </c>
      <c r="N30" s="15" t="str">
        <f>IF(Table2683240[[#This Row],[Fault Type]]="PM",IF(L30&lt;=(D30-C30),"Yes","No"),"")</f>
        <v/>
      </c>
      <c r="O30" s="16" t="str">
        <f t="shared" si="2"/>
        <v/>
      </c>
      <c r="P3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0" s="130"/>
    </row>
    <row r="31" spans="1:17" ht="15.5" x14ac:dyDescent="0.35">
      <c r="A31" s="4"/>
      <c r="B31" s="12"/>
      <c r="C31" s="13"/>
      <c r="D31" s="13"/>
      <c r="E31" s="13"/>
      <c r="F31" s="18"/>
      <c r="G31" s="159"/>
      <c r="H31" s="18"/>
      <c r="I31" s="18"/>
      <c r="J31" s="13"/>
      <c r="K31" s="32"/>
      <c r="L31" s="14">
        <f t="shared" si="0"/>
        <v>0</v>
      </c>
      <c r="M31" s="31">
        <f t="shared" si="3"/>
        <v>0</v>
      </c>
      <c r="N31" s="15" t="str">
        <f>IF(Table2683240[[#This Row],[Fault Type]]="PM",IF(L31&lt;=(D31-C31),"Yes","No"),"")</f>
        <v/>
      </c>
      <c r="O31" s="16" t="str">
        <f t="shared" si="2"/>
        <v/>
      </c>
      <c r="P3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1" s="130"/>
    </row>
    <row r="32" spans="1:17" ht="15.5" x14ac:dyDescent="0.35">
      <c r="A32" s="4"/>
      <c r="B32" s="12"/>
      <c r="C32" s="13"/>
      <c r="D32" s="13"/>
      <c r="E32" s="13"/>
      <c r="F32" s="18"/>
      <c r="G32" s="159"/>
      <c r="H32" s="18"/>
      <c r="I32" s="18"/>
      <c r="J32" s="13"/>
      <c r="K32" s="32"/>
      <c r="L32" s="14">
        <f t="shared" si="0"/>
        <v>0</v>
      </c>
      <c r="M32" s="31">
        <f t="shared" si="3"/>
        <v>0</v>
      </c>
      <c r="N32" s="15" t="str">
        <f>IF(Table2683240[[#This Row],[Fault Type]]="PM",IF(L32&lt;=(D32-C32),"Yes","No"),"")</f>
        <v/>
      </c>
      <c r="O32" s="16" t="str">
        <f t="shared" si="2"/>
        <v/>
      </c>
      <c r="P3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2" s="17"/>
    </row>
    <row r="33" spans="1:17" ht="15.5" x14ac:dyDescent="0.35">
      <c r="A33" s="4"/>
      <c r="B33" s="12"/>
      <c r="C33" s="13"/>
      <c r="D33" s="13"/>
      <c r="E33" s="13"/>
      <c r="F33" s="18"/>
      <c r="G33" s="159"/>
      <c r="H33" s="18"/>
      <c r="I33" s="18"/>
      <c r="J33" s="13"/>
      <c r="K33" s="32"/>
      <c r="L33" s="14">
        <f t="shared" si="0"/>
        <v>0</v>
      </c>
      <c r="M33" s="31">
        <f t="shared" si="3"/>
        <v>0</v>
      </c>
      <c r="N33" s="15" t="str">
        <f>IF(Table2683240[[#This Row],[Fault Type]]="PM",IF(L33&lt;=(D33-C33),"Yes","No"),"")</f>
        <v/>
      </c>
      <c r="O33" s="16" t="str">
        <f t="shared" si="2"/>
        <v/>
      </c>
      <c r="P3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3" s="17"/>
    </row>
    <row r="34" spans="1:17" ht="15.5" x14ac:dyDescent="0.35">
      <c r="A34" s="4"/>
      <c r="B34" s="12"/>
      <c r="C34" s="13"/>
      <c r="D34" s="13"/>
      <c r="E34" s="13"/>
      <c r="F34" s="18"/>
      <c r="G34" s="159"/>
      <c r="H34" s="18"/>
      <c r="I34" s="18"/>
      <c r="J34" s="13"/>
      <c r="K34" s="32"/>
      <c r="L34" s="14">
        <f t="shared" si="0"/>
        <v>0</v>
      </c>
      <c r="M34" s="31">
        <f t="shared" si="3"/>
        <v>0</v>
      </c>
      <c r="N34" s="15" t="str">
        <f>IF(Table2683240[[#This Row],[Fault Type]]="PM",IF(L34&lt;=(D34-C34),"Yes","No"),"")</f>
        <v/>
      </c>
      <c r="O34" s="16" t="str">
        <f t="shared" si="2"/>
        <v/>
      </c>
      <c r="P3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4" s="17"/>
    </row>
    <row r="35" spans="1:17" ht="15.5" x14ac:dyDescent="0.35">
      <c r="A35" s="4"/>
      <c r="B35" s="12"/>
      <c r="C35" s="13"/>
      <c r="D35" s="13"/>
      <c r="E35" s="13"/>
      <c r="F35" s="18"/>
      <c r="G35" s="159"/>
      <c r="H35" s="18"/>
      <c r="I35" s="18"/>
      <c r="J35" s="13"/>
      <c r="K35" s="32"/>
      <c r="L35" s="14">
        <f t="shared" si="0"/>
        <v>0</v>
      </c>
      <c r="M35" s="31">
        <f t="shared" si="3"/>
        <v>0</v>
      </c>
      <c r="N35" s="15" t="str">
        <f>IF(Table2683240[[#This Row],[Fault Type]]="PM",IF(L35&lt;=(D35-C35),"Yes","No"),"")</f>
        <v/>
      </c>
      <c r="O35" s="16" t="str">
        <f t="shared" si="2"/>
        <v/>
      </c>
      <c r="P3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5" s="17"/>
    </row>
    <row r="36" spans="1:17" ht="15.5" x14ac:dyDescent="0.35">
      <c r="A36" s="4"/>
      <c r="B36" s="12"/>
      <c r="C36" s="13"/>
      <c r="D36" s="13"/>
      <c r="E36" s="13"/>
      <c r="F36" s="18"/>
      <c r="G36" s="159"/>
      <c r="H36" s="18"/>
      <c r="I36" s="18"/>
      <c r="J36" s="13"/>
      <c r="K36" s="32"/>
      <c r="L36" s="14">
        <f t="shared" si="0"/>
        <v>0</v>
      </c>
      <c r="M36" s="31">
        <f t="shared" si="3"/>
        <v>0</v>
      </c>
      <c r="N36" s="15" t="str">
        <f>IF(Table2683240[[#This Row],[Fault Type]]="PM",IF(L36&lt;=(D36-C36),"Yes","No"),"")</f>
        <v/>
      </c>
      <c r="O36" s="16" t="str">
        <f t="shared" si="2"/>
        <v/>
      </c>
      <c r="P3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6" s="17"/>
    </row>
    <row r="37" spans="1:17" ht="15.5" x14ac:dyDescent="0.35">
      <c r="A37" s="4"/>
      <c r="B37" s="12"/>
      <c r="C37" s="13"/>
      <c r="D37" s="13"/>
      <c r="E37" s="13"/>
      <c r="F37" s="18"/>
      <c r="G37" s="159"/>
      <c r="H37" s="18"/>
      <c r="I37" s="18"/>
      <c r="J37" s="13"/>
      <c r="K37" s="32"/>
      <c r="L37" s="14">
        <f t="shared" si="0"/>
        <v>0</v>
      </c>
      <c r="M37" s="31">
        <f t="shared" si="3"/>
        <v>0</v>
      </c>
      <c r="N37" s="15" t="str">
        <f>IF(Table2683240[[#This Row],[Fault Type]]="PM",IF(L37&lt;=(D37-C37),"Yes","No"),"")</f>
        <v/>
      </c>
      <c r="O37" s="16" t="str">
        <f t="shared" si="2"/>
        <v/>
      </c>
      <c r="P3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7" s="17"/>
    </row>
    <row r="38" spans="1:17" ht="15.5" x14ac:dyDescent="0.35">
      <c r="A38" s="4"/>
      <c r="B38" s="12"/>
      <c r="C38" s="13"/>
      <c r="D38" s="13"/>
      <c r="E38" s="13"/>
      <c r="F38" s="18"/>
      <c r="G38" s="159"/>
      <c r="H38" s="18"/>
      <c r="I38" s="18"/>
      <c r="J38" s="13"/>
      <c r="K38" s="32"/>
      <c r="L38" s="14">
        <f t="shared" si="0"/>
        <v>0</v>
      </c>
      <c r="M38" s="31">
        <f t="shared" si="3"/>
        <v>0</v>
      </c>
      <c r="N38" s="15" t="str">
        <f>IF(Table2683240[[#This Row],[Fault Type]]="PM",IF(L38&lt;=(D38-C38),"Yes","No"),"")</f>
        <v/>
      </c>
      <c r="O38" s="16" t="str">
        <f t="shared" si="2"/>
        <v/>
      </c>
      <c r="P3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8" s="17"/>
    </row>
    <row r="39" spans="1:17" ht="15.5" x14ac:dyDescent="0.35">
      <c r="A39" s="4"/>
      <c r="B39" s="12"/>
      <c r="C39" s="13"/>
      <c r="D39" s="13"/>
      <c r="E39" s="13"/>
      <c r="F39" s="18"/>
      <c r="G39" s="159"/>
      <c r="H39" s="18"/>
      <c r="I39" s="18"/>
      <c r="J39" s="13"/>
      <c r="K39" s="32"/>
      <c r="L39" s="14">
        <f t="shared" si="0"/>
        <v>0</v>
      </c>
      <c r="M39" s="31">
        <f t="shared" si="3"/>
        <v>0</v>
      </c>
      <c r="N39" s="15" t="str">
        <f>IF(Table2683240[[#This Row],[Fault Type]]="PM",IF(L39&lt;=(D39-C39),"Yes","No"),"")</f>
        <v/>
      </c>
      <c r="O39" s="16" t="str">
        <f t="shared" si="2"/>
        <v/>
      </c>
      <c r="P3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39" s="17"/>
    </row>
    <row r="40" spans="1:17" ht="15.5" x14ac:dyDescent="0.35">
      <c r="A40" s="4"/>
      <c r="B40" s="12"/>
      <c r="C40" s="13"/>
      <c r="D40" s="13"/>
      <c r="E40" s="13"/>
      <c r="F40" s="18"/>
      <c r="G40" s="159"/>
      <c r="H40" s="18"/>
      <c r="I40" s="18"/>
      <c r="J40" s="13"/>
      <c r="K40" s="32"/>
      <c r="L40" s="14">
        <f t="shared" si="0"/>
        <v>0</v>
      </c>
      <c r="M40" s="31">
        <f t="shared" si="3"/>
        <v>0</v>
      </c>
      <c r="N40" s="15" t="str">
        <f>IF(Table2683240[[#This Row],[Fault Type]]="PM",IF(L40&lt;=(D40-C40),"Yes","No"),"")</f>
        <v/>
      </c>
      <c r="O40" s="16" t="str">
        <f t="shared" si="2"/>
        <v/>
      </c>
      <c r="P4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0" s="17"/>
    </row>
    <row r="41" spans="1:17" ht="15.5" x14ac:dyDescent="0.35">
      <c r="A41" s="4"/>
      <c r="B41" s="12"/>
      <c r="C41" s="13"/>
      <c r="D41" s="13"/>
      <c r="E41" s="13"/>
      <c r="F41" s="18"/>
      <c r="G41" s="159"/>
      <c r="H41" s="18"/>
      <c r="I41" s="18"/>
      <c r="J41" s="13"/>
      <c r="K41" s="32"/>
      <c r="L41" s="14">
        <f t="shared" si="0"/>
        <v>0</v>
      </c>
      <c r="M41" s="31">
        <f t="shared" si="3"/>
        <v>0</v>
      </c>
      <c r="N41" s="15" t="str">
        <f>IF(Table2683240[[#This Row],[Fault Type]]="PM",IF(L41&lt;=(D41-C41),"Yes","No"),"")</f>
        <v/>
      </c>
      <c r="O41" s="16" t="str">
        <f t="shared" si="2"/>
        <v/>
      </c>
      <c r="P4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1" s="17"/>
    </row>
    <row r="42" spans="1:17" ht="15.5" x14ac:dyDescent="0.35">
      <c r="A42" s="4"/>
      <c r="B42" s="12"/>
      <c r="C42" s="13"/>
      <c r="D42" s="13"/>
      <c r="E42" s="13"/>
      <c r="F42" s="18"/>
      <c r="G42" s="159"/>
      <c r="H42" s="18"/>
      <c r="I42" s="18"/>
      <c r="J42" s="13"/>
      <c r="K42" s="32"/>
      <c r="L42" s="14">
        <f t="shared" si="0"/>
        <v>0</v>
      </c>
      <c r="M42" s="31">
        <f t="shared" si="3"/>
        <v>0</v>
      </c>
      <c r="N42" s="15" t="str">
        <f>IF(Table2683240[[#This Row],[Fault Type]]="PM",IF(L42&lt;=(D42-C42),"Yes","No"),"")</f>
        <v/>
      </c>
      <c r="O42" s="16" t="str">
        <f t="shared" si="2"/>
        <v/>
      </c>
      <c r="P4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2" s="17"/>
    </row>
    <row r="43" spans="1:17" ht="15.5" x14ac:dyDescent="0.35">
      <c r="A43" s="4"/>
      <c r="B43" s="12"/>
      <c r="C43" s="13"/>
      <c r="D43" s="13"/>
      <c r="E43" s="13"/>
      <c r="F43" s="18"/>
      <c r="G43" s="159"/>
      <c r="H43" s="18"/>
      <c r="I43" s="18"/>
      <c r="J43" s="13"/>
      <c r="K43" s="32"/>
      <c r="L43" s="14">
        <f t="shared" si="0"/>
        <v>0</v>
      </c>
      <c r="M43" s="31">
        <f t="shared" si="3"/>
        <v>0</v>
      </c>
      <c r="N43" s="15" t="str">
        <f>IF(Table2683240[[#This Row],[Fault Type]]="PM",IF(L43&lt;=(D43-C43),"Yes","No"),"")</f>
        <v/>
      </c>
      <c r="O43" s="16" t="str">
        <f t="shared" si="2"/>
        <v/>
      </c>
      <c r="P4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3" s="17"/>
    </row>
    <row r="44" spans="1:17" ht="15.5" x14ac:dyDescent="0.35">
      <c r="A44" s="4"/>
      <c r="B44" s="12"/>
      <c r="C44" s="13"/>
      <c r="D44" s="13"/>
      <c r="E44" s="13"/>
      <c r="F44" s="18"/>
      <c r="G44" s="159"/>
      <c r="H44" s="18"/>
      <c r="I44" s="18"/>
      <c r="J44" s="13"/>
      <c r="K44" s="32"/>
      <c r="L44" s="14">
        <f t="shared" si="0"/>
        <v>0</v>
      </c>
      <c r="M44" s="31">
        <f t="shared" si="3"/>
        <v>0</v>
      </c>
      <c r="N44" s="15" t="str">
        <f>IF(Table2683240[[#This Row],[Fault Type]]="PM",IF(L44&lt;=(D44-C44),"Yes","No"),"")</f>
        <v/>
      </c>
      <c r="O44" s="16" t="str">
        <f t="shared" si="2"/>
        <v/>
      </c>
      <c r="P4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4" s="17"/>
    </row>
    <row r="45" spans="1:17" ht="15.75" customHeight="1" x14ac:dyDescent="0.35">
      <c r="A45" s="4"/>
      <c r="B45" s="12"/>
      <c r="C45" s="13"/>
      <c r="D45" s="13"/>
      <c r="E45" s="13"/>
      <c r="F45" s="12"/>
      <c r="G45" s="159"/>
      <c r="H45" s="12"/>
      <c r="I45" s="12"/>
      <c r="J45" s="13"/>
      <c r="K45" s="32"/>
      <c r="L45" s="14">
        <f t="shared" si="0"/>
        <v>0</v>
      </c>
      <c r="M45" s="31">
        <f t="shared" si="3"/>
        <v>0</v>
      </c>
      <c r="N45" s="15" t="str">
        <f>IF(Table2683240[[#This Row],[Fault Type]]="PM",IF(L45&lt;=(D45-C45),"Yes","No"),"")</f>
        <v/>
      </c>
      <c r="O45" s="16" t="str">
        <f t="shared" si="2"/>
        <v/>
      </c>
      <c r="P4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5" s="17"/>
    </row>
    <row r="46" spans="1:17" ht="15.5" x14ac:dyDescent="0.35">
      <c r="A46" s="4"/>
      <c r="B46" s="12"/>
      <c r="C46" s="13"/>
      <c r="D46" s="13"/>
      <c r="E46" s="13"/>
      <c r="F46" s="18"/>
      <c r="G46" s="159"/>
      <c r="H46" s="18"/>
      <c r="I46" s="18"/>
      <c r="J46" s="13"/>
      <c r="K46" s="32"/>
      <c r="L46" s="14">
        <f t="shared" si="0"/>
        <v>0</v>
      </c>
      <c r="M46" s="31">
        <f t="shared" si="3"/>
        <v>0</v>
      </c>
      <c r="N46" s="15" t="str">
        <f>IF(Table2683240[[#This Row],[Fault Type]]="PM",IF(L46&lt;=(D46-C46),"Yes","No"),"")</f>
        <v/>
      </c>
      <c r="O46" s="16" t="str">
        <f t="shared" si="2"/>
        <v/>
      </c>
      <c r="P4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6" s="17"/>
    </row>
    <row r="47" spans="1:17" ht="15.5" x14ac:dyDescent="0.35">
      <c r="A47" s="4"/>
      <c r="B47" s="49"/>
      <c r="C47" s="49"/>
      <c r="D47" s="49"/>
      <c r="E47" s="13"/>
      <c r="F47" s="64"/>
      <c r="G47" s="159"/>
      <c r="H47" s="54"/>
      <c r="I47" s="54"/>
      <c r="J47" s="13"/>
      <c r="K47" s="32"/>
      <c r="L47" s="14">
        <f t="shared" si="0"/>
        <v>0</v>
      </c>
      <c r="M47" s="53">
        <f t="shared" si="3"/>
        <v>0</v>
      </c>
      <c r="N47" s="15" t="str">
        <f>IF(Table2683240[[#This Row],[Fault Type]]="PM",IF(L47&lt;=(D47-C47),"Yes","No"),"")</f>
        <v/>
      </c>
      <c r="O47" s="51" t="str">
        <f t="shared" si="2"/>
        <v/>
      </c>
      <c r="P4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row>
    <row r="48" spans="1:17" ht="15.5" x14ac:dyDescent="0.35">
      <c r="A48" s="58"/>
      <c r="B48" s="55"/>
      <c r="C48" s="56"/>
      <c r="D48" s="56"/>
      <c r="E48" s="13"/>
      <c r="F48" s="55"/>
      <c r="G48" s="159"/>
      <c r="H48" s="57"/>
      <c r="I48" s="18"/>
      <c r="J48" s="13"/>
      <c r="K48" s="32"/>
      <c r="L48" s="14">
        <f t="shared" si="0"/>
        <v>0</v>
      </c>
      <c r="M48" s="59">
        <f t="shared" si="3"/>
        <v>0</v>
      </c>
      <c r="N48" s="15" t="str">
        <f>IF(Table2683240[[#This Row],[Fault Type]]="PM",IF(L48&lt;=(D48-C48),"Yes","No"),"")</f>
        <v/>
      </c>
      <c r="O48" s="62" t="str">
        <f t="shared" si="2"/>
        <v/>
      </c>
      <c r="P4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8" s="63"/>
    </row>
    <row r="49" spans="1:17" ht="15.5" x14ac:dyDescent="0.35">
      <c r="A49" s="58"/>
      <c r="B49" s="55"/>
      <c r="C49" s="56"/>
      <c r="D49" s="56"/>
      <c r="E49" s="13"/>
      <c r="F49" s="55"/>
      <c r="G49" s="159"/>
      <c r="H49" s="57"/>
      <c r="I49" s="18"/>
      <c r="J49" s="13"/>
      <c r="K49" s="32"/>
      <c r="L49" s="14">
        <f t="shared" si="0"/>
        <v>0</v>
      </c>
      <c r="M49" s="59">
        <f t="shared" si="3"/>
        <v>0</v>
      </c>
      <c r="N49" s="15" t="str">
        <f>IF(Table2683240[[#This Row],[Fault Type]]="PM",IF(L49&lt;=(D49-C49),"Yes","No"),"")</f>
        <v/>
      </c>
      <c r="O49" s="62" t="str">
        <f t="shared" si="2"/>
        <v/>
      </c>
      <c r="P4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49" s="63"/>
    </row>
    <row r="50" spans="1:17" ht="15.5" x14ac:dyDescent="0.35">
      <c r="A50" s="58"/>
      <c r="B50" s="55"/>
      <c r="C50" s="56"/>
      <c r="D50" s="56"/>
      <c r="E50" s="13"/>
      <c r="F50" s="55"/>
      <c r="G50" s="159"/>
      <c r="H50" s="57"/>
      <c r="I50" s="18"/>
      <c r="J50" s="13"/>
      <c r="K50" s="32"/>
      <c r="L50" s="14">
        <f t="shared" si="0"/>
        <v>0</v>
      </c>
      <c r="M50" s="59">
        <f t="shared" si="3"/>
        <v>0</v>
      </c>
      <c r="N50" s="15" t="str">
        <f>IF(Table2683240[[#This Row],[Fault Type]]="PM",IF(L50&lt;=(D50-C50),"Yes","No"),"")</f>
        <v/>
      </c>
      <c r="O50" s="62" t="str">
        <f t="shared" si="2"/>
        <v/>
      </c>
      <c r="P5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0" s="63"/>
    </row>
    <row r="51" spans="1:17" ht="15.5" x14ac:dyDescent="0.35">
      <c r="A51" s="58"/>
      <c r="B51" s="55"/>
      <c r="C51" s="56"/>
      <c r="D51" s="56"/>
      <c r="E51" s="13"/>
      <c r="F51" s="55"/>
      <c r="G51" s="159"/>
      <c r="H51" s="57"/>
      <c r="I51" s="18"/>
      <c r="J51" s="13"/>
      <c r="K51" s="83"/>
      <c r="L51" s="14">
        <f t="shared" si="0"/>
        <v>0</v>
      </c>
      <c r="M51" s="59">
        <f t="shared" si="3"/>
        <v>0</v>
      </c>
      <c r="N51" s="15" t="str">
        <f>IF(Table2683240[[#This Row],[Fault Type]]="PM",IF(L51&lt;=(D51-C51),"Yes","No"),"")</f>
        <v/>
      </c>
      <c r="O51" s="62" t="str">
        <f t="shared" si="2"/>
        <v/>
      </c>
      <c r="P5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1" s="63"/>
    </row>
    <row r="52" spans="1:17" ht="15.5" x14ac:dyDescent="0.35">
      <c r="A52" s="58"/>
      <c r="B52" s="55"/>
      <c r="C52" s="56"/>
      <c r="D52" s="56"/>
      <c r="E52" s="13"/>
      <c r="F52" s="55"/>
      <c r="G52" s="159"/>
      <c r="H52" s="57"/>
      <c r="I52" s="18"/>
      <c r="J52" s="13"/>
      <c r="K52" s="83"/>
      <c r="L52" s="14">
        <f t="shared" si="0"/>
        <v>0</v>
      </c>
      <c r="M52" s="59">
        <f t="shared" si="3"/>
        <v>0</v>
      </c>
      <c r="N52" s="15" t="str">
        <f>IF(Table2683240[[#This Row],[Fault Type]]="PM",IF(L52&lt;=(D52-C52),"Yes","No"),"")</f>
        <v/>
      </c>
      <c r="O52" s="62" t="str">
        <f t="shared" si="2"/>
        <v/>
      </c>
      <c r="P5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2" s="63"/>
    </row>
    <row r="53" spans="1:17" ht="15.5" x14ac:dyDescent="0.35">
      <c r="A53" s="58"/>
      <c r="B53" s="55"/>
      <c r="C53" s="56"/>
      <c r="D53" s="56"/>
      <c r="E53" s="13"/>
      <c r="F53" s="55"/>
      <c r="G53" s="159"/>
      <c r="H53" s="57"/>
      <c r="I53" s="18"/>
      <c r="J53" s="13"/>
      <c r="K53" s="83"/>
      <c r="L53" s="14">
        <f t="shared" si="0"/>
        <v>0</v>
      </c>
      <c r="M53" s="59">
        <f t="shared" si="3"/>
        <v>0</v>
      </c>
      <c r="N53" s="15" t="str">
        <f>IF(Table2683240[[#This Row],[Fault Type]]="PM",IF(L53&lt;=(D53-C53),"Yes","No"),"")</f>
        <v/>
      </c>
      <c r="O53" s="62" t="str">
        <f t="shared" si="2"/>
        <v/>
      </c>
      <c r="P5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3" s="63"/>
    </row>
    <row r="54" spans="1:17" ht="15.5" x14ac:dyDescent="0.35">
      <c r="A54" s="58"/>
      <c r="B54" s="55"/>
      <c r="C54" s="56"/>
      <c r="D54" s="56"/>
      <c r="E54" s="13"/>
      <c r="F54" s="55"/>
      <c r="G54" s="159"/>
      <c r="H54" s="57"/>
      <c r="I54" s="18"/>
      <c r="J54" s="13"/>
      <c r="K54" s="83"/>
      <c r="L54" s="14">
        <f t="shared" si="0"/>
        <v>0</v>
      </c>
      <c r="M54" s="59">
        <f t="shared" si="3"/>
        <v>0</v>
      </c>
      <c r="N54" s="15" t="str">
        <f>IF(Table2683240[[#This Row],[Fault Type]]="PM",IF(L54&lt;=(D54-C54),"Yes","No"),"")</f>
        <v/>
      </c>
      <c r="O54" s="62" t="str">
        <f t="shared" si="2"/>
        <v/>
      </c>
      <c r="P5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4" s="63"/>
    </row>
    <row r="55" spans="1:17" ht="15.5" x14ac:dyDescent="0.35">
      <c r="A55" s="58"/>
      <c r="B55" s="55"/>
      <c r="C55" s="56"/>
      <c r="D55" s="56"/>
      <c r="E55" s="13"/>
      <c r="F55" s="55"/>
      <c r="G55" s="159"/>
      <c r="H55" s="57"/>
      <c r="I55" s="18"/>
      <c r="J55" s="13"/>
      <c r="K55" s="83"/>
      <c r="L55" s="14">
        <f t="shared" si="0"/>
        <v>0</v>
      </c>
      <c r="M55" s="59">
        <f t="shared" si="3"/>
        <v>0</v>
      </c>
      <c r="N55" s="15" t="str">
        <f>IF(Table2683240[[#This Row],[Fault Type]]="PM",IF(L55&lt;=(D55-C55),"Yes","No"),"")</f>
        <v/>
      </c>
      <c r="O55" s="62" t="str">
        <f t="shared" si="2"/>
        <v/>
      </c>
      <c r="P5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5" s="63"/>
    </row>
    <row r="56" spans="1:17" ht="15.5" x14ac:dyDescent="0.35">
      <c r="A56" s="58"/>
      <c r="B56" s="55"/>
      <c r="C56" s="56"/>
      <c r="D56" s="56"/>
      <c r="E56" s="13"/>
      <c r="F56" s="55"/>
      <c r="G56" s="159"/>
      <c r="H56" s="57"/>
      <c r="I56" s="18"/>
      <c r="J56" s="13"/>
      <c r="K56" s="83"/>
      <c r="L56" s="14">
        <f t="shared" si="0"/>
        <v>0</v>
      </c>
      <c r="M56" s="59">
        <f t="shared" si="3"/>
        <v>0</v>
      </c>
      <c r="N56" s="15" t="str">
        <f>IF(Table2683240[[#This Row],[Fault Type]]="PM",IF(L56&lt;=(D56-C56),"Yes","No"),"")</f>
        <v/>
      </c>
      <c r="O56" s="62" t="str">
        <f t="shared" si="2"/>
        <v/>
      </c>
      <c r="P5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6" s="63"/>
    </row>
    <row r="57" spans="1:17" ht="15.5" x14ac:dyDescent="0.35">
      <c r="A57" s="58"/>
      <c r="B57" s="55"/>
      <c r="C57" s="56"/>
      <c r="D57" s="56"/>
      <c r="E57" s="13"/>
      <c r="F57" s="55"/>
      <c r="G57" s="159"/>
      <c r="H57" s="57"/>
      <c r="I57" s="18"/>
      <c r="J57" s="13"/>
      <c r="K57" s="83"/>
      <c r="L57" s="14">
        <f t="shared" si="0"/>
        <v>0</v>
      </c>
      <c r="M57" s="59">
        <f t="shared" si="3"/>
        <v>0</v>
      </c>
      <c r="N57" s="15" t="str">
        <f>IF(Table2683240[[#This Row],[Fault Type]]="PM",IF(L57&lt;=(D57-C57),"Yes","No"),"")</f>
        <v/>
      </c>
      <c r="O57" s="62" t="str">
        <f t="shared" si="2"/>
        <v/>
      </c>
      <c r="P5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7" s="63"/>
    </row>
    <row r="58" spans="1:17" ht="15.5" x14ac:dyDescent="0.35">
      <c r="A58" s="58"/>
      <c r="B58" s="55"/>
      <c r="C58" s="56"/>
      <c r="D58" s="56"/>
      <c r="E58" s="13"/>
      <c r="F58" s="55"/>
      <c r="G58" s="159"/>
      <c r="H58" s="57"/>
      <c r="I58" s="18"/>
      <c r="J58" s="13"/>
      <c r="K58" s="83"/>
      <c r="L58" s="14">
        <f t="shared" si="0"/>
        <v>0</v>
      </c>
      <c r="M58" s="59">
        <f t="shared" si="3"/>
        <v>0</v>
      </c>
      <c r="N58" s="15" t="str">
        <f>IF(Table2683240[[#This Row],[Fault Type]]="PM",IF(L58&lt;=(D58-C58),"Yes","No"),"")</f>
        <v/>
      </c>
      <c r="O58" s="62" t="str">
        <f t="shared" si="2"/>
        <v/>
      </c>
      <c r="P5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8" s="63"/>
    </row>
    <row r="59" spans="1:17" ht="15.5" x14ac:dyDescent="0.35">
      <c r="A59" s="58"/>
      <c r="B59" s="55"/>
      <c r="C59" s="56"/>
      <c r="D59" s="56"/>
      <c r="E59" s="13"/>
      <c r="F59" s="55"/>
      <c r="G59" s="159"/>
      <c r="H59" s="57"/>
      <c r="I59" s="18"/>
      <c r="J59" s="13"/>
      <c r="K59" s="83"/>
      <c r="L59" s="14">
        <f t="shared" si="0"/>
        <v>0</v>
      </c>
      <c r="M59" s="59">
        <f t="shared" si="3"/>
        <v>0</v>
      </c>
      <c r="N59" s="15" t="str">
        <f>IF(Table2683240[[#This Row],[Fault Type]]="PM",IF(L59&lt;=(D59-C59),"Yes","No"),"")</f>
        <v/>
      </c>
      <c r="O59" s="62" t="str">
        <f t="shared" si="2"/>
        <v/>
      </c>
      <c r="P5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59" s="63"/>
    </row>
    <row r="60" spans="1:17" ht="15.5" x14ac:dyDescent="0.35">
      <c r="A60" s="58"/>
      <c r="B60" s="55"/>
      <c r="C60" s="56"/>
      <c r="D60" s="56"/>
      <c r="E60" s="13"/>
      <c r="F60" s="55"/>
      <c r="G60" s="159"/>
      <c r="H60" s="57"/>
      <c r="I60" s="18"/>
      <c r="J60" s="13"/>
      <c r="K60" s="60"/>
      <c r="L60" s="14">
        <f t="shared" si="0"/>
        <v>0</v>
      </c>
      <c r="M60" s="59">
        <f t="shared" si="3"/>
        <v>0</v>
      </c>
      <c r="N60" s="15" t="str">
        <f>IF(Table2683240[[#This Row],[Fault Type]]="PM",IF(L60&lt;=(D60-C60),"Yes","No"),"")</f>
        <v/>
      </c>
      <c r="O60" s="62" t="str">
        <f t="shared" si="2"/>
        <v/>
      </c>
      <c r="P6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0" s="63"/>
    </row>
    <row r="61" spans="1:17" ht="15.5" x14ac:dyDescent="0.35">
      <c r="A61" s="58"/>
      <c r="B61" s="55"/>
      <c r="C61" s="56"/>
      <c r="D61" s="56"/>
      <c r="E61" s="13"/>
      <c r="F61" s="55"/>
      <c r="G61" s="159"/>
      <c r="H61" s="57"/>
      <c r="I61" s="18"/>
      <c r="J61" s="13"/>
      <c r="K61" s="60"/>
      <c r="L61" s="14">
        <f t="shared" si="0"/>
        <v>0</v>
      </c>
      <c r="M61" s="59">
        <f t="shared" si="3"/>
        <v>0</v>
      </c>
      <c r="N61" s="15" t="str">
        <f>IF(Table2683240[[#This Row],[Fault Type]]="PM",IF(L61&lt;=(D61-C61),"Yes","No"),"")</f>
        <v/>
      </c>
      <c r="O61" s="62" t="str">
        <f t="shared" si="2"/>
        <v/>
      </c>
      <c r="P6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1" s="63"/>
    </row>
    <row r="62" spans="1:17" ht="15.5" x14ac:dyDescent="0.35">
      <c r="A62" s="58"/>
      <c r="B62" s="55"/>
      <c r="C62" s="56"/>
      <c r="D62" s="56"/>
      <c r="E62" s="13"/>
      <c r="F62" s="55"/>
      <c r="G62" s="159"/>
      <c r="H62" s="57"/>
      <c r="I62" s="18"/>
      <c r="J62" s="13"/>
      <c r="K62" s="60"/>
      <c r="L62" s="14">
        <f t="shared" si="0"/>
        <v>0</v>
      </c>
      <c r="M62" s="59">
        <f t="shared" si="3"/>
        <v>0</v>
      </c>
      <c r="N62" s="15" t="str">
        <f>IF(Table2683240[[#This Row],[Fault Type]]="PM",IF(L62&lt;=(D62-C62),"Yes","No"),"")</f>
        <v/>
      </c>
      <c r="O62" s="62" t="str">
        <f t="shared" si="2"/>
        <v/>
      </c>
      <c r="P6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2" s="63"/>
    </row>
    <row r="63" spans="1:17" ht="15.5" x14ac:dyDescent="0.35">
      <c r="A63" s="58"/>
      <c r="B63" s="55"/>
      <c r="C63" s="56"/>
      <c r="D63" s="56"/>
      <c r="E63" s="13"/>
      <c r="F63" s="55"/>
      <c r="G63" s="159"/>
      <c r="H63" s="57"/>
      <c r="I63" s="18"/>
      <c r="J63" s="13"/>
      <c r="K63" s="60"/>
      <c r="L63" s="14">
        <f t="shared" si="0"/>
        <v>0</v>
      </c>
      <c r="M63" s="59">
        <f t="shared" si="3"/>
        <v>0</v>
      </c>
      <c r="N63" s="15" t="str">
        <f>IF(Table2683240[[#This Row],[Fault Type]]="PM",IF(L63&lt;=(D63-C63),"Yes","No"),"")</f>
        <v/>
      </c>
      <c r="O63" s="62" t="str">
        <f t="shared" si="2"/>
        <v/>
      </c>
      <c r="P6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3" s="63"/>
    </row>
    <row r="64" spans="1:17" ht="15.5" x14ac:dyDescent="0.35">
      <c r="A64" s="58"/>
      <c r="B64" s="55"/>
      <c r="C64" s="56"/>
      <c r="D64" s="56"/>
      <c r="E64" s="13"/>
      <c r="F64" s="55"/>
      <c r="G64" s="159"/>
      <c r="H64" s="57"/>
      <c r="I64" s="18"/>
      <c r="J64" s="13"/>
      <c r="K64" s="60"/>
      <c r="L64" s="14">
        <f t="shared" si="0"/>
        <v>0</v>
      </c>
      <c r="M64" s="59">
        <f t="shared" si="3"/>
        <v>0</v>
      </c>
      <c r="N64" s="15" t="str">
        <f>IF(Table2683240[[#This Row],[Fault Type]]="PM",IF(L64&lt;=(D64-C64),"Yes","No"),"")</f>
        <v/>
      </c>
      <c r="O64" s="62" t="str">
        <f t="shared" si="2"/>
        <v/>
      </c>
      <c r="P6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4" s="63"/>
    </row>
    <row r="65" spans="1:17" ht="15.5" x14ac:dyDescent="0.35">
      <c r="A65" s="58"/>
      <c r="B65" s="55"/>
      <c r="C65" s="56"/>
      <c r="D65" s="56"/>
      <c r="E65" s="13"/>
      <c r="F65" s="55"/>
      <c r="G65" s="159"/>
      <c r="H65" s="57"/>
      <c r="I65" s="18"/>
      <c r="J65" s="13"/>
      <c r="K65" s="60"/>
      <c r="L65" s="14">
        <f t="shared" si="0"/>
        <v>0</v>
      </c>
      <c r="M65" s="59">
        <f t="shared" si="3"/>
        <v>0</v>
      </c>
      <c r="N65" s="15" t="str">
        <f>IF(Table2683240[[#This Row],[Fault Type]]="PM",IF(L65&lt;=(D65-C65),"Yes","No"),"")</f>
        <v/>
      </c>
      <c r="O65" s="62" t="str">
        <f t="shared" si="2"/>
        <v/>
      </c>
      <c r="P6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5" s="63"/>
    </row>
    <row r="66" spans="1:17" ht="15.5" x14ac:dyDescent="0.35">
      <c r="A66" s="58"/>
      <c r="B66" s="55"/>
      <c r="C66" s="56"/>
      <c r="D66" s="56"/>
      <c r="E66" s="13"/>
      <c r="F66" s="55"/>
      <c r="G66" s="159"/>
      <c r="H66" s="57"/>
      <c r="I66" s="18"/>
      <c r="J66" s="13"/>
      <c r="K66" s="60"/>
      <c r="L66" s="14">
        <f t="shared" ref="L66:L79" si="4">J66-E66</f>
        <v>0</v>
      </c>
      <c r="M66" s="59">
        <f t="shared" si="3"/>
        <v>0</v>
      </c>
      <c r="N66" s="15" t="str">
        <f>IF(Table2683240[[#This Row],[Fault Type]]="PM",IF(L66&lt;=(D66-C66),"Yes","No"),"")</f>
        <v/>
      </c>
      <c r="O66" s="62" t="str">
        <f t="shared" ref="O66:O79" si="5">IF(N66="No",(L66-(D66-C66)),"")</f>
        <v/>
      </c>
      <c r="P6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6" s="63"/>
    </row>
    <row r="67" spans="1:17" ht="15.5" x14ac:dyDescent="0.35">
      <c r="A67" s="58"/>
      <c r="B67" s="55"/>
      <c r="C67" s="56"/>
      <c r="D67" s="56"/>
      <c r="E67" s="13"/>
      <c r="F67" s="55"/>
      <c r="G67" s="159"/>
      <c r="H67" s="57"/>
      <c r="I67" s="18"/>
      <c r="J67" s="13"/>
      <c r="K67" s="60"/>
      <c r="L67" s="14">
        <f t="shared" si="4"/>
        <v>0</v>
      </c>
      <c r="M67" s="59">
        <f t="shared" si="3"/>
        <v>0</v>
      </c>
      <c r="N67" s="15" t="str">
        <f>IF(Table2683240[[#This Row],[Fault Type]]="PM",IF(L67&lt;=(D67-C67),"Yes","No"),"")</f>
        <v/>
      </c>
      <c r="O67" s="62" t="str">
        <f t="shared" si="5"/>
        <v/>
      </c>
      <c r="P6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7" s="63"/>
    </row>
    <row r="68" spans="1:17" ht="15.5" x14ac:dyDescent="0.35">
      <c r="A68" s="58"/>
      <c r="B68" s="55"/>
      <c r="C68" s="56"/>
      <c r="D68" s="56"/>
      <c r="E68" s="13"/>
      <c r="F68" s="55"/>
      <c r="G68" s="159"/>
      <c r="H68" s="57"/>
      <c r="I68" s="18"/>
      <c r="J68" s="13"/>
      <c r="K68" s="60"/>
      <c r="L68" s="14">
        <f t="shared" si="4"/>
        <v>0</v>
      </c>
      <c r="M68" s="59">
        <f t="shared" si="3"/>
        <v>0</v>
      </c>
      <c r="N68" s="15" t="str">
        <f>IF(Table2683240[[#This Row],[Fault Type]]="PM",IF(L68&lt;=(D68-C68),"Yes","No"),"")</f>
        <v/>
      </c>
      <c r="O68" s="62" t="str">
        <f t="shared" si="5"/>
        <v/>
      </c>
      <c r="P6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8" s="63"/>
    </row>
    <row r="69" spans="1:17" ht="15.5" x14ac:dyDescent="0.35">
      <c r="A69" s="58"/>
      <c r="B69" s="55"/>
      <c r="C69" s="56"/>
      <c r="D69" s="56"/>
      <c r="E69" s="13"/>
      <c r="F69" s="55"/>
      <c r="G69" s="159"/>
      <c r="H69" s="57"/>
      <c r="I69" s="18"/>
      <c r="J69" s="13"/>
      <c r="K69" s="60"/>
      <c r="L69" s="14">
        <f t="shared" si="4"/>
        <v>0</v>
      </c>
      <c r="M69" s="59">
        <f t="shared" si="3"/>
        <v>0</v>
      </c>
      <c r="N69" s="15" t="str">
        <f>IF(Table2683240[[#This Row],[Fault Type]]="PM",IF(L69&lt;=(D69-C69),"Yes","No"),"")</f>
        <v/>
      </c>
      <c r="O69" s="62" t="str">
        <f t="shared" si="5"/>
        <v/>
      </c>
      <c r="P6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69" s="63"/>
    </row>
    <row r="70" spans="1:17" ht="15.5" x14ac:dyDescent="0.35">
      <c r="A70" s="58"/>
      <c r="B70" s="55"/>
      <c r="C70" s="56"/>
      <c r="D70" s="56"/>
      <c r="E70" s="13"/>
      <c r="F70" s="55"/>
      <c r="G70" s="159"/>
      <c r="H70" s="57"/>
      <c r="I70" s="18"/>
      <c r="J70" s="13"/>
      <c r="K70" s="60"/>
      <c r="L70" s="14">
        <f t="shared" si="4"/>
        <v>0</v>
      </c>
      <c r="M70" s="59">
        <f t="shared" si="3"/>
        <v>0</v>
      </c>
      <c r="N70" s="15" t="str">
        <f>IF(Table2683240[[#This Row],[Fault Type]]="PM",IF(L70&lt;=(D70-C70),"Yes","No"),"")</f>
        <v/>
      </c>
      <c r="O70" s="62" t="str">
        <f t="shared" si="5"/>
        <v/>
      </c>
      <c r="P70"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0" s="63"/>
    </row>
    <row r="71" spans="1:17" ht="15.5" x14ac:dyDescent="0.35">
      <c r="A71" s="58"/>
      <c r="B71" s="55"/>
      <c r="C71" s="56"/>
      <c r="D71" s="56"/>
      <c r="E71" s="13"/>
      <c r="F71" s="55"/>
      <c r="G71" s="159"/>
      <c r="H71" s="57"/>
      <c r="I71" s="18"/>
      <c r="J71" s="13"/>
      <c r="K71" s="60"/>
      <c r="L71" s="14">
        <f t="shared" si="4"/>
        <v>0</v>
      </c>
      <c r="M71" s="59">
        <f t="shared" si="3"/>
        <v>0</v>
      </c>
      <c r="N71" s="15" t="str">
        <f>IF(Table2683240[[#This Row],[Fault Type]]="PM",IF(L71&lt;=(D71-C71),"Yes","No"),"")</f>
        <v/>
      </c>
      <c r="O71" s="62" t="str">
        <f t="shared" si="5"/>
        <v/>
      </c>
      <c r="P71"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15" t="str">
        <f>IF(Table2683240[[#This Row],[Fault Type]]="PM",IF(L72&lt;=(D72-C72),"Yes","No"),"")</f>
        <v/>
      </c>
      <c r="O72" s="62" t="str">
        <f t="shared" si="5"/>
        <v/>
      </c>
      <c r="P72"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15" t="str">
        <f>IF(Table2683240[[#This Row],[Fault Type]]="PM",IF(L73&lt;=(D73-C73),"Yes","No"),"")</f>
        <v/>
      </c>
      <c r="O73" s="62" t="str">
        <f t="shared" si="5"/>
        <v/>
      </c>
      <c r="P73"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15" t="str">
        <f>IF(Table2683240[[#This Row],[Fault Type]]="PM",IF(L74&lt;=(D74-C74),"Yes","No"),"")</f>
        <v/>
      </c>
      <c r="O74" s="62" t="str">
        <f t="shared" si="5"/>
        <v/>
      </c>
      <c r="P74"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15" t="str">
        <f>IF(Table2683240[[#This Row],[Fault Type]]="PM",IF(L75&lt;=(D75-C75),"Yes","No"),"")</f>
        <v/>
      </c>
      <c r="O75" s="62" t="str">
        <f t="shared" si="5"/>
        <v/>
      </c>
      <c r="P75"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15" t="str">
        <f>IF(Table2683240[[#This Row],[Fault Type]]="PM",IF(L76&lt;=(D76-C76),"Yes","No"),"")</f>
        <v/>
      </c>
      <c r="O76" s="62" t="str">
        <f t="shared" si="5"/>
        <v/>
      </c>
      <c r="P76"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15" t="str">
        <f>IF(Table2683240[[#This Row],[Fault Type]]="PM",IF(L77&lt;=(D77-C77),"Yes","No"),"")</f>
        <v/>
      </c>
      <c r="O77" s="62" t="str">
        <f t="shared" si="5"/>
        <v/>
      </c>
      <c r="P77"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7" s="63"/>
    </row>
    <row r="78" spans="1:17" ht="15.5" x14ac:dyDescent="0.35">
      <c r="A78" s="58"/>
      <c r="B78" s="55"/>
      <c r="C78" s="56"/>
      <c r="D78" s="56"/>
      <c r="E78" s="13"/>
      <c r="F78" s="55"/>
      <c r="G78" s="159"/>
      <c r="H78" s="57"/>
      <c r="I78" s="18"/>
      <c r="J78" s="13"/>
      <c r="K78" s="60"/>
      <c r="L78" s="14">
        <f t="shared" si="4"/>
        <v>0</v>
      </c>
      <c r="M78" s="59">
        <f t="shared" si="3"/>
        <v>0</v>
      </c>
      <c r="N78" s="15" t="str">
        <f>IF(Table2683240[[#This Row],[Fault Type]]="PM",IF(L78&lt;=(D78-C78),"Yes","No"),"")</f>
        <v/>
      </c>
      <c r="O78" s="62" t="str">
        <f t="shared" si="5"/>
        <v/>
      </c>
      <c r="P78"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8" s="63"/>
    </row>
    <row r="79" spans="1:17" ht="15.5" x14ac:dyDescent="0.35">
      <c r="A79" s="58"/>
      <c r="B79" s="55"/>
      <c r="C79" s="56"/>
      <c r="D79" s="56"/>
      <c r="E79" s="13"/>
      <c r="F79" s="55"/>
      <c r="G79" s="159"/>
      <c r="H79" s="57"/>
      <c r="I79" s="18"/>
      <c r="J79" s="13"/>
      <c r="K79" s="60"/>
      <c r="L79" s="14">
        <f t="shared" si="4"/>
        <v>0</v>
      </c>
      <c r="M79" s="59">
        <f t="shared" si="3"/>
        <v>0</v>
      </c>
      <c r="N79" s="15" t="str">
        <f>IF(Table2683240[[#This Row],[Fault Type]]="PM",IF(L79&lt;=(D79-C79),"Yes","No"),"")</f>
        <v/>
      </c>
      <c r="O79" s="62" t="str">
        <f t="shared" si="5"/>
        <v/>
      </c>
      <c r="P79" s="30" t="str">
        <f>IF(AND(Table2683240[[#This Row],[Name of Feeder]]&lt;&gt;"",OR(Table2683240[[#This Row],[Fault Type]]="TL",Table2683240[[#This Row],[Fault Type]]="TS",Table2683240[[#This Row],[Fault Type]]="UF",Table2683240[[#This Row],[Fault Type]]="SE")),(IF(AND(VLOOKUP(Table2683240[[#This Row],[Name of Feeder]],Main!D:E,2,0)="URBAN",ISNUMBER(SEARCH("33KV",Table2683240[[#This Row],[Name of Feeder]]))),IF(AND(Table2683240[[#This Row],[Outage Duration]]&gt;0,Table2683240[[#This Row],[Outage Duration]]&lt;=0.25),"Yes","No"),IF(AND(VLOOKUP(Table2683240[[#This Row],[Name of Feeder]],Main!D:E,2,0)="RURAL",ISNUMBER(SEARCH("33KV",Table2683240[[#This Row],[Name of Feeder]]))),IF(AND(Table2683240[[#This Row],[Outage Duration]]&gt;0,Table2683240[[#This Row],[Outage Duration]]&lt;=0.33),"Yes","No"),IF(AND(VLOOKUP(Table2683240[[#This Row],[Name of Feeder]],Main!D:E,2,0)="RURAL",ISNUMBER(SEARCH("11KV",Table2683240[[#This Row],[Name of Feeder]]))),IF(AND(Table2683240[[#This Row],[Outage Duration]]&gt;0,Table2683240[[#This Row],[Outage Duration]]&lt;=0.17),"Yes","No"),IF(AND(VLOOKUP(Table2683240[[#This Row],[Name of Feeder]],Main!D:E,2,0)="URBAN",ISNUMBER(SEARCH("11KV",Table2683240[[#This Row],[Name of Feeder]]))),IF(AND(Table2683240[[#This Row],[Outage Duration]]&gt;0,Table2683240[[#This Row],[Outage Duration]]&lt;=0.17),"Yes","No"),""))))),"")</f>
        <v/>
      </c>
      <c r="Q79"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E00-000000000000}">
          <x14:formula1>
            <xm:f>Main!$F$226:$F$228</xm:f>
          </x14:formula1>
          <xm:sqref>I2:I79</xm:sqref>
        </x14:dataValidation>
        <x14:dataValidation type="list" allowBlank="1" showInputMessage="1" showErrorMessage="1" xr:uid="{00000000-0002-0000-1E00-000001000000}">
          <x14:formula1>
            <xm:f>Main!$D$2:$D$196</xm:f>
          </x14:formula1>
          <xm:sqref>A2:A79</xm:sqref>
        </x14:dataValidation>
        <x14:dataValidation type="list" allowBlank="1" showInputMessage="1" showErrorMessage="1" xr:uid="{00000000-0002-0000-1E00-000002000000}">
          <x14:formula1>
            <xm:f>Main!F$222:F$225</xm:f>
          </x14:formula1>
          <xm:sqref>G2:G79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80"/>
  <sheetViews>
    <sheetView topLeftCell="C1" zoomScale="70" zoomScaleNormal="70" workbookViewId="0">
      <selection activeCell="A2" sqref="A2:J34"/>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213"/>
      <c r="K2" s="32"/>
      <c r="L2" s="14">
        <f t="shared" ref="L2:L66" si="0">J2-E2</f>
        <v>0</v>
      </c>
      <c r="M2" s="31">
        <f t="shared" ref="M2:M23" si="1">L2*F2</f>
        <v>0</v>
      </c>
      <c r="N2" s="15" t="str">
        <f>IF(Table2683239[[#This Row],[Fault Type]]="PM",IF(L2&lt;=(D2-C2),"Yes","No"),"")</f>
        <v/>
      </c>
      <c r="O2" s="16" t="str">
        <f t="shared" ref="O2:O66" si="2">IF(N2="No",(L2-(D2-C2)),"")</f>
        <v/>
      </c>
      <c r="P2" s="30"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IF(Table2683239[[#This Row],[Fault Type]]="PM",IF(L3&lt;=(D3-C3),"Yes","No"),"")</f>
        <v/>
      </c>
      <c r="O3" s="16" t="str">
        <f t="shared" si="2"/>
        <v/>
      </c>
      <c r="P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IF(Table2683239[[#This Row],[Fault Type]]="PM",IF(L4&lt;=(D4-C4),"Yes","No"),"")</f>
        <v/>
      </c>
      <c r="O4" s="16" t="str">
        <f t="shared" si="2"/>
        <v/>
      </c>
      <c r="P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IF(Table2683239[[#This Row],[Fault Type]]="PM",IF(L5&lt;=(D5-C5),"Yes","No"),"")</f>
        <v/>
      </c>
      <c r="O5" s="16" t="str">
        <f t="shared" si="2"/>
        <v/>
      </c>
      <c r="P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IF(Table2683239[[#This Row],[Fault Type]]="PM",IF(L6&lt;=(D6-C6),"Yes","No"),"")</f>
        <v/>
      </c>
      <c r="O6" s="16" t="str">
        <f t="shared" si="2"/>
        <v/>
      </c>
      <c r="P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IF(Table2683239[[#This Row],[Fault Type]]="PM",IF(L7&lt;=(D7-C7),"Yes","No"),"")</f>
        <v/>
      </c>
      <c r="O7" s="16" t="str">
        <f t="shared" si="2"/>
        <v/>
      </c>
      <c r="P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IF(Table2683239[[#This Row],[Fault Type]]="PM",IF(L8&lt;=(D8-C8),"Yes","No"),"")</f>
        <v/>
      </c>
      <c r="O8" s="16" t="str">
        <f t="shared" si="2"/>
        <v/>
      </c>
      <c r="P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IF(Table2683239[[#This Row],[Fault Type]]="PM",IF(L9&lt;=(D9-C9),"Yes","No"),"")</f>
        <v/>
      </c>
      <c r="O9" s="16" t="str">
        <f t="shared" si="2"/>
        <v/>
      </c>
      <c r="P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IF(Table2683239[[#This Row],[Fault Type]]="PM",IF(L10&lt;=(D10-C10),"Yes","No"),"")</f>
        <v/>
      </c>
      <c r="O10" s="16" t="str">
        <f t="shared" si="2"/>
        <v/>
      </c>
      <c r="P1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IF(Table2683239[[#This Row],[Fault Type]]="PM",IF(L11&lt;=(D11-C11),"Yes","No"),"")</f>
        <v/>
      </c>
      <c r="O11" s="16" t="str">
        <f t="shared" si="2"/>
        <v/>
      </c>
      <c r="P1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IF(Table2683239[[#This Row],[Fault Type]]="PM",IF(L12&lt;=(D12-C12),"Yes","No"),"")</f>
        <v/>
      </c>
      <c r="O12" s="16" t="str">
        <f t="shared" si="2"/>
        <v/>
      </c>
      <c r="P1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2" s="17"/>
    </row>
    <row r="13" spans="1:17" ht="15.5" x14ac:dyDescent="0.35">
      <c r="A13" s="4"/>
      <c r="B13" s="12"/>
      <c r="C13" s="13"/>
      <c r="D13" s="13"/>
      <c r="E13" s="13"/>
      <c r="F13" s="12"/>
      <c r="G13" s="12"/>
      <c r="H13" s="12"/>
      <c r="I13" s="12"/>
      <c r="J13" s="13"/>
      <c r="K13" s="32"/>
      <c r="L13" s="14">
        <f t="shared" si="0"/>
        <v>0</v>
      </c>
      <c r="M13" s="31">
        <f t="shared" si="1"/>
        <v>0</v>
      </c>
      <c r="N13" s="15" t="str">
        <f>IF(Table2683239[[#This Row],[Fault Type]]="PM",IF(L13&lt;=(D13-C13),"Yes","No"),"")</f>
        <v/>
      </c>
      <c r="O13" s="16" t="str">
        <f t="shared" si="2"/>
        <v/>
      </c>
      <c r="P1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3" s="17"/>
    </row>
    <row r="14" spans="1:17" ht="15.5" x14ac:dyDescent="0.35">
      <c r="A14" s="4"/>
      <c r="B14" s="12"/>
      <c r="C14" s="13"/>
      <c r="D14" s="13"/>
      <c r="E14" s="13"/>
      <c r="F14" s="12"/>
      <c r="G14" s="12"/>
      <c r="H14" s="12"/>
      <c r="I14" s="12"/>
      <c r="J14" s="13"/>
      <c r="K14" s="32"/>
      <c r="L14" s="14">
        <f t="shared" si="0"/>
        <v>0</v>
      </c>
      <c r="M14" s="31">
        <f t="shared" si="1"/>
        <v>0</v>
      </c>
      <c r="N14" s="15" t="str">
        <f>IF(Table2683239[[#This Row],[Fault Type]]="PM",IF(L14&lt;=(D14-C14),"Yes","No"),"")</f>
        <v/>
      </c>
      <c r="O14" s="16" t="str">
        <f t="shared" si="2"/>
        <v/>
      </c>
      <c r="P1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4" s="17"/>
    </row>
    <row r="15" spans="1:17" ht="15.5" x14ac:dyDescent="0.35">
      <c r="A15" s="4"/>
      <c r="B15" s="12"/>
      <c r="C15" s="13"/>
      <c r="D15" s="13"/>
      <c r="E15" s="13"/>
      <c r="F15" s="12"/>
      <c r="G15" s="12"/>
      <c r="H15" s="12"/>
      <c r="I15" s="12"/>
      <c r="J15" s="13"/>
      <c r="K15" s="32"/>
      <c r="L15" s="14">
        <f t="shared" si="0"/>
        <v>0</v>
      </c>
      <c r="M15" s="31">
        <f t="shared" si="1"/>
        <v>0</v>
      </c>
      <c r="N15" s="15" t="str">
        <f>IF(Table2683239[[#This Row],[Fault Type]]="PM",IF(L15&lt;=(D15-C15),"Yes","No"),"")</f>
        <v/>
      </c>
      <c r="O15" s="16" t="str">
        <f t="shared" si="2"/>
        <v/>
      </c>
      <c r="P1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5" s="17"/>
    </row>
    <row r="16" spans="1:17" ht="15.5" x14ac:dyDescent="0.35">
      <c r="A16" s="4"/>
      <c r="B16" s="12"/>
      <c r="C16" s="13"/>
      <c r="D16" s="13"/>
      <c r="E16" s="13"/>
      <c r="F16" s="18"/>
      <c r="G16" s="12"/>
      <c r="H16" s="18"/>
      <c r="I16" s="18"/>
      <c r="J16" s="13"/>
      <c r="K16" s="32"/>
      <c r="L16" s="14">
        <f t="shared" si="0"/>
        <v>0</v>
      </c>
      <c r="M16" s="31">
        <f t="shared" si="1"/>
        <v>0</v>
      </c>
      <c r="N16" s="15" t="str">
        <f>IF(Table2683239[[#This Row],[Fault Type]]="PM",IF(L16&lt;=(D16-C16),"Yes","No"),"")</f>
        <v/>
      </c>
      <c r="O16" s="16" t="str">
        <f t="shared" si="2"/>
        <v/>
      </c>
      <c r="P1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6" s="17"/>
    </row>
    <row r="17" spans="1:17" ht="15.5" x14ac:dyDescent="0.35">
      <c r="A17" s="4"/>
      <c r="B17" s="12"/>
      <c r="C17" s="13"/>
      <c r="D17" s="13"/>
      <c r="E17" s="13"/>
      <c r="F17" s="12"/>
      <c r="G17" s="12"/>
      <c r="H17" s="12"/>
      <c r="I17" s="12"/>
      <c r="J17" s="13"/>
      <c r="K17" s="32"/>
      <c r="L17" s="14">
        <f t="shared" si="0"/>
        <v>0</v>
      </c>
      <c r="M17" s="31">
        <f t="shared" si="1"/>
        <v>0</v>
      </c>
      <c r="N17" s="15" t="str">
        <f>IF(Table2683239[[#This Row],[Fault Type]]="PM",IF(L17&lt;=(D17-C17),"Yes","No"),"")</f>
        <v/>
      </c>
      <c r="O17" s="16" t="str">
        <f t="shared" si="2"/>
        <v/>
      </c>
      <c r="P1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7" s="17"/>
    </row>
    <row r="18" spans="1:17" ht="15.5" x14ac:dyDescent="0.35">
      <c r="A18" s="4"/>
      <c r="B18" s="12"/>
      <c r="C18" s="13"/>
      <c r="D18" s="13"/>
      <c r="E18" s="13"/>
      <c r="F18" s="18"/>
      <c r="G18" s="12"/>
      <c r="H18" s="18"/>
      <c r="I18" s="18"/>
      <c r="J18" s="13"/>
      <c r="K18" s="32"/>
      <c r="L18" s="14">
        <f t="shared" si="0"/>
        <v>0</v>
      </c>
      <c r="M18" s="31">
        <f t="shared" si="1"/>
        <v>0</v>
      </c>
      <c r="N18" s="15" t="str">
        <f>IF(Table2683239[[#This Row],[Fault Type]]="PM",IF(L18&lt;=(D18-C18),"Yes","No"),"")</f>
        <v/>
      </c>
      <c r="O18" s="16" t="str">
        <f t="shared" si="2"/>
        <v/>
      </c>
      <c r="P1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8" s="17"/>
    </row>
    <row r="19" spans="1:17" ht="15.5" x14ac:dyDescent="0.35">
      <c r="A19" s="4"/>
      <c r="B19" s="12"/>
      <c r="C19" s="13"/>
      <c r="D19" s="13"/>
      <c r="E19" s="13"/>
      <c r="F19" s="18"/>
      <c r="G19" s="12"/>
      <c r="H19" s="18"/>
      <c r="I19" s="18"/>
      <c r="J19" s="13"/>
      <c r="K19" s="32"/>
      <c r="L19" s="14">
        <f t="shared" si="0"/>
        <v>0</v>
      </c>
      <c r="M19" s="31">
        <f t="shared" si="1"/>
        <v>0</v>
      </c>
      <c r="N19" s="15" t="str">
        <f>IF(Table2683239[[#This Row],[Fault Type]]="PM",IF(L19&lt;=(D19-C19),"Yes","No"),"")</f>
        <v/>
      </c>
      <c r="O19" s="16" t="str">
        <f t="shared" si="2"/>
        <v/>
      </c>
      <c r="P1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19" s="17"/>
    </row>
    <row r="20" spans="1:17" ht="15.5" x14ac:dyDescent="0.35">
      <c r="A20" s="4"/>
      <c r="B20" s="12"/>
      <c r="C20" s="13"/>
      <c r="D20" s="13"/>
      <c r="E20" s="13"/>
      <c r="F20" s="165"/>
      <c r="G20" s="159"/>
      <c r="H20" s="54"/>
      <c r="I20" s="54"/>
      <c r="J20" s="13"/>
      <c r="K20" s="32"/>
      <c r="L20" s="14">
        <f t="shared" si="0"/>
        <v>0</v>
      </c>
      <c r="M20" s="31">
        <f t="shared" si="1"/>
        <v>0</v>
      </c>
      <c r="N20" s="15" t="str">
        <f>IF(Table2683239[[#This Row],[Fault Type]]="PM",IF(L20&lt;=(D20-C20),"Yes","No"),"")</f>
        <v/>
      </c>
      <c r="O20" s="16" t="str">
        <f t="shared" si="2"/>
        <v/>
      </c>
      <c r="P2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0" s="17"/>
    </row>
    <row r="21" spans="1:17" ht="15.5" x14ac:dyDescent="0.35">
      <c r="A21" s="4"/>
      <c r="B21" s="12"/>
      <c r="C21" s="13"/>
      <c r="D21" s="13"/>
      <c r="E21" s="13"/>
      <c r="F21" s="18"/>
      <c r="G21" s="12"/>
      <c r="H21" s="18"/>
      <c r="I21" s="18"/>
      <c r="J21" s="13"/>
      <c r="K21" s="32"/>
      <c r="L21" s="14">
        <f t="shared" si="0"/>
        <v>0</v>
      </c>
      <c r="M21" s="31">
        <f t="shared" si="1"/>
        <v>0</v>
      </c>
      <c r="N21" s="15" t="str">
        <f>IF(Table2683239[[#This Row],[Fault Type]]="PM",IF(L21&lt;=(D21-C21),"Yes","No"),"")</f>
        <v/>
      </c>
      <c r="O21" s="16" t="str">
        <f t="shared" si="2"/>
        <v/>
      </c>
      <c r="P2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1" s="17"/>
    </row>
    <row r="22" spans="1:17" ht="15.5" x14ac:dyDescent="0.35">
      <c r="A22" s="158"/>
      <c r="B22" s="12"/>
      <c r="C22" s="13"/>
      <c r="D22" s="13"/>
      <c r="E22" s="13"/>
      <c r="F22" s="18"/>
      <c r="G22" s="12"/>
      <c r="H22" s="18"/>
      <c r="I22" s="18"/>
      <c r="J22" s="13"/>
      <c r="K22" s="32"/>
      <c r="L22" s="14">
        <f t="shared" si="0"/>
        <v>0</v>
      </c>
      <c r="M22" s="31">
        <f t="shared" si="1"/>
        <v>0</v>
      </c>
      <c r="N22" s="15" t="str">
        <f>IF(Table2683239[[#This Row],[Fault Type]]="PM",IF(L22&lt;=(D22-C22),"Yes","No"),"")</f>
        <v/>
      </c>
      <c r="O22" s="16" t="str">
        <f t="shared" si="2"/>
        <v/>
      </c>
      <c r="P2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2" s="17"/>
    </row>
    <row r="23" spans="1:17" ht="15.5" x14ac:dyDescent="0.35">
      <c r="A23" s="4"/>
      <c r="B23" s="12"/>
      <c r="C23" s="13"/>
      <c r="D23" s="13"/>
      <c r="E23" s="13"/>
      <c r="F23" s="18"/>
      <c r="G23" s="12"/>
      <c r="H23" s="18"/>
      <c r="I23" s="18"/>
      <c r="J23" s="13"/>
      <c r="K23" s="32"/>
      <c r="L23" s="14">
        <f t="shared" si="0"/>
        <v>0</v>
      </c>
      <c r="M23" s="31">
        <f t="shared" si="1"/>
        <v>0</v>
      </c>
      <c r="N23" s="15" t="str">
        <f>IF(Table2683239[[#This Row],[Fault Type]]="PM",IF(L23&lt;=(D23-C23),"Yes","No"),"")</f>
        <v/>
      </c>
      <c r="O23" s="16" t="str">
        <f t="shared" si="2"/>
        <v/>
      </c>
      <c r="P2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3" s="17"/>
    </row>
    <row r="24" spans="1:17" ht="15.5" x14ac:dyDescent="0.35">
      <c r="A24" s="4"/>
      <c r="B24" s="12"/>
      <c r="C24" s="13"/>
      <c r="D24" s="13"/>
      <c r="E24" s="13"/>
      <c r="F24" s="18"/>
      <c r="G24" s="12"/>
      <c r="H24" s="18"/>
      <c r="I24" s="18"/>
      <c r="J24" s="13"/>
      <c r="K24" s="32"/>
      <c r="L24" s="14">
        <f t="shared" si="0"/>
        <v>0</v>
      </c>
      <c r="M24" s="31">
        <f t="shared" ref="M24:M80" si="3">L24*F24</f>
        <v>0</v>
      </c>
      <c r="N24" s="15" t="str">
        <f>IF(Table2683239[[#This Row],[Fault Type]]="PM",IF(L24&lt;=(D24-C24),"Yes","No"),"")</f>
        <v/>
      </c>
      <c r="O24" s="16" t="str">
        <f t="shared" si="2"/>
        <v/>
      </c>
      <c r="P2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4" s="17"/>
    </row>
    <row r="25" spans="1:17" ht="15.5" x14ac:dyDescent="0.35">
      <c r="A25" s="4"/>
      <c r="B25" s="12"/>
      <c r="C25" s="13"/>
      <c r="D25" s="13"/>
      <c r="E25" s="13"/>
      <c r="F25" s="18"/>
      <c r="G25" s="12"/>
      <c r="H25" s="18"/>
      <c r="I25" s="18"/>
      <c r="J25" s="13"/>
      <c r="K25" s="32"/>
      <c r="L25" s="14">
        <f t="shared" si="0"/>
        <v>0</v>
      </c>
      <c r="M25" s="31">
        <f t="shared" si="3"/>
        <v>0</v>
      </c>
      <c r="N25" s="15" t="str">
        <f>IF(Table2683239[[#This Row],[Fault Type]]="PM",IF(L25&lt;=(D25-C25),"Yes","No"),"")</f>
        <v/>
      </c>
      <c r="O25" s="16" t="str">
        <f t="shared" si="2"/>
        <v/>
      </c>
      <c r="P2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5" s="17"/>
    </row>
    <row r="26" spans="1:17" ht="15.5" x14ac:dyDescent="0.35">
      <c r="A26" s="4"/>
      <c r="B26" s="12"/>
      <c r="C26" s="13"/>
      <c r="D26" s="13"/>
      <c r="E26" s="13"/>
      <c r="F26" s="12"/>
      <c r="G26" s="12"/>
      <c r="H26" s="12"/>
      <c r="I26" s="12"/>
      <c r="J26" s="13"/>
      <c r="K26" s="32"/>
      <c r="L26" s="14">
        <f t="shared" si="0"/>
        <v>0</v>
      </c>
      <c r="M26" s="31">
        <f t="shared" si="3"/>
        <v>0</v>
      </c>
      <c r="N26" s="15" t="str">
        <f>IF(Table2683239[[#This Row],[Fault Type]]="PM",IF(L26&lt;=(D26-C26),"Yes","No"),"")</f>
        <v/>
      </c>
      <c r="O26" s="16" t="str">
        <f t="shared" si="2"/>
        <v/>
      </c>
      <c r="P2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6" s="17"/>
    </row>
    <row r="27" spans="1:17" ht="15.5" x14ac:dyDescent="0.35">
      <c r="A27" s="4"/>
      <c r="B27" s="12"/>
      <c r="C27" s="13"/>
      <c r="D27" s="13"/>
      <c r="E27" s="13"/>
      <c r="F27" s="18"/>
      <c r="G27" s="12"/>
      <c r="H27" s="18"/>
      <c r="I27" s="18"/>
      <c r="J27" s="13"/>
      <c r="K27" s="32"/>
      <c r="L27" s="14">
        <f t="shared" si="0"/>
        <v>0</v>
      </c>
      <c r="M27" s="31">
        <f t="shared" si="3"/>
        <v>0</v>
      </c>
      <c r="N27" s="15" t="str">
        <f>IF(Table2683239[[#This Row],[Fault Type]]="PM",IF(L27&lt;=(D27-C27),"Yes","No"),"")</f>
        <v/>
      </c>
      <c r="O27" s="16" t="str">
        <f t="shared" si="2"/>
        <v/>
      </c>
      <c r="P2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7" s="17"/>
    </row>
    <row r="28" spans="1:17" ht="15.5" x14ac:dyDescent="0.35">
      <c r="A28" s="4"/>
      <c r="B28" s="12"/>
      <c r="C28" s="13"/>
      <c r="D28" s="13"/>
      <c r="E28" s="13"/>
      <c r="F28" s="18"/>
      <c r="G28" s="12"/>
      <c r="H28" s="18"/>
      <c r="I28" s="18"/>
      <c r="J28" s="148"/>
      <c r="K28" s="32"/>
      <c r="L28" s="14">
        <f t="shared" si="0"/>
        <v>0</v>
      </c>
      <c r="M28" s="31">
        <f t="shared" si="3"/>
        <v>0</v>
      </c>
      <c r="N28" s="15" t="str">
        <f>IF(Table2683239[[#This Row],[Fault Type]]="PM",IF(L28&lt;=(D28-C28),"Yes","No"),"")</f>
        <v/>
      </c>
      <c r="O28" s="16" t="str">
        <f t="shared" si="2"/>
        <v/>
      </c>
      <c r="P2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8" s="17"/>
    </row>
    <row r="29" spans="1:17" s="145" customFormat="1" ht="15.5" x14ac:dyDescent="0.35">
      <c r="A29" s="146"/>
      <c r="B29" s="147"/>
      <c r="C29" s="148"/>
      <c r="D29" s="148"/>
      <c r="E29" s="148"/>
      <c r="F29" s="153"/>
      <c r="G29" s="147"/>
      <c r="H29" s="153"/>
      <c r="I29" s="153"/>
      <c r="J29" s="148"/>
      <c r="K29" s="156"/>
      <c r="L29" s="149">
        <f>J29-E29</f>
        <v>0</v>
      </c>
      <c r="M29" s="155">
        <f>L29*F29</f>
        <v>0</v>
      </c>
      <c r="N29" s="150" t="str">
        <f>IF(Table2683239[[#This Row],[Fault Type]]="PM",IF(L29&lt;=(D29-C29),"Yes","No"),"")</f>
        <v/>
      </c>
      <c r="O29" s="151" t="str">
        <f>IF(N29="No",(L29-(D29-C29)),"")</f>
        <v/>
      </c>
      <c r="P2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29" s="152"/>
    </row>
    <row r="30" spans="1:17" ht="15.5" x14ac:dyDescent="0.35">
      <c r="A30" s="4"/>
      <c r="B30" s="12"/>
      <c r="C30" s="13"/>
      <c r="D30" s="13"/>
      <c r="E30" s="13"/>
      <c r="F30" s="12"/>
      <c r="G30" s="12"/>
      <c r="H30" s="12"/>
      <c r="I30" s="12"/>
      <c r="J30" s="13"/>
      <c r="K30" s="32"/>
      <c r="L30" s="14">
        <f t="shared" si="0"/>
        <v>0</v>
      </c>
      <c r="M30" s="31">
        <f t="shared" si="3"/>
        <v>0</v>
      </c>
      <c r="N30" s="15" t="str">
        <f>IF(Table2683239[[#This Row],[Fault Type]]="PM",IF(L30&lt;=(D30-C30),"Yes","No"),"")</f>
        <v/>
      </c>
      <c r="O30" s="16" t="str">
        <f t="shared" si="2"/>
        <v/>
      </c>
      <c r="P3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0" s="152"/>
    </row>
    <row r="31" spans="1:17" ht="15.5" x14ac:dyDescent="0.35">
      <c r="A31" s="4"/>
      <c r="B31" s="12"/>
      <c r="C31" s="13"/>
      <c r="D31" s="13"/>
      <c r="E31" s="13"/>
      <c r="F31" s="18"/>
      <c r="G31" s="12"/>
      <c r="H31" s="18"/>
      <c r="I31" s="18"/>
      <c r="J31" s="13"/>
      <c r="K31" s="32"/>
      <c r="L31" s="14">
        <f t="shared" si="0"/>
        <v>0</v>
      </c>
      <c r="M31" s="31">
        <f t="shared" si="3"/>
        <v>0</v>
      </c>
      <c r="N31" s="15" t="str">
        <f>IF(Table2683239[[#This Row],[Fault Type]]="PM",IF(L31&lt;=(D31-C31),"Yes","No"),"")</f>
        <v/>
      </c>
      <c r="O31" s="16" t="str">
        <f t="shared" si="2"/>
        <v/>
      </c>
      <c r="P3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1" s="152"/>
    </row>
    <row r="32" spans="1:17" ht="15.5" x14ac:dyDescent="0.35">
      <c r="A32" s="4"/>
      <c r="B32" s="12"/>
      <c r="C32" s="13"/>
      <c r="D32" s="13"/>
      <c r="E32" s="13"/>
      <c r="F32" s="18"/>
      <c r="G32" s="12"/>
      <c r="H32" s="18"/>
      <c r="I32" s="18"/>
      <c r="J32" s="13"/>
      <c r="K32" s="32"/>
      <c r="L32" s="14">
        <f t="shared" si="0"/>
        <v>0</v>
      </c>
      <c r="M32" s="31">
        <f t="shared" si="3"/>
        <v>0</v>
      </c>
      <c r="N32" s="15" t="str">
        <f>IF(Table2683239[[#This Row],[Fault Type]]="PM",IF(L32&lt;=(D32-C32),"Yes","No"),"")</f>
        <v/>
      </c>
      <c r="O32" s="16" t="str">
        <f t="shared" si="2"/>
        <v/>
      </c>
      <c r="P3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2" s="152"/>
    </row>
    <row r="33" spans="1:17" ht="15.5" x14ac:dyDescent="0.35">
      <c r="A33" s="4"/>
      <c r="B33" s="12"/>
      <c r="C33" s="13"/>
      <c r="D33" s="13"/>
      <c r="E33" s="13"/>
      <c r="F33" s="18"/>
      <c r="G33" s="12"/>
      <c r="H33" s="18"/>
      <c r="I33" s="18"/>
      <c r="J33" s="13"/>
      <c r="K33" s="32"/>
      <c r="L33" s="14">
        <f t="shared" si="0"/>
        <v>0</v>
      </c>
      <c r="M33" s="31">
        <f t="shared" si="3"/>
        <v>0</v>
      </c>
      <c r="N33" s="15" t="str">
        <f>IF(Table2683239[[#This Row],[Fault Type]]="PM",IF(L33&lt;=(D33-C33),"Yes","No"),"")</f>
        <v/>
      </c>
      <c r="O33" s="16" t="str">
        <f t="shared" si="2"/>
        <v/>
      </c>
      <c r="P3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3" s="17"/>
    </row>
    <row r="34" spans="1:17" ht="15.5" x14ac:dyDescent="0.35">
      <c r="A34" s="4"/>
      <c r="B34" s="12"/>
      <c r="C34" s="13"/>
      <c r="D34" s="13"/>
      <c r="E34" s="13"/>
      <c r="F34" s="18"/>
      <c r="G34" s="12"/>
      <c r="H34" s="18"/>
      <c r="I34" s="18"/>
      <c r="J34" s="13"/>
      <c r="K34" s="32"/>
      <c r="L34" s="14">
        <f t="shared" si="0"/>
        <v>0</v>
      </c>
      <c r="M34" s="31">
        <f t="shared" si="3"/>
        <v>0</v>
      </c>
      <c r="N34" s="15" t="str">
        <f>IF(Table2683239[[#This Row],[Fault Type]]="PM",IF(L34&lt;=(D34-C34),"Yes","No"),"")</f>
        <v/>
      </c>
      <c r="O34" s="16" t="str">
        <f t="shared" si="2"/>
        <v/>
      </c>
      <c r="P3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4" s="17"/>
    </row>
    <row r="35" spans="1:17" ht="15.5" x14ac:dyDescent="0.35">
      <c r="A35" s="4"/>
      <c r="B35" s="12"/>
      <c r="C35" s="13"/>
      <c r="D35" s="13"/>
      <c r="E35" s="13"/>
      <c r="F35" s="18"/>
      <c r="G35" s="12"/>
      <c r="H35" s="18"/>
      <c r="I35" s="18"/>
      <c r="J35" s="13"/>
      <c r="K35" s="32"/>
      <c r="L35" s="14">
        <f t="shared" si="0"/>
        <v>0</v>
      </c>
      <c r="M35" s="31">
        <f t="shared" si="3"/>
        <v>0</v>
      </c>
      <c r="N35" s="15" t="str">
        <f>IF(Table2683239[[#This Row],[Fault Type]]="PM",IF(L35&lt;=(D35-C35),"Yes","No"),"")</f>
        <v/>
      </c>
      <c r="O35" s="16" t="str">
        <f t="shared" si="2"/>
        <v/>
      </c>
      <c r="P3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5" s="17"/>
    </row>
    <row r="36" spans="1:17" ht="15.5" x14ac:dyDescent="0.35">
      <c r="A36" s="4"/>
      <c r="B36" s="12"/>
      <c r="C36" s="13"/>
      <c r="D36" s="13"/>
      <c r="E36" s="13"/>
      <c r="F36" s="18"/>
      <c r="G36" s="12"/>
      <c r="H36" s="18"/>
      <c r="I36" s="18"/>
      <c r="J36" s="13"/>
      <c r="K36" s="32"/>
      <c r="L36" s="14">
        <f t="shared" si="0"/>
        <v>0</v>
      </c>
      <c r="M36" s="31">
        <f t="shared" si="3"/>
        <v>0</v>
      </c>
      <c r="N36" s="15" t="str">
        <f>IF(Table2683239[[#This Row],[Fault Type]]="PM",IF(L36&lt;=(D36-C36),"Yes","No"),"")</f>
        <v/>
      </c>
      <c r="O36" s="16" t="str">
        <f t="shared" si="2"/>
        <v/>
      </c>
      <c r="P3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6" s="17"/>
    </row>
    <row r="37" spans="1:17" ht="15.5" x14ac:dyDescent="0.35">
      <c r="A37" s="4"/>
      <c r="B37" s="12"/>
      <c r="C37" s="13"/>
      <c r="D37" s="13"/>
      <c r="E37" s="13"/>
      <c r="F37" s="18"/>
      <c r="G37" s="12"/>
      <c r="H37" s="18"/>
      <c r="I37" s="18"/>
      <c r="J37" s="13"/>
      <c r="K37" s="32"/>
      <c r="L37" s="14">
        <f t="shared" si="0"/>
        <v>0</v>
      </c>
      <c r="M37" s="31">
        <f t="shared" si="3"/>
        <v>0</v>
      </c>
      <c r="N37" s="15" t="str">
        <f>IF(Table2683239[[#This Row],[Fault Type]]="PM",IF(L37&lt;=(D37-C37),"Yes","No"),"")</f>
        <v/>
      </c>
      <c r="O37" s="16" t="str">
        <f t="shared" si="2"/>
        <v/>
      </c>
      <c r="P3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7" s="17"/>
    </row>
    <row r="38" spans="1:17" ht="15.5" x14ac:dyDescent="0.35">
      <c r="A38" s="4"/>
      <c r="B38" s="12"/>
      <c r="C38" s="13"/>
      <c r="D38" s="13"/>
      <c r="E38" s="13"/>
      <c r="F38" s="18"/>
      <c r="G38" s="12"/>
      <c r="H38" s="18"/>
      <c r="I38" s="18"/>
      <c r="J38" s="13"/>
      <c r="K38" s="32"/>
      <c r="L38" s="14">
        <f t="shared" si="0"/>
        <v>0</v>
      </c>
      <c r="M38" s="31">
        <f t="shared" si="3"/>
        <v>0</v>
      </c>
      <c r="N38" s="15" t="str">
        <f>IF(Table2683239[[#This Row],[Fault Type]]="PM",IF(L38&lt;=(D38-C38),"Yes","No"),"")</f>
        <v/>
      </c>
      <c r="O38" s="16" t="str">
        <f t="shared" si="2"/>
        <v/>
      </c>
      <c r="P3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8" s="17"/>
    </row>
    <row r="39" spans="1:17" ht="15.5" x14ac:dyDescent="0.35">
      <c r="A39" s="4"/>
      <c r="B39" s="12"/>
      <c r="C39" s="13"/>
      <c r="D39" s="13"/>
      <c r="E39" s="13"/>
      <c r="F39" s="18"/>
      <c r="G39" s="12"/>
      <c r="H39" s="18"/>
      <c r="I39" s="18"/>
      <c r="J39" s="13"/>
      <c r="K39" s="32"/>
      <c r="L39" s="14">
        <f t="shared" si="0"/>
        <v>0</v>
      </c>
      <c r="M39" s="31">
        <f t="shared" si="3"/>
        <v>0</v>
      </c>
      <c r="N39" s="15" t="str">
        <f>IF(Table2683239[[#This Row],[Fault Type]]="PM",IF(L39&lt;=(D39-C39),"Yes","No"),"")</f>
        <v/>
      </c>
      <c r="O39" s="16" t="str">
        <f t="shared" si="2"/>
        <v/>
      </c>
      <c r="P3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39" s="17"/>
    </row>
    <row r="40" spans="1:17" ht="15.5" x14ac:dyDescent="0.35">
      <c r="A40" s="4"/>
      <c r="B40" s="12"/>
      <c r="C40" s="13"/>
      <c r="D40" s="13"/>
      <c r="E40" s="13"/>
      <c r="F40" s="18"/>
      <c r="G40" s="12"/>
      <c r="H40" s="18"/>
      <c r="I40" s="18"/>
      <c r="J40" s="13"/>
      <c r="K40" s="32"/>
      <c r="L40" s="14">
        <f t="shared" si="0"/>
        <v>0</v>
      </c>
      <c r="M40" s="31">
        <f t="shared" si="3"/>
        <v>0</v>
      </c>
      <c r="N40" s="15" t="str">
        <f>IF(Table2683239[[#This Row],[Fault Type]]="PM",IF(L40&lt;=(D40-C40),"Yes","No"),"")</f>
        <v/>
      </c>
      <c r="O40" s="16" t="str">
        <f t="shared" si="2"/>
        <v/>
      </c>
      <c r="P4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0" s="17"/>
    </row>
    <row r="41" spans="1:17" ht="15.5" x14ac:dyDescent="0.35">
      <c r="A41" s="4"/>
      <c r="B41" s="12"/>
      <c r="C41" s="13"/>
      <c r="D41" s="13"/>
      <c r="E41" s="13"/>
      <c r="F41" s="18"/>
      <c r="G41" s="12"/>
      <c r="H41" s="18"/>
      <c r="I41" s="18"/>
      <c r="J41" s="13"/>
      <c r="K41" s="32"/>
      <c r="L41" s="14">
        <f t="shared" si="0"/>
        <v>0</v>
      </c>
      <c r="M41" s="31">
        <f t="shared" si="3"/>
        <v>0</v>
      </c>
      <c r="N41" s="15" t="str">
        <f>IF(Table2683239[[#This Row],[Fault Type]]="PM",IF(L41&lt;=(D41-C41),"Yes","No"),"")</f>
        <v/>
      </c>
      <c r="O41" s="16" t="str">
        <f t="shared" si="2"/>
        <v/>
      </c>
      <c r="P4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IF(Table2683239[[#This Row],[Fault Type]]="PM",IF(L42&lt;=(D42-C42),"Yes","No"),"")</f>
        <v/>
      </c>
      <c r="O42" s="16" t="str">
        <f t="shared" si="2"/>
        <v/>
      </c>
      <c r="P4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IF(Table2683239[[#This Row],[Fault Type]]="PM",IF(L43&lt;=(D43-C43),"Yes","No"),"")</f>
        <v/>
      </c>
      <c r="O43" s="16" t="str">
        <f t="shared" si="2"/>
        <v/>
      </c>
      <c r="P4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IF(Table2683239[[#This Row],[Fault Type]]="PM",IF(L44&lt;=(D44-C44),"Yes","No"),"")</f>
        <v/>
      </c>
      <c r="O44" s="16" t="str">
        <f t="shared" si="2"/>
        <v/>
      </c>
      <c r="P4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IF(Table2683239[[#This Row],[Fault Type]]="PM",IF(L45&lt;=(D45-C45),"Yes","No"),"")</f>
        <v/>
      </c>
      <c r="O45" s="16" t="str">
        <f t="shared" si="2"/>
        <v/>
      </c>
      <c r="P4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5" s="17"/>
    </row>
    <row r="46" spans="1:17" ht="15.75" customHeight="1" x14ac:dyDescent="0.35">
      <c r="A46" s="4"/>
      <c r="B46" s="12"/>
      <c r="C46" s="13"/>
      <c r="D46" s="13"/>
      <c r="E46" s="13"/>
      <c r="F46" s="12"/>
      <c r="G46" s="12"/>
      <c r="H46" s="12"/>
      <c r="I46" s="12"/>
      <c r="J46" s="13"/>
      <c r="K46" s="32"/>
      <c r="L46" s="14">
        <f t="shared" si="0"/>
        <v>0</v>
      </c>
      <c r="M46" s="31">
        <f t="shared" si="3"/>
        <v>0</v>
      </c>
      <c r="N46" s="15" t="str">
        <f>IF(Table2683239[[#This Row],[Fault Type]]="PM",IF(L46&lt;=(D46-C46),"Yes","No"),"")</f>
        <v/>
      </c>
      <c r="O46" s="16" t="str">
        <f t="shared" si="2"/>
        <v/>
      </c>
      <c r="P4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6" s="17"/>
    </row>
    <row r="47" spans="1:17" ht="15.5" x14ac:dyDescent="0.35">
      <c r="A47" s="4"/>
      <c r="B47" s="12"/>
      <c r="C47" s="13"/>
      <c r="D47" s="13"/>
      <c r="E47" s="13"/>
      <c r="F47" s="18"/>
      <c r="G47" s="12"/>
      <c r="H47" s="18"/>
      <c r="I47" s="18"/>
      <c r="J47" s="13"/>
      <c r="K47" s="32"/>
      <c r="L47" s="14">
        <f t="shared" si="0"/>
        <v>0</v>
      </c>
      <c r="M47" s="31">
        <f t="shared" si="3"/>
        <v>0</v>
      </c>
      <c r="N47" s="15" t="str">
        <f>IF(Table2683239[[#This Row],[Fault Type]]="PM",IF(L47&lt;=(D47-C47),"Yes","No"),"")</f>
        <v/>
      </c>
      <c r="O47" s="16" t="str">
        <f t="shared" si="2"/>
        <v/>
      </c>
      <c r="P4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7" s="17"/>
    </row>
    <row r="48" spans="1:17" ht="15.5" x14ac:dyDescent="0.35">
      <c r="A48" s="4"/>
      <c r="B48" s="49"/>
      <c r="C48" s="49"/>
      <c r="D48" s="49"/>
      <c r="E48" s="13"/>
      <c r="F48" s="64"/>
      <c r="G48" s="159"/>
      <c r="H48" s="54"/>
      <c r="I48" s="54"/>
      <c r="J48" s="13"/>
      <c r="K48" s="32"/>
      <c r="L48" s="14">
        <f t="shared" si="0"/>
        <v>0</v>
      </c>
      <c r="M48" s="53">
        <f t="shared" si="3"/>
        <v>0</v>
      </c>
      <c r="N48" s="50" t="str">
        <f>IF(Table2683239[[#This Row],[Fault Type]]="PM",IF(L48&lt;=(D48-C48),"Yes","No"),"")</f>
        <v/>
      </c>
      <c r="O48" s="51" t="str">
        <f t="shared" si="2"/>
        <v/>
      </c>
      <c r="P4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row>
    <row r="49" spans="1:17" ht="15.5" x14ac:dyDescent="0.35">
      <c r="A49" s="58"/>
      <c r="B49" s="55"/>
      <c r="C49" s="56"/>
      <c r="D49" s="56"/>
      <c r="E49" s="13"/>
      <c r="F49" s="55"/>
      <c r="G49" s="55"/>
      <c r="H49" s="57"/>
      <c r="I49" s="18"/>
      <c r="J49" s="13"/>
      <c r="K49" s="32"/>
      <c r="L49" s="14">
        <f t="shared" si="0"/>
        <v>0</v>
      </c>
      <c r="M49" s="59">
        <f t="shared" si="3"/>
        <v>0</v>
      </c>
      <c r="N49" s="61" t="str">
        <f>IF(Table2683239[[#This Row],[Fault Type]]="PM",IF(L49&lt;=(D49-C49),"Yes","No"),"")</f>
        <v/>
      </c>
      <c r="O49" s="62" t="str">
        <f t="shared" si="2"/>
        <v/>
      </c>
      <c r="P4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IF(Table2683239[[#This Row],[Fault Type]]="PM",IF(L50&lt;=(D50-C50),"Yes","No"),"")</f>
        <v/>
      </c>
      <c r="O50" s="62" t="str">
        <f t="shared" si="2"/>
        <v/>
      </c>
      <c r="P5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0" s="63"/>
    </row>
    <row r="51" spans="1:17" ht="15.5" x14ac:dyDescent="0.35">
      <c r="A51" s="58"/>
      <c r="B51" s="55"/>
      <c r="C51" s="56"/>
      <c r="D51" s="56"/>
      <c r="E51" s="13"/>
      <c r="F51" s="55"/>
      <c r="G51" s="55"/>
      <c r="H51" s="57"/>
      <c r="I51" s="18"/>
      <c r="J51" s="13"/>
      <c r="K51" s="32"/>
      <c r="L51" s="14">
        <f t="shared" si="0"/>
        <v>0</v>
      </c>
      <c r="M51" s="59">
        <f t="shared" si="3"/>
        <v>0</v>
      </c>
      <c r="N51" s="61" t="str">
        <f>IF(Table2683239[[#This Row],[Fault Type]]="PM",IF(L51&lt;=(D51-C51),"Yes","No"),"")</f>
        <v/>
      </c>
      <c r="O51" s="62" t="str">
        <f t="shared" si="2"/>
        <v/>
      </c>
      <c r="P5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1" s="63"/>
    </row>
    <row r="52" spans="1:17" ht="15.5" x14ac:dyDescent="0.35">
      <c r="A52" s="58"/>
      <c r="B52" s="55"/>
      <c r="C52" s="56"/>
      <c r="D52" s="56"/>
      <c r="E52" s="13"/>
      <c r="F52" s="55"/>
      <c r="G52" s="55"/>
      <c r="H52" s="57"/>
      <c r="I52" s="18"/>
      <c r="J52" s="13"/>
      <c r="K52" s="60"/>
      <c r="L52" s="14">
        <f t="shared" si="0"/>
        <v>0</v>
      </c>
      <c r="M52" s="59">
        <f t="shared" si="3"/>
        <v>0</v>
      </c>
      <c r="N52" s="61" t="str">
        <f>IF(Table2683239[[#This Row],[Fault Type]]="PM",IF(L52&lt;=(D52-C52),"Yes","No"),"")</f>
        <v/>
      </c>
      <c r="O52" s="62" t="str">
        <f t="shared" si="2"/>
        <v/>
      </c>
      <c r="P5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2" s="63"/>
    </row>
    <row r="53" spans="1:17" ht="15.5" x14ac:dyDescent="0.35">
      <c r="A53" s="58"/>
      <c r="B53" s="55"/>
      <c r="C53" s="56"/>
      <c r="D53" s="56"/>
      <c r="E53" s="13"/>
      <c r="F53" s="55"/>
      <c r="G53" s="55"/>
      <c r="H53" s="57"/>
      <c r="I53" s="18"/>
      <c r="J53" s="13"/>
      <c r="K53" s="60"/>
      <c r="L53" s="14">
        <f t="shared" si="0"/>
        <v>0</v>
      </c>
      <c r="M53" s="59">
        <f t="shared" si="3"/>
        <v>0</v>
      </c>
      <c r="N53" s="61" t="str">
        <f>IF(Table2683239[[#This Row],[Fault Type]]="PM",IF(L53&lt;=(D53-C53),"Yes","No"),"")</f>
        <v/>
      </c>
      <c r="O53" s="62" t="str">
        <f t="shared" si="2"/>
        <v/>
      </c>
      <c r="P5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3" s="63"/>
    </row>
    <row r="54" spans="1:17" ht="15.5" x14ac:dyDescent="0.35">
      <c r="A54" s="58"/>
      <c r="B54" s="55"/>
      <c r="C54" s="56"/>
      <c r="D54" s="56"/>
      <c r="E54" s="13"/>
      <c r="F54" s="55"/>
      <c r="G54" s="55"/>
      <c r="H54" s="57"/>
      <c r="I54" s="18"/>
      <c r="J54" s="13"/>
      <c r="K54" s="60"/>
      <c r="L54" s="14">
        <f t="shared" si="0"/>
        <v>0</v>
      </c>
      <c r="M54" s="59">
        <f t="shared" si="3"/>
        <v>0</v>
      </c>
      <c r="N54" s="61" t="str">
        <f>IF(Table2683239[[#This Row],[Fault Type]]="PM",IF(L54&lt;=(D54-C54),"Yes","No"),"")</f>
        <v/>
      </c>
      <c r="O54" s="62" t="str">
        <f t="shared" si="2"/>
        <v/>
      </c>
      <c r="P5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4" s="63"/>
    </row>
    <row r="55" spans="1:17" ht="15.5" x14ac:dyDescent="0.35">
      <c r="A55" s="58"/>
      <c r="B55" s="55"/>
      <c r="C55" s="56"/>
      <c r="D55" s="56"/>
      <c r="E55" s="13"/>
      <c r="F55" s="55"/>
      <c r="G55" s="55"/>
      <c r="H55" s="57"/>
      <c r="I55" s="18"/>
      <c r="J55" s="13"/>
      <c r="K55" s="60"/>
      <c r="L55" s="14">
        <f t="shared" si="0"/>
        <v>0</v>
      </c>
      <c r="M55" s="59">
        <f t="shared" si="3"/>
        <v>0</v>
      </c>
      <c r="N55" s="61" t="str">
        <f>IF(Table2683239[[#This Row],[Fault Type]]="PM",IF(L55&lt;=(D55-C55),"Yes","No"),"")</f>
        <v/>
      </c>
      <c r="O55" s="62" t="str">
        <f t="shared" si="2"/>
        <v/>
      </c>
      <c r="P5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5" s="63"/>
    </row>
    <row r="56" spans="1:17" ht="15.5" x14ac:dyDescent="0.35">
      <c r="A56" s="58"/>
      <c r="B56" s="55"/>
      <c r="C56" s="56"/>
      <c r="D56" s="56"/>
      <c r="E56" s="13"/>
      <c r="F56" s="55"/>
      <c r="G56" s="55"/>
      <c r="H56" s="57"/>
      <c r="I56" s="18"/>
      <c r="J56" s="13"/>
      <c r="K56" s="60"/>
      <c r="L56" s="14">
        <f t="shared" si="0"/>
        <v>0</v>
      </c>
      <c r="M56" s="59">
        <f t="shared" si="3"/>
        <v>0</v>
      </c>
      <c r="N56" s="61" t="str">
        <f>IF(Table2683239[[#This Row],[Fault Type]]="PM",IF(L56&lt;=(D56-C56),"Yes","No"),"")</f>
        <v/>
      </c>
      <c r="O56" s="62" t="str">
        <f t="shared" si="2"/>
        <v/>
      </c>
      <c r="P5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6" s="63"/>
    </row>
    <row r="57" spans="1:17" ht="15.5" x14ac:dyDescent="0.35">
      <c r="A57" s="58"/>
      <c r="B57" s="55"/>
      <c r="C57" s="56"/>
      <c r="D57" s="56"/>
      <c r="E57" s="13"/>
      <c r="F57" s="55"/>
      <c r="G57" s="55"/>
      <c r="H57" s="57"/>
      <c r="I57" s="18"/>
      <c r="J57" s="13"/>
      <c r="K57" s="60"/>
      <c r="L57" s="14">
        <f t="shared" si="0"/>
        <v>0</v>
      </c>
      <c r="M57" s="59">
        <f t="shared" si="3"/>
        <v>0</v>
      </c>
      <c r="N57" s="61" t="str">
        <f>IF(Table2683239[[#This Row],[Fault Type]]="PM",IF(L57&lt;=(D57-C57),"Yes","No"),"")</f>
        <v/>
      </c>
      <c r="O57" s="62" t="str">
        <f t="shared" si="2"/>
        <v/>
      </c>
      <c r="P5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7" s="63"/>
    </row>
    <row r="58" spans="1:17" ht="15.5" x14ac:dyDescent="0.35">
      <c r="A58" s="58"/>
      <c r="B58" s="55"/>
      <c r="C58" s="56"/>
      <c r="D58" s="56"/>
      <c r="E58" s="13"/>
      <c r="F58" s="55"/>
      <c r="G58" s="55"/>
      <c r="H58" s="57"/>
      <c r="I58" s="18"/>
      <c r="J58" s="13"/>
      <c r="K58" s="60"/>
      <c r="L58" s="14">
        <f t="shared" si="0"/>
        <v>0</v>
      </c>
      <c r="M58" s="59">
        <f t="shared" si="3"/>
        <v>0</v>
      </c>
      <c r="N58" s="61" t="str">
        <f>IF(Table2683239[[#This Row],[Fault Type]]="PM",IF(L58&lt;=(D58-C58),"Yes","No"),"")</f>
        <v/>
      </c>
      <c r="O58" s="62" t="str">
        <f t="shared" si="2"/>
        <v/>
      </c>
      <c r="P5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IF(Table2683239[[#This Row],[Fault Type]]="PM",IF(L59&lt;=(D59-C59),"Yes","No"),"")</f>
        <v/>
      </c>
      <c r="O59" s="62" t="str">
        <f t="shared" si="2"/>
        <v/>
      </c>
      <c r="P5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IF(Table2683239[[#This Row],[Fault Type]]="PM",IF(L60&lt;=(D60-C60),"Yes","No"),"")</f>
        <v/>
      </c>
      <c r="O60" s="62" t="str">
        <f t="shared" si="2"/>
        <v/>
      </c>
      <c r="P6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IF(Table2683239[[#This Row],[Fault Type]]="PM",IF(L61&lt;=(D61-C61),"Yes","No"),"")</f>
        <v/>
      </c>
      <c r="O61" s="62" t="str">
        <f t="shared" si="2"/>
        <v/>
      </c>
      <c r="P6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IF(Table2683239[[#This Row],[Fault Type]]="PM",IF(L62&lt;=(D62-C62),"Yes","No"),"")</f>
        <v/>
      </c>
      <c r="O62" s="62" t="str">
        <f t="shared" si="2"/>
        <v/>
      </c>
      <c r="P6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IF(Table2683239[[#This Row],[Fault Type]]="PM",IF(L63&lt;=(D63-C63),"Yes","No"),"")</f>
        <v/>
      </c>
      <c r="O63" s="62" t="str">
        <f t="shared" si="2"/>
        <v/>
      </c>
      <c r="P6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IF(Table2683239[[#This Row],[Fault Type]]="PM",IF(L64&lt;=(D64-C64),"Yes","No"),"")</f>
        <v/>
      </c>
      <c r="O64" s="62" t="str">
        <f t="shared" si="2"/>
        <v/>
      </c>
      <c r="P6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IF(Table2683239[[#This Row],[Fault Type]]="PM",IF(L65&lt;=(D65-C65),"Yes","No"),"")</f>
        <v/>
      </c>
      <c r="O65" s="62" t="str">
        <f t="shared" si="2"/>
        <v/>
      </c>
      <c r="P6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5" s="63"/>
    </row>
    <row r="66" spans="1:17" ht="15.5" x14ac:dyDescent="0.35">
      <c r="A66" s="58"/>
      <c r="B66" s="55"/>
      <c r="C66" s="56"/>
      <c r="D66" s="56"/>
      <c r="E66" s="13"/>
      <c r="F66" s="55"/>
      <c r="G66" s="55"/>
      <c r="H66" s="57"/>
      <c r="I66" s="18"/>
      <c r="J66" s="13"/>
      <c r="K66" s="60"/>
      <c r="L66" s="14">
        <f t="shared" si="0"/>
        <v>0</v>
      </c>
      <c r="M66" s="59">
        <f t="shared" si="3"/>
        <v>0</v>
      </c>
      <c r="N66" s="61" t="str">
        <f>IF(Table2683239[[#This Row],[Fault Type]]="PM",IF(L66&lt;=(D66-C66),"Yes","No"),"")</f>
        <v/>
      </c>
      <c r="O66" s="62" t="str">
        <f t="shared" si="2"/>
        <v/>
      </c>
      <c r="P6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6" s="63"/>
    </row>
    <row r="67" spans="1:17" ht="15.5" x14ac:dyDescent="0.35">
      <c r="A67" s="58"/>
      <c r="B67" s="55"/>
      <c r="C67" s="56"/>
      <c r="D67" s="56"/>
      <c r="E67" s="13"/>
      <c r="F67" s="55"/>
      <c r="G67" s="55"/>
      <c r="H67" s="57"/>
      <c r="I67" s="18"/>
      <c r="J67" s="13"/>
      <c r="K67" s="60"/>
      <c r="L67" s="14">
        <f t="shared" ref="L67:L80" si="4">J67-E67</f>
        <v>0</v>
      </c>
      <c r="M67" s="59">
        <f t="shared" si="3"/>
        <v>0</v>
      </c>
      <c r="N67" s="61" t="str">
        <f>IF(Table2683239[[#This Row],[Fault Type]]="PM",IF(L67&lt;=(D67-C67),"Yes","No"),"")</f>
        <v/>
      </c>
      <c r="O67" s="62" t="str">
        <f t="shared" ref="O67:O80" si="5">IF(N67="No",(L67-(D67-C67)),"")</f>
        <v/>
      </c>
      <c r="P6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IF(Table2683239[[#This Row],[Fault Type]]="PM",IF(L68&lt;=(D68-C68),"Yes","No"),"")</f>
        <v/>
      </c>
      <c r="O68" s="62" t="str">
        <f t="shared" si="5"/>
        <v/>
      </c>
      <c r="P6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IF(Table2683239[[#This Row],[Fault Type]]="PM",IF(L69&lt;=(D69-C69),"Yes","No"),"")</f>
        <v/>
      </c>
      <c r="O69" s="62" t="str">
        <f t="shared" si="5"/>
        <v/>
      </c>
      <c r="P6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IF(Table2683239[[#This Row],[Fault Type]]="PM",IF(L70&lt;=(D70-C70),"Yes","No"),"")</f>
        <v/>
      </c>
      <c r="O70" s="62" t="str">
        <f t="shared" si="5"/>
        <v/>
      </c>
      <c r="P7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IF(Table2683239[[#This Row],[Fault Type]]="PM",IF(L71&lt;=(D71-C71),"Yes","No"),"")</f>
        <v/>
      </c>
      <c r="O71" s="62" t="str">
        <f t="shared" si="5"/>
        <v/>
      </c>
      <c r="P71"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IF(Table2683239[[#This Row],[Fault Type]]="PM",IF(L72&lt;=(D72-C72),"Yes","No"),"")</f>
        <v/>
      </c>
      <c r="O72" s="62" t="str">
        <f t="shared" si="5"/>
        <v/>
      </c>
      <c r="P72"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IF(Table2683239[[#This Row],[Fault Type]]="PM",IF(L73&lt;=(D73-C73),"Yes","No"),"")</f>
        <v/>
      </c>
      <c r="O73" s="62" t="str">
        <f t="shared" si="5"/>
        <v/>
      </c>
      <c r="P73"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IF(Table2683239[[#This Row],[Fault Type]]="PM",IF(L74&lt;=(D74-C74),"Yes","No"),"")</f>
        <v/>
      </c>
      <c r="O74" s="62" t="str">
        <f t="shared" si="5"/>
        <v/>
      </c>
      <c r="P74"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IF(Table2683239[[#This Row],[Fault Type]]="PM",IF(L75&lt;=(D75-C75),"Yes","No"),"")</f>
        <v/>
      </c>
      <c r="O75" s="62" t="str">
        <f t="shared" si="5"/>
        <v/>
      </c>
      <c r="P75"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IF(Table2683239[[#This Row],[Fault Type]]="PM",IF(L76&lt;=(D76-C76),"Yes","No"),"")</f>
        <v/>
      </c>
      <c r="O76" s="62" t="str">
        <f t="shared" si="5"/>
        <v/>
      </c>
      <c r="P76"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IF(Table2683239[[#This Row],[Fault Type]]="PM",IF(L77&lt;=(D77-C77),"Yes","No"),"")</f>
        <v/>
      </c>
      <c r="O77" s="62" t="str">
        <f t="shared" si="5"/>
        <v/>
      </c>
      <c r="P77"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IF(Table2683239[[#This Row],[Fault Type]]="PM",IF(L78&lt;=(D78-C78),"Yes","No"),"")</f>
        <v/>
      </c>
      <c r="O78" s="62" t="str">
        <f t="shared" si="5"/>
        <v/>
      </c>
      <c r="P78"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IF(Table2683239[[#This Row],[Fault Type]]="PM",IF(L79&lt;=(D79-C79),"Yes","No"),"")</f>
        <v/>
      </c>
      <c r="O79" s="62" t="str">
        <f t="shared" si="5"/>
        <v/>
      </c>
      <c r="P79"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79" s="63"/>
    </row>
    <row r="80" spans="1:17" ht="15.5" x14ac:dyDescent="0.35">
      <c r="A80" s="58"/>
      <c r="B80" s="55"/>
      <c r="C80" s="56"/>
      <c r="D80" s="56"/>
      <c r="E80" s="13"/>
      <c r="F80" s="55"/>
      <c r="G80" s="55"/>
      <c r="H80" s="57"/>
      <c r="I80" s="18"/>
      <c r="J80" s="13"/>
      <c r="K80" s="60"/>
      <c r="L80" s="14">
        <f t="shared" si="4"/>
        <v>0</v>
      </c>
      <c r="M80" s="59">
        <f t="shared" si="3"/>
        <v>0</v>
      </c>
      <c r="N80" s="61" t="str">
        <f>IF(Table2683239[[#This Row],[Fault Type]]="PM",IF(L80&lt;=(D80-C80),"Yes","No"),"")</f>
        <v/>
      </c>
      <c r="O80" s="62" t="str">
        <f t="shared" si="5"/>
        <v/>
      </c>
      <c r="P80" s="154" t="str">
        <f>IF(AND(Table2683239[[#This Row],[Name of Feeder]]&lt;&gt;"",OR(Table2683239[[#This Row],[Fault Type]]="TL",Table2683239[[#This Row],[Fault Type]]="TS",Table2683239[[#This Row],[Fault Type]]="UF",Table2683239[[#This Row],[Fault Type]]="SE")),(IF(AND(VLOOKUP(Table2683239[[#This Row],[Name of Feeder]],Main!D:E,2,0)="URBAN",ISNUMBER(SEARCH("33KV",Table2683239[[#This Row],[Name of Feeder]]))),IF(AND(Table2683239[[#This Row],[Outage Duration]]&gt;0,Table2683239[[#This Row],[Outage Duration]]&lt;=0.25),"Yes","No"),IF(AND(VLOOKUP(Table2683239[[#This Row],[Name of Feeder]],Main!D:E,2,0)="RURAL",ISNUMBER(SEARCH("33KV",Table2683239[[#This Row],[Name of Feeder]]))),IF(AND(Table2683239[[#This Row],[Outage Duration]]&gt;0,Table2683239[[#This Row],[Outage Duration]]&lt;=0.33),"Yes","No"),IF(AND(VLOOKUP(Table2683239[[#This Row],[Name of Feeder]],Main!D:E,2,0)="RURAL",ISNUMBER(SEARCH("11KV",Table2683239[[#This Row],[Name of Feeder]]))),IF(AND(Table2683239[[#This Row],[Outage Duration]]&gt;0,Table2683239[[#This Row],[Outage Duration]]&lt;=0.17),"Yes","No"),IF(AND(VLOOKUP(Table2683239[[#This Row],[Name of Feeder]],Main!D:E,2,0)="URBAN",ISNUMBER(SEARCH("11KV",Table2683239[[#This Row],[Name of Feeder]]))),IF(AND(Table2683239[[#This Row],[Outage Duration]]&gt;0,Table2683239[[#This Row],[Outage Duration]]&lt;=0.17),"Yes","No"),""))))),"")</f>
        <v/>
      </c>
      <c r="Q80"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F00-000000000000}">
          <x14:formula1>
            <xm:f>Main!$F$226:$F$228</xm:f>
          </x14:formula1>
          <xm:sqref>I2:I80</xm:sqref>
        </x14:dataValidation>
        <x14:dataValidation type="list" allowBlank="1" showInputMessage="1" showErrorMessage="1" xr:uid="{00000000-0002-0000-1F00-000001000000}">
          <x14:formula1>
            <xm:f>Main!$D$2:$D$196</xm:f>
          </x14:formula1>
          <xm:sqref>A2:A80</xm:sqref>
        </x14:dataValidation>
        <x14:dataValidation type="list" allowBlank="1" showInputMessage="1" showErrorMessage="1" xr:uid="{00000000-0002-0000-1F00-000002000000}">
          <x14:formula1>
            <xm:f>Main!F$222:F$225</xm:f>
          </x14:formula1>
          <xm:sqref>G2:G80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80"/>
  <sheetViews>
    <sheetView topLeftCell="C58" zoomScale="70" zoomScaleNormal="70" workbookViewId="0">
      <selection activeCell="Q15" sqref="Q15:Q26"/>
    </sheetView>
  </sheetViews>
  <sheetFormatPr defaultRowHeight="14.5" x14ac:dyDescent="0.35"/>
  <cols>
    <col min="1" max="1" width="27.26953125" customWidth="1"/>
    <col min="2" max="2" width="8.26953125" customWidth="1"/>
    <col min="3" max="3" width="17.26953125" customWidth="1"/>
    <col min="4" max="4" width="17.1796875" customWidth="1"/>
    <col min="5" max="5" width="17.45312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6" si="0">J2-E2</f>
        <v>0</v>
      </c>
      <c r="M2" s="31">
        <f t="shared" ref="M2:M26" si="1">L2*F2</f>
        <v>0</v>
      </c>
      <c r="N2" s="15" t="str">
        <f>IF(Table2683238[[#This Row],[Fault Type]]="PM",IF(L2&lt;=(D2-C2),"Yes","No"),"")</f>
        <v/>
      </c>
      <c r="O2" s="16" t="str">
        <f t="shared" ref="O2:O66" si="2">IF(N2="No",(L2-(D2-C2)),"")</f>
        <v/>
      </c>
      <c r="P2" s="30"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IF(Table2683238[[#This Row],[Fault Type]]="PM",IF(L3&lt;=(D3-C3),"Yes","No"),"")</f>
        <v/>
      </c>
      <c r="O3" s="16" t="str">
        <f t="shared" si="2"/>
        <v/>
      </c>
      <c r="P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IF(Table2683238[[#This Row],[Fault Type]]="PM",IF(L4&lt;=(D4-C4),"Yes","No"),"")</f>
        <v/>
      </c>
      <c r="O4" s="16" t="str">
        <f t="shared" si="2"/>
        <v/>
      </c>
      <c r="P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 s="17"/>
    </row>
    <row r="5" spans="1:17" ht="15.5" x14ac:dyDescent="0.35">
      <c r="A5" s="4"/>
      <c r="B5" s="12"/>
      <c r="C5" s="13"/>
      <c r="D5" s="13"/>
      <c r="E5" s="13"/>
      <c r="F5" s="12"/>
      <c r="G5" s="12"/>
      <c r="H5" s="12"/>
      <c r="I5" s="12"/>
      <c r="J5" s="13"/>
      <c r="K5" s="32"/>
      <c r="L5" s="14">
        <f t="shared" si="0"/>
        <v>0</v>
      </c>
      <c r="M5" s="31">
        <f t="shared" si="1"/>
        <v>0</v>
      </c>
      <c r="N5" s="15" t="str">
        <f>IF(Table2683238[[#This Row],[Fault Type]]="PM",IF(L5&lt;=(D5-C5),"Yes","No"),"")</f>
        <v/>
      </c>
      <c r="O5" s="16" t="str">
        <f t="shared" si="2"/>
        <v/>
      </c>
      <c r="P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IF(Table2683238[[#This Row],[Fault Type]]="PM",IF(L6&lt;=(D6-C6),"Yes","No"),"")</f>
        <v/>
      </c>
      <c r="O6" s="16" t="str">
        <f t="shared" si="2"/>
        <v/>
      </c>
      <c r="P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IF(Table2683238[[#This Row],[Fault Type]]="PM",IF(L7&lt;=(D7-C7),"Yes","No"),"")</f>
        <v/>
      </c>
      <c r="O7" s="16" t="str">
        <f t="shared" si="2"/>
        <v/>
      </c>
      <c r="P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IF(Table2683238[[#This Row],[Fault Type]]="PM",IF(L8&lt;=(D8-C8),"Yes","No"),"")</f>
        <v/>
      </c>
      <c r="O8" s="16" t="str">
        <f t="shared" si="2"/>
        <v/>
      </c>
      <c r="P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8" s="17"/>
    </row>
    <row r="9" spans="1:17" s="145" customFormat="1" ht="15.5" x14ac:dyDescent="0.35">
      <c r="A9" s="146"/>
      <c r="B9" s="147"/>
      <c r="C9" s="148"/>
      <c r="D9" s="148"/>
      <c r="E9" s="148"/>
      <c r="F9" s="147"/>
      <c r="G9" s="147"/>
      <c r="H9" s="147"/>
      <c r="I9" s="147"/>
      <c r="J9" s="148"/>
      <c r="K9" s="156"/>
      <c r="L9" s="149">
        <f>J9-E9</f>
        <v>0</v>
      </c>
      <c r="M9" s="155">
        <f>L9*F9</f>
        <v>0</v>
      </c>
      <c r="N9" s="150" t="str">
        <f>IF(Table2683238[[#This Row],[Fault Type]]="PM",IF(L9&lt;=(D9-C9),"Yes","No"),"")</f>
        <v/>
      </c>
      <c r="O9" s="151" t="str">
        <f>IF(N9="No",(L9-(D9-C9)),"")</f>
        <v/>
      </c>
      <c r="P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9" s="152"/>
    </row>
    <row r="10" spans="1:17" ht="15.5" x14ac:dyDescent="0.35">
      <c r="A10" s="4"/>
      <c r="B10" s="12"/>
      <c r="C10" s="13"/>
      <c r="D10" s="13"/>
      <c r="E10" s="13"/>
      <c r="F10" s="12"/>
      <c r="G10" s="12"/>
      <c r="H10" s="12"/>
      <c r="I10" s="12"/>
      <c r="J10" s="13"/>
      <c r="K10" s="32"/>
      <c r="L10" s="14">
        <f t="shared" si="0"/>
        <v>0</v>
      </c>
      <c r="M10" s="31">
        <f t="shared" si="1"/>
        <v>0</v>
      </c>
      <c r="N10" s="15" t="str">
        <f>IF(Table2683238[[#This Row],[Fault Type]]="PM",IF(L10&lt;=(D10-C10),"Yes","No"),"")</f>
        <v/>
      </c>
      <c r="O10" s="16" t="str">
        <f t="shared" si="2"/>
        <v/>
      </c>
      <c r="P1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IF(Table2683238[[#This Row],[Fault Type]]="PM",IF(L11&lt;=(D11-C11),"Yes","No"),"")</f>
        <v/>
      </c>
      <c r="O11" s="16" t="str">
        <f t="shared" si="2"/>
        <v/>
      </c>
      <c r="P1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IF(Table2683238[[#This Row],[Fault Type]]="PM",IF(L12&lt;=(D12-C12),"Yes","No"),"")</f>
        <v/>
      </c>
      <c r="O12" s="16" t="str">
        <f t="shared" si="2"/>
        <v/>
      </c>
      <c r="P1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2" s="130"/>
    </row>
    <row r="13" spans="1:17" ht="15.5" x14ac:dyDescent="0.35">
      <c r="A13" s="4"/>
      <c r="B13" s="12"/>
      <c r="C13" s="13"/>
      <c r="D13" s="13"/>
      <c r="E13" s="13"/>
      <c r="F13" s="12"/>
      <c r="G13" s="12"/>
      <c r="H13" s="12"/>
      <c r="I13" s="12"/>
      <c r="J13" s="13"/>
      <c r="K13" s="32"/>
      <c r="L13" s="14">
        <f t="shared" si="0"/>
        <v>0</v>
      </c>
      <c r="M13" s="31">
        <f t="shared" si="1"/>
        <v>0</v>
      </c>
      <c r="N13" s="15" t="str">
        <f>IF(Table2683238[[#This Row],[Fault Type]]="PM",IF(L13&lt;=(D13-C13),"Yes","No"),"")</f>
        <v/>
      </c>
      <c r="O13" s="16" t="str">
        <f t="shared" si="2"/>
        <v/>
      </c>
      <c r="P1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3" s="130"/>
    </row>
    <row r="14" spans="1:17" ht="15.5" x14ac:dyDescent="0.35">
      <c r="A14" s="4"/>
      <c r="B14" s="12"/>
      <c r="C14" s="13"/>
      <c r="D14" s="13"/>
      <c r="E14" s="13"/>
      <c r="F14" s="12"/>
      <c r="G14" s="12"/>
      <c r="H14" s="12"/>
      <c r="I14" s="12"/>
      <c r="J14" s="13"/>
      <c r="K14" s="32"/>
      <c r="L14" s="14">
        <f t="shared" si="0"/>
        <v>0</v>
      </c>
      <c r="M14" s="31">
        <f t="shared" si="1"/>
        <v>0</v>
      </c>
      <c r="N14" s="15" t="str">
        <f>IF(Table2683238[[#This Row],[Fault Type]]="PM",IF(L14&lt;=(D14-C14),"Yes","No"),"")</f>
        <v/>
      </c>
      <c r="O14" s="16" t="str">
        <f t="shared" si="2"/>
        <v/>
      </c>
      <c r="P1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4" s="130"/>
    </row>
    <row r="15" spans="1:17" ht="15.5" x14ac:dyDescent="0.35">
      <c r="A15" s="4"/>
      <c r="B15" s="12"/>
      <c r="C15" s="13"/>
      <c r="D15" s="13"/>
      <c r="E15" s="13"/>
      <c r="F15" s="12"/>
      <c r="G15" s="12"/>
      <c r="H15" s="12"/>
      <c r="I15" s="12"/>
      <c r="J15" s="13"/>
      <c r="K15" s="32"/>
      <c r="L15" s="14">
        <f t="shared" si="0"/>
        <v>0</v>
      </c>
      <c r="M15" s="31">
        <f t="shared" si="1"/>
        <v>0</v>
      </c>
      <c r="N15" s="15" t="str">
        <f>IF(Table2683238[[#This Row],[Fault Type]]="PM",IF(L15&lt;=(D15-C15),"Yes","No"),"")</f>
        <v/>
      </c>
      <c r="O15" s="16" t="str">
        <f t="shared" si="2"/>
        <v/>
      </c>
      <c r="P1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5" s="130"/>
    </row>
    <row r="16" spans="1:17" ht="15.5" x14ac:dyDescent="0.35">
      <c r="A16" s="4"/>
      <c r="B16" s="12"/>
      <c r="C16" s="13"/>
      <c r="D16" s="13"/>
      <c r="E16" s="13"/>
      <c r="F16" s="12"/>
      <c r="G16" s="12"/>
      <c r="H16" s="12"/>
      <c r="I16" s="12"/>
      <c r="J16" s="13"/>
      <c r="K16" s="32"/>
      <c r="L16" s="14">
        <f t="shared" si="0"/>
        <v>0</v>
      </c>
      <c r="M16" s="31">
        <f t="shared" si="1"/>
        <v>0</v>
      </c>
      <c r="N16" s="15" t="str">
        <f>IF(Table2683238[[#This Row],[Fault Type]]="PM",IF(L16&lt;=(D16-C16),"Yes","No"),"")</f>
        <v/>
      </c>
      <c r="O16" s="16" t="str">
        <f t="shared" si="2"/>
        <v/>
      </c>
      <c r="P1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6" s="130"/>
    </row>
    <row r="17" spans="1:17" ht="15.5" x14ac:dyDescent="0.35">
      <c r="A17" s="4"/>
      <c r="B17" s="12"/>
      <c r="C17" s="13"/>
      <c r="D17" s="13"/>
      <c r="E17" s="13"/>
      <c r="F17" s="18"/>
      <c r="G17" s="12"/>
      <c r="H17" s="18"/>
      <c r="I17" s="18"/>
      <c r="J17" s="13"/>
      <c r="K17" s="32"/>
      <c r="L17" s="14">
        <f t="shared" si="0"/>
        <v>0</v>
      </c>
      <c r="M17" s="31">
        <f t="shared" si="1"/>
        <v>0</v>
      </c>
      <c r="N17" s="15" t="str">
        <f>IF(Table2683238[[#This Row],[Fault Type]]="PM",IF(L17&lt;=(D17-C17),"Yes","No"),"")</f>
        <v/>
      </c>
      <c r="O17" s="16" t="str">
        <f t="shared" si="2"/>
        <v/>
      </c>
      <c r="P1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7" s="130"/>
    </row>
    <row r="18" spans="1:17" ht="15.5" x14ac:dyDescent="0.35">
      <c r="A18" s="4"/>
      <c r="B18" s="12"/>
      <c r="C18" s="13"/>
      <c r="D18" s="13"/>
      <c r="E18" s="13"/>
      <c r="F18" s="12"/>
      <c r="G18" s="12"/>
      <c r="H18" s="12"/>
      <c r="I18" s="12"/>
      <c r="J18" s="13"/>
      <c r="K18" s="32"/>
      <c r="L18" s="14">
        <f t="shared" si="0"/>
        <v>0</v>
      </c>
      <c r="M18" s="31">
        <f t="shared" si="1"/>
        <v>0</v>
      </c>
      <c r="N18" s="15" t="str">
        <f>IF(Table2683238[[#This Row],[Fault Type]]="PM",IF(L18&lt;=(D18-C18),"Yes","No"),"")</f>
        <v/>
      </c>
      <c r="O18" s="16" t="str">
        <f t="shared" si="2"/>
        <v/>
      </c>
      <c r="P1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8" s="130"/>
    </row>
    <row r="19" spans="1:17" ht="15.5" x14ac:dyDescent="0.35">
      <c r="A19" s="4"/>
      <c r="B19" s="12"/>
      <c r="C19" s="13"/>
      <c r="D19" s="13"/>
      <c r="E19" s="13"/>
      <c r="F19" s="18"/>
      <c r="G19" s="12"/>
      <c r="H19" s="18"/>
      <c r="I19" s="18"/>
      <c r="J19" s="13"/>
      <c r="K19" s="32"/>
      <c r="L19" s="14">
        <f t="shared" si="0"/>
        <v>0</v>
      </c>
      <c r="M19" s="31">
        <f t="shared" si="1"/>
        <v>0</v>
      </c>
      <c r="N19" s="15" t="str">
        <f>IF(Table2683238[[#This Row],[Fault Type]]="PM",IF(L19&lt;=(D19-C19),"Yes","No"),"")</f>
        <v/>
      </c>
      <c r="O19" s="16" t="str">
        <f t="shared" si="2"/>
        <v/>
      </c>
      <c r="P1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19" s="130"/>
    </row>
    <row r="20" spans="1:17" ht="15.5" x14ac:dyDescent="0.35">
      <c r="A20" s="4"/>
      <c r="B20" s="12"/>
      <c r="C20" s="13"/>
      <c r="D20" s="13"/>
      <c r="E20" s="13"/>
      <c r="F20" s="18"/>
      <c r="G20" s="12"/>
      <c r="H20" s="18"/>
      <c r="I20" s="18"/>
      <c r="J20" s="13"/>
      <c r="K20" s="32"/>
      <c r="L20" s="14">
        <f t="shared" si="0"/>
        <v>0</v>
      </c>
      <c r="M20" s="31">
        <f t="shared" si="1"/>
        <v>0</v>
      </c>
      <c r="N20" s="15" t="str">
        <f>IF(Table2683238[[#This Row],[Fault Type]]="PM",IF(L20&lt;=(D20-C20),"Yes","No"),"")</f>
        <v/>
      </c>
      <c r="O20" s="16" t="str">
        <f t="shared" si="2"/>
        <v/>
      </c>
      <c r="P2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0" s="130"/>
    </row>
    <row r="21" spans="1:17" ht="15.5" x14ac:dyDescent="0.35">
      <c r="A21" s="4"/>
      <c r="B21" s="12"/>
      <c r="C21" s="13"/>
      <c r="D21" s="13"/>
      <c r="E21" s="13"/>
      <c r="F21" s="165"/>
      <c r="G21" s="159"/>
      <c r="H21" s="54"/>
      <c r="I21" s="54"/>
      <c r="J21" s="13"/>
      <c r="K21" s="32"/>
      <c r="L21" s="14">
        <f t="shared" si="0"/>
        <v>0</v>
      </c>
      <c r="M21" s="31">
        <f t="shared" si="1"/>
        <v>0</v>
      </c>
      <c r="N21" s="15" t="str">
        <f>IF(Table2683238[[#This Row],[Fault Type]]="PM",IF(L21&lt;=(D21-C21),"Yes","No"),"")</f>
        <v/>
      </c>
      <c r="O21" s="16" t="str">
        <f t="shared" si="2"/>
        <v/>
      </c>
      <c r="P2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1" s="130"/>
    </row>
    <row r="22" spans="1:17" ht="15.5" x14ac:dyDescent="0.35">
      <c r="A22" s="4"/>
      <c r="B22" s="12"/>
      <c r="C22" s="13"/>
      <c r="D22" s="13"/>
      <c r="E22" s="13"/>
      <c r="F22" s="18"/>
      <c r="G22" s="12"/>
      <c r="H22" s="18"/>
      <c r="I22" s="18"/>
      <c r="J22" s="13"/>
      <c r="K22" s="32"/>
      <c r="L22" s="14">
        <f t="shared" si="0"/>
        <v>0</v>
      </c>
      <c r="M22" s="31">
        <f t="shared" si="1"/>
        <v>0</v>
      </c>
      <c r="N22" s="15" t="str">
        <f>IF(Table2683238[[#This Row],[Fault Type]]="PM",IF(L22&lt;=(D22-C22),"Yes","No"),"")</f>
        <v/>
      </c>
      <c r="O22" s="16" t="str">
        <f t="shared" si="2"/>
        <v/>
      </c>
      <c r="P2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2" s="130"/>
    </row>
    <row r="23" spans="1:17" ht="15.5" x14ac:dyDescent="0.35">
      <c r="A23" s="4"/>
      <c r="B23" s="12"/>
      <c r="C23" s="13"/>
      <c r="D23" s="13"/>
      <c r="E23" s="13"/>
      <c r="F23" s="18"/>
      <c r="G23" s="12"/>
      <c r="H23" s="18"/>
      <c r="I23" s="18"/>
      <c r="J23" s="13"/>
      <c r="K23" s="32"/>
      <c r="L23" s="14">
        <f t="shared" si="0"/>
        <v>0</v>
      </c>
      <c r="M23" s="31">
        <f t="shared" si="1"/>
        <v>0</v>
      </c>
      <c r="N23" s="15" t="str">
        <f>IF(Table2683238[[#This Row],[Fault Type]]="PM",IF(L23&lt;=(D23-C23),"Yes","No"),"")</f>
        <v/>
      </c>
      <c r="O23" s="16" t="str">
        <f t="shared" si="2"/>
        <v/>
      </c>
      <c r="P2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3" s="130"/>
    </row>
    <row r="24" spans="1:17" ht="15.5" x14ac:dyDescent="0.35">
      <c r="A24" s="4"/>
      <c r="B24" s="12"/>
      <c r="C24" s="13"/>
      <c r="D24" s="13"/>
      <c r="E24" s="13"/>
      <c r="F24" s="18"/>
      <c r="G24" s="12"/>
      <c r="H24" s="18"/>
      <c r="I24" s="18"/>
      <c r="J24" s="13"/>
      <c r="K24" s="32"/>
      <c r="L24" s="14">
        <f t="shared" si="0"/>
        <v>0</v>
      </c>
      <c r="M24" s="31">
        <f t="shared" si="1"/>
        <v>0</v>
      </c>
      <c r="N24" s="15" t="str">
        <f>IF(Table2683238[[#This Row],[Fault Type]]="PM",IF(L24&lt;=(D24-C24),"Yes","No"),"")</f>
        <v/>
      </c>
      <c r="O24" s="16" t="str">
        <f t="shared" si="2"/>
        <v/>
      </c>
      <c r="P2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4" s="130"/>
    </row>
    <row r="25" spans="1:17" ht="15.5" x14ac:dyDescent="0.35">
      <c r="A25" s="4"/>
      <c r="B25" s="12"/>
      <c r="C25" s="13"/>
      <c r="D25" s="13"/>
      <c r="E25" s="13"/>
      <c r="F25" s="18"/>
      <c r="G25" s="12"/>
      <c r="H25" s="18"/>
      <c r="I25" s="18"/>
      <c r="J25" s="13"/>
      <c r="K25" s="32"/>
      <c r="L25" s="14">
        <f t="shared" si="0"/>
        <v>0</v>
      </c>
      <c r="M25" s="31">
        <f t="shared" si="1"/>
        <v>0</v>
      </c>
      <c r="N25" s="15" t="str">
        <f>IF(Table2683238[[#This Row],[Fault Type]]="PM",IF(L25&lt;=(D25-C25),"Yes","No"),"")</f>
        <v/>
      </c>
      <c r="O25" s="16" t="str">
        <f t="shared" si="2"/>
        <v/>
      </c>
      <c r="P2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5" s="130"/>
    </row>
    <row r="26" spans="1:17" ht="15.5" x14ac:dyDescent="0.35">
      <c r="A26" s="4"/>
      <c r="B26" s="12"/>
      <c r="C26" s="13"/>
      <c r="D26" s="13"/>
      <c r="E26" s="13"/>
      <c r="F26" s="18"/>
      <c r="G26" s="12"/>
      <c r="H26" s="18"/>
      <c r="I26" s="18"/>
      <c r="J26" s="13"/>
      <c r="K26" s="32"/>
      <c r="L26" s="14">
        <f t="shared" si="0"/>
        <v>0</v>
      </c>
      <c r="M26" s="31">
        <f t="shared" si="1"/>
        <v>0</v>
      </c>
      <c r="N26" s="15" t="str">
        <f>IF(Table2683238[[#This Row],[Fault Type]]="PM",IF(L26&lt;=(D26-C26),"Yes","No"),"")</f>
        <v/>
      </c>
      <c r="O26" s="16" t="str">
        <f t="shared" si="2"/>
        <v/>
      </c>
      <c r="P2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6" s="130"/>
    </row>
    <row r="27" spans="1:17" ht="15.5" x14ac:dyDescent="0.35">
      <c r="A27" s="4"/>
      <c r="B27" s="12"/>
      <c r="C27" s="13"/>
      <c r="D27" s="13"/>
      <c r="E27" s="13"/>
      <c r="F27" s="12"/>
      <c r="G27" s="12"/>
      <c r="H27" s="12"/>
      <c r="I27" s="12"/>
      <c r="J27" s="13"/>
      <c r="K27" s="32"/>
      <c r="L27" s="14">
        <f t="shared" si="0"/>
        <v>0</v>
      </c>
      <c r="M27" s="31">
        <f t="shared" ref="M27:M80" si="3">L27*F27</f>
        <v>0</v>
      </c>
      <c r="N27" s="15" t="str">
        <f>IF(Table2683238[[#This Row],[Fault Type]]="PM",IF(L27&lt;=(D27-C27),"Yes","No"),"")</f>
        <v/>
      </c>
      <c r="O27" s="16" t="str">
        <f t="shared" si="2"/>
        <v/>
      </c>
      <c r="P2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7" s="130"/>
    </row>
    <row r="28" spans="1:17" ht="15.5" x14ac:dyDescent="0.35">
      <c r="A28" s="4"/>
      <c r="B28" s="12"/>
      <c r="C28" s="13"/>
      <c r="D28" s="13"/>
      <c r="E28" s="13"/>
      <c r="F28" s="18"/>
      <c r="G28" s="12"/>
      <c r="H28" s="18"/>
      <c r="I28" s="18"/>
      <c r="J28" s="126"/>
      <c r="K28" s="32"/>
      <c r="L28" s="14">
        <f t="shared" si="0"/>
        <v>0</v>
      </c>
      <c r="M28" s="31">
        <f t="shared" si="3"/>
        <v>0</v>
      </c>
      <c r="N28" s="15" t="str">
        <f>IF(Table2683238[[#This Row],[Fault Type]]="PM",IF(L28&lt;=(D28-C28),"Yes","No"),"")</f>
        <v/>
      </c>
      <c r="O28" s="16" t="str">
        <f t="shared" si="2"/>
        <v/>
      </c>
      <c r="P2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8" s="130"/>
    </row>
    <row r="29" spans="1:17" ht="15.5" x14ac:dyDescent="0.35">
      <c r="A29" s="4"/>
      <c r="B29" s="12"/>
      <c r="C29" s="13"/>
      <c r="D29" s="13"/>
      <c r="E29" s="13"/>
      <c r="F29" s="18"/>
      <c r="G29" s="12"/>
      <c r="H29" s="18"/>
      <c r="I29" s="18"/>
      <c r="J29" s="13"/>
      <c r="K29" s="32"/>
      <c r="L29" s="14">
        <f t="shared" si="0"/>
        <v>0</v>
      </c>
      <c r="M29" s="31">
        <f t="shared" si="3"/>
        <v>0</v>
      </c>
      <c r="N29" s="15" t="str">
        <f>IF(Table2683238[[#This Row],[Fault Type]]="PM",IF(L29&lt;=(D29-C29),"Yes","No"),"")</f>
        <v/>
      </c>
      <c r="O29" s="16" t="str">
        <f t="shared" si="2"/>
        <v/>
      </c>
      <c r="P2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29" s="130"/>
    </row>
    <row r="30" spans="1:17" ht="15.5" x14ac:dyDescent="0.35">
      <c r="A30" s="4"/>
      <c r="B30" s="12"/>
      <c r="C30" s="13"/>
      <c r="D30" s="13"/>
      <c r="E30" s="13"/>
      <c r="F30" s="12"/>
      <c r="G30" s="12"/>
      <c r="H30" s="12"/>
      <c r="I30" s="12"/>
      <c r="J30" s="13"/>
      <c r="K30" s="32"/>
      <c r="L30" s="14">
        <f t="shared" si="0"/>
        <v>0</v>
      </c>
      <c r="M30" s="31">
        <f t="shared" si="3"/>
        <v>0</v>
      </c>
      <c r="N30" s="15" t="str">
        <f>IF(Table2683238[[#This Row],[Fault Type]]="PM",IF(L30&lt;=(D30-C30),"Yes","No"),"")</f>
        <v/>
      </c>
      <c r="O30" s="16" t="str">
        <f t="shared" si="2"/>
        <v/>
      </c>
      <c r="P3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0" s="130"/>
    </row>
    <row r="31" spans="1:17" ht="15.5" x14ac:dyDescent="0.35">
      <c r="A31" s="4"/>
      <c r="B31" s="12"/>
      <c r="C31" s="13"/>
      <c r="D31" s="13"/>
      <c r="E31" s="13"/>
      <c r="F31" s="18"/>
      <c r="G31" s="12"/>
      <c r="H31" s="18"/>
      <c r="I31" s="18"/>
      <c r="J31" s="13"/>
      <c r="K31" s="32"/>
      <c r="L31" s="14">
        <f t="shared" si="0"/>
        <v>0</v>
      </c>
      <c r="M31" s="31">
        <f t="shared" si="3"/>
        <v>0</v>
      </c>
      <c r="N31" s="15" t="str">
        <f>IF(Table2683238[[#This Row],[Fault Type]]="PM",IF(L31&lt;=(D31-C31),"Yes","No"),"")</f>
        <v/>
      </c>
      <c r="O31" s="16" t="str">
        <f t="shared" si="2"/>
        <v/>
      </c>
      <c r="P3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1" s="130"/>
    </row>
    <row r="32" spans="1:17" ht="15.5" x14ac:dyDescent="0.35">
      <c r="A32" s="4"/>
      <c r="B32" s="12"/>
      <c r="C32" s="13"/>
      <c r="D32" s="13"/>
      <c r="E32" s="13"/>
      <c r="F32" s="18"/>
      <c r="G32" s="12"/>
      <c r="H32" s="18"/>
      <c r="I32" s="18"/>
      <c r="J32" s="13"/>
      <c r="K32" s="32"/>
      <c r="L32" s="14">
        <f t="shared" si="0"/>
        <v>0</v>
      </c>
      <c r="M32" s="31">
        <f t="shared" si="3"/>
        <v>0</v>
      </c>
      <c r="N32" s="15" t="str">
        <f>IF(Table2683238[[#This Row],[Fault Type]]="PM",IF(L32&lt;=(D32-C32),"Yes","No"),"")</f>
        <v/>
      </c>
      <c r="O32" s="16" t="str">
        <f t="shared" si="2"/>
        <v/>
      </c>
      <c r="P3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2" s="130"/>
    </row>
    <row r="33" spans="1:17" ht="15.5" x14ac:dyDescent="0.35">
      <c r="A33" s="4"/>
      <c r="B33" s="12"/>
      <c r="C33" s="13"/>
      <c r="D33" s="13"/>
      <c r="E33" s="13"/>
      <c r="F33" s="18"/>
      <c r="G33" s="12"/>
      <c r="H33" s="18"/>
      <c r="I33" s="18"/>
      <c r="J33" s="13"/>
      <c r="K33" s="32"/>
      <c r="L33" s="14">
        <f t="shared" si="0"/>
        <v>0</v>
      </c>
      <c r="M33" s="31">
        <f t="shared" si="3"/>
        <v>0</v>
      </c>
      <c r="N33" s="15" t="str">
        <f>IF(Table2683238[[#This Row],[Fault Type]]="PM",IF(L33&lt;=(D33-C33),"Yes","No"),"")</f>
        <v/>
      </c>
      <c r="O33" s="16" t="str">
        <f t="shared" si="2"/>
        <v/>
      </c>
      <c r="P3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3" s="130"/>
    </row>
    <row r="34" spans="1:17" ht="15.5" x14ac:dyDescent="0.35">
      <c r="A34" s="4"/>
      <c r="B34" s="12"/>
      <c r="C34" s="13"/>
      <c r="D34" s="13"/>
      <c r="E34" s="13"/>
      <c r="F34" s="18"/>
      <c r="G34" s="12"/>
      <c r="H34" s="18"/>
      <c r="I34" s="18"/>
      <c r="J34" s="13"/>
      <c r="K34" s="32"/>
      <c r="L34" s="14">
        <f t="shared" si="0"/>
        <v>0</v>
      </c>
      <c r="M34" s="31">
        <f t="shared" si="3"/>
        <v>0</v>
      </c>
      <c r="N34" s="15" t="str">
        <f>IF(Table2683238[[#This Row],[Fault Type]]="PM",IF(L34&lt;=(D34-C34),"Yes","No"),"")</f>
        <v/>
      </c>
      <c r="O34" s="16" t="str">
        <f t="shared" si="2"/>
        <v/>
      </c>
      <c r="P3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4" s="130"/>
    </row>
    <row r="35" spans="1:17" ht="15.5" x14ac:dyDescent="0.35">
      <c r="A35" s="4"/>
      <c r="B35" s="12"/>
      <c r="C35" s="13"/>
      <c r="D35" s="13"/>
      <c r="E35" s="13"/>
      <c r="F35" s="18"/>
      <c r="G35" s="12"/>
      <c r="H35" s="18"/>
      <c r="I35" s="18"/>
      <c r="J35" s="13"/>
      <c r="K35" s="32"/>
      <c r="L35" s="14">
        <f t="shared" si="0"/>
        <v>0</v>
      </c>
      <c r="M35" s="31">
        <f t="shared" si="3"/>
        <v>0</v>
      </c>
      <c r="N35" s="15" t="str">
        <f>IF(Table2683238[[#This Row],[Fault Type]]="PM",IF(L35&lt;=(D35-C35),"Yes","No"),"")</f>
        <v/>
      </c>
      <c r="O35" s="16" t="str">
        <f t="shared" si="2"/>
        <v/>
      </c>
      <c r="P3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5" s="130"/>
    </row>
    <row r="36" spans="1:17" ht="15.5" x14ac:dyDescent="0.35">
      <c r="A36" s="4"/>
      <c r="B36" s="12"/>
      <c r="C36" s="13"/>
      <c r="D36" s="13"/>
      <c r="E36" s="13"/>
      <c r="F36" s="18"/>
      <c r="G36" s="12"/>
      <c r="H36" s="18"/>
      <c r="I36" s="18"/>
      <c r="J36" s="13"/>
      <c r="K36" s="32"/>
      <c r="L36" s="14">
        <f t="shared" si="0"/>
        <v>0</v>
      </c>
      <c r="M36" s="31">
        <f t="shared" si="3"/>
        <v>0</v>
      </c>
      <c r="N36" s="15" t="str">
        <f>IF(Table2683238[[#This Row],[Fault Type]]="PM",IF(L36&lt;=(D36-C36),"Yes","No"),"")</f>
        <v/>
      </c>
      <c r="O36" s="16" t="str">
        <f t="shared" si="2"/>
        <v/>
      </c>
      <c r="P3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6" s="130"/>
    </row>
    <row r="37" spans="1:17" ht="15.5" x14ac:dyDescent="0.35">
      <c r="A37" s="4"/>
      <c r="B37" s="12"/>
      <c r="C37" s="13"/>
      <c r="D37" s="13"/>
      <c r="E37" s="13"/>
      <c r="F37" s="18"/>
      <c r="G37" s="12"/>
      <c r="H37" s="18"/>
      <c r="I37" s="18"/>
      <c r="J37" s="13"/>
      <c r="K37" s="32"/>
      <c r="L37" s="14">
        <f t="shared" si="0"/>
        <v>0</v>
      </c>
      <c r="M37" s="31">
        <f t="shared" si="3"/>
        <v>0</v>
      </c>
      <c r="N37" s="15" t="str">
        <f>IF(Table2683238[[#This Row],[Fault Type]]="PM",IF(L37&lt;=(D37-C37),"Yes","No"),"")</f>
        <v/>
      </c>
      <c r="O37" s="16" t="str">
        <f t="shared" si="2"/>
        <v/>
      </c>
      <c r="P3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7" s="130"/>
    </row>
    <row r="38" spans="1:17" ht="15.5" x14ac:dyDescent="0.35">
      <c r="A38" s="4"/>
      <c r="B38" s="12"/>
      <c r="C38" s="13"/>
      <c r="D38" s="13"/>
      <c r="E38" s="13"/>
      <c r="F38" s="18"/>
      <c r="G38" s="12"/>
      <c r="H38" s="18"/>
      <c r="I38" s="18"/>
      <c r="J38" s="13"/>
      <c r="K38" s="32"/>
      <c r="L38" s="14">
        <f t="shared" si="0"/>
        <v>0</v>
      </c>
      <c r="M38" s="31">
        <f t="shared" si="3"/>
        <v>0</v>
      </c>
      <c r="N38" s="15" t="str">
        <f>IF(Table2683238[[#This Row],[Fault Type]]="PM",IF(L38&lt;=(D38-C38),"Yes","No"),"")</f>
        <v/>
      </c>
      <c r="O38" s="16" t="str">
        <f t="shared" si="2"/>
        <v/>
      </c>
      <c r="P3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8" s="130"/>
    </row>
    <row r="39" spans="1:17" ht="15.5" x14ac:dyDescent="0.35">
      <c r="A39" s="4"/>
      <c r="B39" s="125"/>
      <c r="C39" s="13"/>
      <c r="D39" s="13"/>
      <c r="E39" s="13"/>
      <c r="F39" s="18"/>
      <c r="G39" s="12"/>
      <c r="H39" s="18"/>
      <c r="I39" s="18"/>
      <c r="J39" s="13"/>
      <c r="K39" s="32"/>
      <c r="L39" s="14">
        <f t="shared" si="0"/>
        <v>0</v>
      </c>
      <c r="M39" s="31">
        <f t="shared" si="3"/>
        <v>0</v>
      </c>
      <c r="N39" s="15" t="str">
        <f>IF(Table2683238[[#This Row],[Fault Type]]="PM",IF(L39&lt;=(D39-C39),"Yes","No"),"")</f>
        <v/>
      </c>
      <c r="O39" s="16" t="str">
        <f t="shared" si="2"/>
        <v/>
      </c>
      <c r="P3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39" s="130"/>
    </row>
    <row r="40" spans="1:17" ht="15.5" x14ac:dyDescent="0.35">
      <c r="A40" s="4"/>
      <c r="B40" s="12"/>
      <c r="C40" s="13"/>
      <c r="D40" s="13"/>
      <c r="E40" s="13"/>
      <c r="F40" s="18"/>
      <c r="G40" s="12"/>
      <c r="H40" s="18"/>
      <c r="I40" s="18"/>
      <c r="J40" s="13"/>
      <c r="K40" s="32"/>
      <c r="L40" s="14">
        <f t="shared" si="0"/>
        <v>0</v>
      </c>
      <c r="M40" s="31">
        <f t="shared" si="3"/>
        <v>0</v>
      </c>
      <c r="N40" s="15" t="str">
        <f>IF(Table2683238[[#This Row],[Fault Type]]="PM",IF(L40&lt;=(D40-C40),"Yes","No"),"")</f>
        <v/>
      </c>
      <c r="O40" s="16" t="str">
        <f t="shared" si="2"/>
        <v/>
      </c>
      <c r="P4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0" s="130"/>
    </row>
    <row r="41" spans="1:17" ht="15.5" x14ac:dyDescent="0.35">
      <c r="A41" s="4"/>
      <c r="B41" s="12"/>
      <c r="C41" s="13"/>
      <c r="D41" s="13"/>
      <c r="E41" s="13"/>
      <c r="F41" s="18"/>
      <c r="G41" s="12"/>
      <c r="H41" s="18"/>
      <c r="I41" s="18"/>
      <c r="J41" s="13"/>
      <c r="K41" s="32"/>
      <c r="L41" s="14">
        <f t="shared" si="0"/>
        <v>0</v>
      </c>
      <c r="M41" s="31">
        <f t="shared" si="3"/>
        <v>0</v>
      </c>
      <c r="N41" s="15" t="str">
        <f>IF(Table2683238[[#This Row],[Fault Type]]="PM",IF(L41&lt;=(D41-C41),"Yes","No"),"")</f>
        <v/>
      </c>
      <c r="O41" s="16" t="str">
        <f t="shared" si="2"/>
        <v/>
      </c>
      <c r="P4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1" s="17"/>
    </row>
    <row r="42" spans="1:17" ht="15.5" x14ac:dyDescent="0.35">
      <c r="A42" s="4"/>
      <c r="B42" s="12"/>
      <c r="C42" s="13"/>
      <c r="D42" s="13"/>
      <c r="E42" s="13"/>
      <c r="F42" s="18"/>
      <c r="G42" s="12"/>
      <c r="H42" s="18"/>
      <c r="I42" s="18"/>
      <c r="J42" s="13"/>
      <c r="K42" s="32"/>
      <c r="L42" s="14">
        <f t="shared" si="0"/>
        <v>0</v>
      </c>
      <c r="M42" s="31">
        <f t="shared" si="3"/>
        <v>0</v>
      </c>
      <c r="N42" s="15" t="str">
        <f>IF(Table2683238[[#This Row],[Fault Type]]="PM",IF(L42&lt;=(D42-C42),"Yes","No"),"")</f>
        <v/>
      </c>
      <c r="O42" s="16" t="str">
        <f t="shared" si="2"/>
        <v/>
      </c>
      <c r="P4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2" s="17"/>
    </row>
    <row r="43" spans="1:17" ht="15.5" x14ac:dyDescent="0.35">
      <c r="A43" s="4"/>
      <c r="B43" s="12"/>
      <c r="C43" s="13"/>
      <c r="D43" s="13"/>
      <c r="E43" s="13"/>
      <c r="F43" s="18"/>
      <c r="G43" s="12"/>
      <c r="H43" s="18"/>
      <c r="I43" s="18"/>
      <c r="J43" s="13"/>
      <c r="K43" s="32"/>
      <c r="L43" s="14">
        <f t="shared" si="0"/>
        <v>0</v>
      </c>
      <c r="M43" s="31">
        <f t="shared" si="3"/>
        <v>0</v>
      </c>
      <c r="N43" s="15" t="str">
        <f>IF(Table2683238[[#This Row],[Fault Type]]="PM",IF(L43&lt;=(D43-C43),"Yes","No"),"")</f>
        <v/>
      </c>
      <c r="O43" s="16" t="str">
        <f t="shared" si="2"/>
        <v/>
      </c>
      <c r="P4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3" s="17"/>
    </row>
    <row r="44" spans="1:17" ht="15.5" x14ac:dyDescent="0.35">
      <c r="A44" s="4"/>
      <c r="B44" s="12"/>
      <c r="C44" s="13"/>
      <c r="D44" s="13"/>
      <c r="E44" s="13"/>
      <c r="F44" s="18"/>
      <c r="G44" s="12"/>
      <c r="H44" s="18"/>
      <c r="I44" s="18"/>
      <c r="J44" s="13"/>
      <c r="K44" s="32"/>
      <c r="L44" s="14">
        <f t="shared" si="0"/>
        <v>0</v>
      </c>
      <c r="M44" s="31">
        <f t="shared" si="3"/>
        <v>0</v>
      </c>
      <c r="N44" s="15" t="str">
        <f>IF(Table2683238[[#This Row],[Fault Type]]="PM",IF(L44&lt;=(D44-C44),"Yes","No"),"")</f>
        <v/>
      </c>
      <c r="O44" s="16" t="str">
        <f t="shared" si="2"/>
        <v/>
      </c>
      <c r="P4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4" s="17"/>
    </row>
    <row r="45" spans="1:17" ht="15.5" x14ac:dyDescent="0.35">
      <c r="A45" s="4"/>
      <c r="B45" s="12"/>
      <c r="C45" s="13"/>
      <c r="D45" s="13"/>
      <c r="E45" s="13"/>
      <c r="F45" s="18"/>
      <c r="G45" s="12"/>
      <c r="H45" s="18"/>
      <c r="I45" s="18"/>
      <c r="J45" s="13"/>
      <c r="K45" s="32"/>
      <c r="L45" s="14">
        <f t="shared" si="0"/>
        <v>0</v>
      </c>
      <c r="M45" s="31">
        <f t="shared" si="3"/>
        <v>0</v>
      </c>
      <c r="N45" s="15" t="str">
        <f>IF(Table2683238[[#This Row],[Fault Type]]="PM",IF(L45&lt;=(D45-C45),"Yes","No"),"")</f>
        <v/>
      </c>
      <c r="O45" s="16" t="str">
        <f t="shared" si="2"/>
        <v/>
      </c>
      <c r="P4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5" s="17"/>
    </row>
    <row r="46" spans="1:17" ht="15.75" customHeight="1" x14ac:dyDescent="0.35">
      <c r="A46" s="4"/>
      <c r="B46" s="12"/>
      <c r="C46" s="13"/>
      <c r="D46" s="13"/>
      <c r="E46" s="13"/>
      <c r="F46" s="12"/>
      <c r="G46" s="12"/>
      <c r="H46" s="12"/>
      <c r="I46" s="12"/>
      <c r="J46" s="13"/>
      <c r="K46" s="32"/>
      <c r="L46" s="14">
        <f t="shared" si="0"/>
        <v>0</v>
      </c>
      <c r="M46" s="31">
        <f t="shared" si="3"/>
        <v>0</v>
      </c>
      <c r="N46" s="15" t="str">
        <f>IF(Table2683238[[#This Row],[Fault Type]]="PM",IF(L46&lt;=(D46-C46),"Yes","No"),"")</f>
        <v/>
      </c>
      <c r="O46" s="16" t="str">
        <f t="shared" si="2"/>
        <v/>
      </c>
      <c r="P4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6" s="17"/>
    </row>
    <row r="47" spans="1:17" ht="15.5" x14ac:dyDescent="0.35">
      <c r="A47" s="4"/>
      <c r="B47" s="12"/>
      <c r="C47" s="13"/>
      <c r="D47" s="13"/>
      <c r="E47" s="13"/>
      <c r="F47" s="18"/>
      <c r="G47" s="12"/>
      <c r="H47" s="18"/>
      <c r="I47" s="18"/>
      <c r="J47" s="13"/>
      <c r="K47" s="32"/>
      <c r="L47" s="14">
        <f t="shared" si="0"/>
        <v>0</v>
      </c>
      <c r="M47" s="31">
        <f t="shared" si="3"/>
        <v>0</v>
      </c>
      <c r="N47" s="15" t="str">
        <f>IF(Table2683238[[#This Row],[Fault Type]]="PM",IF(L47&lt;=(D47-C47),"Yes","No"),"")</f>
        <v/>
      </c>
      <c r="O47" s="16" t="str">
        <f t="shared" si="2"/>
        <v/>
      </c>
      <c r="P4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7" s="17"/>
    </row>
    <row r="48" spans="1:17" ht="15.5" x14ac:dyDescent="0.35">
      <c r="A48" s="4"/>
      <c r="B48" s="49"/>
      <c r="C48" s="49"/>
      <c r="D48" s="49"/>
      <c r="E48" s="13"/>
      <c r="F48" s="64"/>
      <c r="G48" s="159"/>
      <c r="H48" s="54"/>
      <c r="I48" s="54"/>
      <c r="J48" s="13"/>
      <c r="K48" s="32"/>
      <c r="L48" s="14">
        <f t="shared" si="0"/>
        <v>0</v>
      </c>
      <c r="M48" s="53">
        <f t="shared" si="3"/>
        <v>0</v>
      </c>
      <c r="N48" s="50" t="str">
        <f>IF(Table2683238[[#This Row],[Fault Type]]="PM",IF(L48&lt;=(D48-C48),"Yes","No"),"")</f>
        <v/>
      </c>
      <c r="O48" s="51" t="str">
        <f t="shared" si="2"/>
        <v/>
      </c>
      <c r="P4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row>
    <row r="49" spans="1:17" ht="15.5" x14ac:dyDescent="0.35">
      <c r="A49" s="58"/>
      <c r="B49" s="55"/>
      <c r="C49" s="56"/>
      <c r="D49" s="56"/>
      <c r="E49" s="13"/>
      <c r="F49" s="55"/>
      <c r="G49" s="55"/>
      <c r="H49" s="57"/>
      <c r="I49" s="18"/>
      <c r="J49" s="126"/>
      <c r="K49" s="32"/>
      <c r="L49" s="14">
        <f t="shared" si="0"/>
        <v>0</v>
      </c>
      <c r="M49" s="59">
        <f t="shared" si="3"/>
        <v>0</v>
      </c>
      <c r="N49" s="61" t="str">
        <f>IF(Table2683238[[#This Row],[Fault Type]]="PM",IF(L49&lt;=(D49-C49),"Yes","No"),"")</f>
        <v/>
      </c>
      <c r="O49" s="62" t="str">
        <f t="shared" si="2"/>
        <v/>
      </c>
      <c r="P4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49" s="63"/>
    </row>
    <row r="50" spans="1:17" ht="15.5" x14ac:dyDescent="0.35">
      <c r="A50" s="58"/>
      <c r="B50" s="55"/>
      <c r="C50" s="56"/>
      <c r="D50" s="56"/>
      <c r="E50" s="13"/>
      <c r="F50" s="55"/>
      <c r="G50" s="55"/>
      <c r="H50" s="57"/>
      <c r="I50" s="18"/>
      <c r="J50" s="13"/>
      <c r="K50" s="32"/>
      <c r="L50" s="14">
        <f t="shared" si="0"/>
        <v>0</v>
      </c>
      <c r="M50" s="59">
        <f t="shared" si="3"/>
        <v>0</v>
      </c>
      <c r="N50" s="61" t="str">
        <f>IF(Table2683238[[#This Row],[Fault Type]]="PM",IF(L50&lt;=(D50-C50),"Yes","No"),"")</f>
        <v/>
      </c>
      <c r="O50" s="62" t="str">
        <f t="shared" si="2"/>
        <v/>
      </c>
      <c r="P5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0" s="63"/>
    </row>
    <row r="51" spans="1:17" ht="15.5" x14ac:dyDescent="0.35">
      <c r="A51" s="58"/>
      <c r="B51" s="55"/>
      <c r="C51" s="56"/>
      <c r="D51" s="56"/>
      <c r="E51" s="13"/>
      <c r="F51" s="55"/>
      <c r="G51" s="55"/>
      <c r="H51" s="57"/>
      <c r="I51" s="18"/>
      <c r="J51" s="13"/>
      <c r="K51" s="32"/>
      <c r="L51" s="14">
        <f t="shared" si="0"/>
        <v>0</v>
      </c>
      <c r="M51" s="59">
        <f t="shared" si="3"/>
        <v>0</v>
      </c>
      <c r="N51" s="61" t="str">
        <f>IF(Table2683238[[#This Row],[Fault Type]]="PM",IF(L51&lt;=(D51-C51),"Yes","No"),"")</f>
        <v/>
      </c>
      <c r="O51" s="62" t="str">
        <f t="shared" si="2"/>
        <v/>
      </c>
      <c r="P5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1" s="63"/>
    </row>
    <row r="52" spans="1:17" ht="15.5" x14ac:dyDescent="0.35">
      <c r="A52" s="58"/>
      <c r="B52" s="55"/>
      <c r="C52" s="56"/>
      <c r="D52" s="56"/>
      <c r="E52" s="13"/>
      <c r="F52" s="55"/>
      <c r="G52" s="55"/>
      <c r="H52" s="57"/>
      <c r="I52" s="18"/>
      <c r="J52" s="13"/>
      <c r="K52" s="60"/>
      <c r="L52" s="14">
        <f t="shared" si="0"/>
        <v>0</v>
      </c>
      <c r="M52" s="59">
        <f t="shared" si="3"/>
        <v>0</v>
      </c>
      <c r="N52" s="61" t="str">
        <f>IF(Table2683238[[#This Row],[Fault Type]]="PM",IF(L52&lt;=(D52-C52),"Yes","No"),"")</f>
        <v/>
      </c>
      <c r="O52" s="62" t="str">
        <f t="shared" si="2"/>
        <v/>
      </c>
      <c r="P5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2" s="63"/>
    </row>
    <row r="53" spans="1:17" ht="15.5" x14ac:dyDescent="0.35">
      <c r="A53" s="58"/>
      <c r="B53" s="55"/>
      <c r="C53" s="56"/>
      <c r="D53" s="56"/>
      <c r="E53" s="13"/>
      <c r="F53" s="55"/>
      <c r="G53" s="55"/>
      <c r="H53" s="57"/>
      <c r="I53" s="18"/>
      <c r="J53" s="13"/>
      <c r="K53" s="60"/>
      <c r="L53" s="14">
        <f t="shared" si="0"/>
        <v>0</v>
      </c>
      <c r="M53" s="59">
        <f t="shared" si="3"/>
        <v>0</v>
      </c>
      <c r="N53" s="61" t="str">
        <f>IF(Table2683238[[#This Row],[Fault Type]]="PM",IF(L53&lt;=(D53-C53),"Yes","No"),"")</f>
        <v/>
      </c>
      <c r="O53" s="62" t="str">
        <f t="shared" si="2"/>
        <v/>
      </c>
      <c r="P5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3" s="63"/>
    </row>
    <row r="54" spans="1:17" ht="15.5" x14ac:dyDescent="0.35">
      <c r="A54" s="58"/>
      <c r="B54" s="55"/>
      <c r="C54" s="56"/>
      <c r="D54" s="56"/>
      <c r="E54" s="13"/>
      <c r="F54" s="55"/>
      <c r="G54" s="55"/>
      <c r="H54" s="57"/>
      <c r="I54" s="18"/>
      <c r="J54" s="13"/>
      <c r="K54" s="60"/>
      <c r="L54" s="14">
        <f t="shared" si="0"/>
        <v>0</v>
      </c>
      <c r="M54" s="59">
        <f t="shared" si="3"/>
        <v>0</v>
      </c>
      <c r="N54" s="61" t="str">
        <f>IF(Table2683238[[#This Row],[Fault Type]]="PM",IF(L54&lt;=(D54-C54),"Yes","No"),"")</f>
        <v/>
      </c>
      <c r="O54" s="62" t="str">
        <f t="shared" si="2"/>
        <v/>
      </c>
      <c r="P5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4" s="63"/>
    </row>
    <row r="55" spans="1:17" ht="15.5" x14ac:dyDescent="0.35">
      <c r="A55" s="58"/>
      <c r="B55" s="55"/>
      <c r="C55" s="56"/>
      <c r="D55" s="56"/>
      <c r="E55" s="13"/>
      <c r="F55" s="55"/>
      <c r="G55" s="55"/>
      <c r="H55" s="57"/>
      <c r="I55" s="18"/>
      <c r="J55" s="13"/>
      <c r="K55" s="60"/>
      <c r="L55" s="14">
        <f t="shared" si="0"/>
        <v>0</v>
      </c>
      <c r="M55" s="59">
        <f t="shared" si="3"/>
        <v>0</v>
      </c>
      <c r="N55" s="61" t="str">
        <f>IF(Table2683238[[#This Row],[Fault Type]]="PM",IF(L55&lt;=(D55-C55),"Yes","No"),"")</f>
        <v/>
      </c>
      <c r="O55" s="62" t="str">
        <f t="shared" si="2"/>
        <v/>
      </c>
      <c r="P5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5" s="63"/>
    </row>
    <row r="56" spans="1:17" ht="15.5" x14ac:dyDescent="0.35">
      <c r="A56" s="58"/>
      <c r="B56" s="55"/>
      <c r="C56" s="56"/>
      <c r="D56" s="56"/>
      <c r="E56" s="13"/>
      <c r="F56" s="55"/>
      <c r="G56" s="55"/>
      <c r="H56" s="57"/>
      <c r="I56" s="18"/>
      <c r="J56" s="13"/>
      <c r="K56" s="60"/>
      <c r="L56" s="14">
        <f t="shared" si="0"/>
        <v>0</v>
      </c>
      <c r="M56" s="59">
        <f t="shared" si="3"/>
        <v>0</v>
      </c>
      <c r="N56" s="61" t="str">
        <f>IF(Table2683238[[#This Row],[Fault Type]]="PM",IF(L56&lt;=(D56-C56),"Yes","No"),"")</f>
        <v/>
      </c>
      <c r="O56" s="62" t="str">
        <f t="shared" si="2"/>
        <v/>
      </c>
      <c r="P5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6" s="63"/>
    </row>
    <row r="57" spans="1:17" ht="15.5" x14ac:dyDescent="0.35">
      <c r="A57" s="58"/>
      <c r="B57" s="55"/>
      <c r="C57" s="56"/>
      <c r="D57" s="56"/>
      <c r="E57" s="13"/>
      <c r="F57" s="55"/>
      <c r="G57" s="55"/>
      <c r="H57" s="57"/>
      <c r="I57" s="18"/>
      <c r="J57" s="13"/>
      <c r="K57" s="60"/>
      <c r="L57" s="14">
        <f t="shared" si="0"/>
        <v>0</v>
      </c>
      <c r="M57" s="59">
        <f t="shared" si="3"/>
        <v>0</v>
      </c>
      <c r="N57" s="61" t="str">
        <f>IF(Table2683238[[#This Row],[Fault Type]]="PM",IF(L57&lt;=(D57-C57),"Yes","No"),"")</f>
        <v/>
      </c>
      <c r="O57" s="62" t="str">
        <f t="shared" si="2"/>
        <v/>
      </c>
      <c r="P5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7" s="63"/>
    </row>
    <row r="58" spans="1:17" ht="15.5" x14ac:dyDescent="0.35">
      <c r="A58" s="58"/>
      <c r="B58" s="55"/>
      <c r="C58" s="56"/>
      <c r="D58" s="56"/>
      <c r="E58" s="13"/>
      <c r="F58" s="55"/>
      <c r="G58" s="55"/>
      <c r="H58" s="57"/>
      <c r="I58" s="18"/>
      <c r="J58" s="13"/>
      <c r="K58" s="60"/>
      <c r="L58" s="14">
        <f t="shared" si="0"/>
        <v>0</v>
      </c>
      <c r="M58" s="59">
        <f t="shared" si="3"/>
        <v>0</v>
      </c>
      <c r="N58" s="61" t="str">
        <f>IF(Table2683238[[#This Row],[Fault Type]]="PM",IF(L58&lt;=(D58-C58),"Yes","No"),"")</f>
        <v/>
      </c>
      <c r="O58" s="62" t="str">
        <f t="shared" si="2"/>
        <v/>
      </c>
      <c r="P5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8" s="63"/>
    </row>
    <row r="59" spans="1:17" ht="15.5" x14ac:dyDescent="0.35">
      <c r="A59" s="58"/>
      <c r="B59" s="55"/>
      <c r="C59" s="56"/>
      <c r="D59" s="56"/>
      <c r="E59" s="13"/>
      <c r="F59" s="55"/>
      <c r="G59" s="55"/>
      <c r="H59" s="57"/>
      <c r="I59" s="18"/>
      <c r="J59" s="13"/>
      <c r="K59" s="60"/>
      <c r="L59" s="14">
        <f t="shared" si="0"/>
        <v>0</v>
      </c>
      <c r="M59" s="59">
        <f t="shared" si="3"/>
        <v>0</v>
      </c>
      <c r="N59" s="61" t="str">
        <f>IF(Table2683238[[#This Row],[Fault Type]]="PM",IF(L59&lt;=(D59-C59),"Yes","No"),"")</f>
        <v/>
      </c>
      <c r="O59" s="62" t="str">
        <f t="shared" si="2"/>
        <v/>
      </c>
      <c r="P5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59" s="63"/>
    </row>
    <row r="60" spans="1:17" ht="15.5" x14ac:dyDescent="0.35">
      <c r="A60" s="58"/>
      <c r="B60" s="55"/>
      <c r="C60" s="56"/>
      <c r="D60" s="56"/>
      <c r="E60" s="13"/>
      <c r="F60" s="55"/>
      <c r="G60" s="55"/>
      <c r="H60" s="57"/>
      <c r="I60" s="18"/>
      <c r="J60" s="13"/>
      <c r="K60" s="60"/>
      <c r="L60" s="14">
        <f t="shared" si="0"/>
        <v>0</v>
      </c>
      <c r="M60" s="59">
        <f t="shared" si="3"/>
        <v>0</v>
      </c>
      <c r="N60" s="61" t="str">
        <f>IF(Table2683238[[#This Row],[Fault Type]]="PM",IF(L60&lt;=(D60-C60),"Yes","No"),"")</f>
        <v/>
      </c>
      <c r="O60" s="62" t="str">
        <f t="shared" si="2"/>
        <v/>
      </c>
      <c r="P6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0" s="63"/>
    </row>
    <row r="61" spans="1:17" ht="15.5" x14ac:dyDescent="0.35">
      <c r="A61" s="58"/>
      <c r="B61" s="55"/>
      <c r="C61" s="56"/>
      <c r="D61" s="56"/>
      <c r="E61" s="13"/>
      <c r="F61" s="55"/>
      <c r="G61" s="55"/>
      <c r="H61" s="57"/>
      <c r="I61" s="18"/>
      <c r="J61" s="13"/>
      <c r="K61" s="60"/>
      <c r="L61" s="14">
        <f t="shared" si="0"/>
        <v>0</v>
      </c>
      <c r="M61" s="59">
        <f t="shared" si="3"/>
        <v>0</v>
      </c>
      <c r="N61" s="61" t="str">
        <f>IF(Table2683238[[#This Row],[Fault Type]]="PM",IF(L61&lt;=(D61-C61),"Yes","No"),"")</f>
        <v/>
      </c>
      <c r="O61" s="62" t="str">
        <f t="shared" si="2"/>
        <v/>
      </c>
      <c r="P6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1" s="63"/>
    </row>
    <row r="62" spans="1:17" ht="15.5" x14ac:dyDescent="0.35">
      <c r="A62" s="58"/>
      <c r="B62" s="55"/>
      <c r="C62" s="56"/>
      <c r="D62" s="56"/>
      <c r="E62" s="13"/>
      <c r="F62" s="55"/>
      <c r="G62" s="55"/>
      <c r="H62" s="57"/>
      <c r="I62" s="18"/>
      <c r="J62" s="13"/>
      <c r="K62" s="60"/>
      <c r="L62" s="14">
        <f t="shared" si="0"/>
        <v>0</v>
      </c>
      <c r="M62" s="59">
        <f t="shared" si="3"/>
        <v>0</v>
      </c>
      <c r="N62" s="61" t="str">
        <f>IF(Table2683238[[#This Row],[Fault Type]]="PM",IF(L62&lt;=(D62-C62),"Yes","No"),"")</f>
        <v/>
      </c>
      <c r="O62" s="62" t="str">
        <f t="shared" si="2"/>
        <v/>
      </c>
      <c r="P6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2" s="63"/>
    </row>
    <row r="63" spans="1:17" ht="15.5" x14ac:dyDescent="0.35">
      <c r="A63" s="58"/>
      <c r="B63" s="55"/>
      <c r="C63" s="56"/>
      <c r="D63" s="56"/>
      <c r="E63" s="13"/>
      <c r="F63" s="55"/>
      <c r="G63" s="55"/>
      <c r="H63" s="57"/>
      <c r="I63" s="18"/>
      <c r="J63" s="13"/>
      <c r="K63" s="60"/>
      <c r="L63" s="14">
        <f t="shared" si="0"/>
        <v>0</v>
      </c>
      <c r="M63" s="59">
        <f t="shared" si="3"/>
        <v>0</v>
      </c>
      <c r="N63" s="61" t="str">
        <f>IF(Table2683238[[#This Row],[Fault Type]]="PM",IF(L63&lt;=(D63-C63),"Yes","No"),"")</f>
        <v/>
      </c>
      <c r="O63" s="62" t="str">
        <f t="shared" si="2"/>
        <v/>
      </c>
      <c r="P6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3" s="63"/>
    </row>
    <row r="64" spans="1:17" ht="15.5" x14ac:dyDescent="0.35">
      <c r="A64" s="58"/>
      <c r="B64" s="55"/>
      <c r="C64" s="56"/>
      <c r="D64" s="56"/>
      <c r="E64" s="13"/>
      <c r="F64" s="55"/>
      <c r="G64" s="55"/>
      <c r="H64" s="57"/>
      <c r="I64" s="18"/>
      <c r="J64" s="13"/>
      <c r="K64" s="60"/>
      <c r="L64" s="14">
        <f t="shared" si="0"/>
        <v>0</v>
      </c>
      <c r="M64" s="59">
        <f t="shared" si="3"/>
        <v>0</v>
      </c>
      <c r="N64" s="61" t="str">
        <f>IF(Table2683238[[#This Row],[Fault Type]]="PM",IF(L64&lt;=(D64-C64),"Yes","No"),"")</f>
        <v/>
      </c>
      <c r="O64" s="62" t="str">
        <f t="shared" si="2"/>
        <v/>
      </c>
      <c r="P6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4" s="63"/>
    </row>
    <row r="65" spans="1:17" ht="15.5" x14ac:dyDescent="0.35">
      <c r="A65" s="58"/>
      <c r="B65" s="55"/>
      <c r="C65" s="56"/>
      <c r="D65" s="56"/>
      <c r="E65" s="13"/>
      <c r="F65" s="55"/>
      <c r="G65" s="55"/>
      <c r="H65" s="57"/>
      <c r="I65" s="18"/>
      <c r="J65" s="13"/>
      <c r="K65" s="60"/>
      <c r="L65" s="14">
        <f t="shared" si="0"/>
        <v>0</v>
      </c>
      <c r="M65" s="59">
        <f t="shared" si="3"/>
        <v>0</v>
      </c>
      <c r="N65" s="61" t="str">
        <f>IF(Table2683238[[#This Row],[Fault Type]]="PM",IF(L65&lt;=(D65-C65),"Yes","No"),"")</f>
        <v/>
      </c>
      <c r="O65" s="62" t="str">
        <f t="shared" si="2"/>
        <v/>
      </c>
      <c r="P6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5" s="63"/>
    </row>
    <row r="66" spans="1:17" ht="15.5" x14ac:dyDescent="0.35">
      <c r="A66" s="58"/>
      <c r="B66" s="55"/>
      <c r="C66" s="56"/>
      <c r="D66" s="56"/>
      <c r="E66" s="13"/>
      <c r="F66" s="55"/>
      <c r="G66" s="55"/>
      <c r="H66" s="57"/>
      <c r="I66" s="18"/>
      <c r="J66" s="13"/>
      <c r="K66" s="60"/>
      <c r="L66" s="14">
        <f t="shared" si="0"/>
        <v>0</v>
      </c>
      <c r="M66" s="59">
        <f t="shared" si="3"/>
        <v>0</v>
      </c>
      <c r="N66" s="61" t="str">
        <f>IF(Table2683238[[#This Row],[Fault Type]]="PM",IF(L66&lt;=(D66-C66),"Yes","No"),"")</f>
        <v/>
      </c>
      <c r="O66" s="62" t="str">
        <f t="shared" si="2"/>
        <v/>
      </c>
      <c r="P6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6" s="63"/>
    </row>
    <row r="67" spans="1:17" ht="15.5" x14ac:dyDescent="0.35">
      <c r="A67" s="58"/>
      <c r="B67" s="55"/>
      <c r="C67" s="56"/>
      <c r="D67" s="56"/>
      <c r="E67" s="13"/>
      <c r="F67" s="55"/>
      <c r="G67" s="55"/>
      <c r="H67" s="57"/>
      <c r="I67" s="18"/>
      <c r="J67" s="13"/>
      <c r="K67" s="60"/>
      <c r="L67" s="14">
        <f t="shared" ref="L67:L80" si="4">J67-E67</f>
        <v>0</v>
      </c>
      <c r="M67" s="59">
        <f t="shared" si="3"/>
        <v>0</v>
      </c>
      <c r="N67" s="61" t="str">
        <f>IF(Table2683238[[#This Row],[Fault Type]]="PM",IF(L67&lt;=(D67-C67),"Yes","No"),"")</f>
        <v/>
      </c>
      <c r="O67" s="62" t="str">
        <f t="shared" ref="O67:O80" si="5">IF(N67="No",(L67-(D67-C67)),"")</f>
        <v/>
      </c>
      <c r="P6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7" s="63"/>
    </row>
    <row r="68" spans="1:17" ht="15.5" x14ac:dyDescent="0.35">
      <c r="A68" s="58"/>
      <c r="B68" s="55"/>
      <c r="C68" s="56"/>
      <c r="D68" s="56"/>
      <c r="E68" s="13"/>
      <c r="F68" s="55"/>
      <c r="G68" s="55"/>
      <c r="H68" s="57"/>
      <c r="I68" s="18"/>
      <c r="J68" s="13"/>
      <c r="K68" s="60"/>
      <c r="L68" s="14">
        <f t="shared" si="4"/>
        <v>0</v>
      </c>
      <c r="M68" s="59">
        <f t="shared" si="3"/>
        <v>0</v>
      </c>
      <c r="N68" s="61" t="str">
        <f>IF(Table2683238[[#This Row],[Fault Type]]="PM",IF(L68&lt;=(D68-C68),"Yes","No"),"")</f>
        <v/>
      </c>
      <c r="O68" s="62" t="str">
        <f t="shared" si="5"/>
        <v/>
      </c>
      <c r="P6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8" s="63"/>
    </row>
    <row r="69" spans="1:17" ht="15.5" x14ac:dyDescent="0.35">
      <c r="A69" s="58"/>
      <c r="B69" s="55"/>
      <c r="C69" s="56"/>
      <c r="D69" s="56"/>
      <c r="E69" s="13"/>
      <c r="F69" s="55"/>
      <c r="G69" s="55"/>
      <c r="H69" s="57"/>
      <c r="I69" s="18"/>
      <c r="J69" s="13"/>
      <c r="K69" s="60"/>
      <c r="L69" s="14">
        <f t="shared" si="4"/>
        <v>0</v>
      </c>
      <c r="M69" s="59">
        <f t="shared" si="3"/>
        <v>0</v>
      </c>
      <c r="N69" s="61" t="str">
        <f>IF(Table2683238[[#This Row],[Fault Type]]="PM",IF(L69&lt;=(D69-C69),"Yes","No"),"")</f>
        <v/>
      </c>
      <c r="O69" s="62" t="str">
        <f t="shared" si="5"/>
        <v/>
      </c>
      <c r="P6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69" s="63"/>
    </row>
    <row r="70" spans="1:17" ht="15.5" x14ac:dyDescent="0.35">
      <c r="A70" s="58"/>
      <c r="B70" s="55"/>
      <c r="C70" s="56"/>
      <c r="D70" s="56"/>
      <c r="E70" s="13"/>
      <c r="F70" s="55"/>
      <c r="G70" s="55"/>
      <c r="H70" s="57"/>
      <c r="I70" s="18"/>
      <c r="J70" s="13"/>
      <c r="K70" s="60"/>
      <c r="L70" s="14">
        <f t="shared" si="4"/>
        <v>0</v>
      </c>
      <c r="M70" s="59">
        <f t="shared" si="3"/>
        <v>0</v>
      </c>
      <c r="N70" s="61" t="str">
        <f>IF(Table2683238[[#This Row],[Fault Type]]="PM",IF(L70&lt;=(D70-C70),"Yes","No"),"")</f>
        <v/>
      </c>
      <c r="O70" s="62" t="str">
        <f t="shared" si="5"/>
        <v/>
      </c>
      <c r="P7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0" s="63"/>
    </row>
    <row r="71" spans="1:17" ht="15.5" x14ac:dyDescent="0.35">
      <c r="A71" s="58"/>
      <c r="B71" s="55"/>
      <c r="C71" s="56"/>
      <c r="D71" s="56"/>
      <c r="E71" s="13"/>
      <c r="F71" s="55"/>
      <c r="G71" s="55"/>
      <c r="H71" s="57"/>
      <c r="I71" s="18"/>
      <c r="J71" s="13"/>
      <c r="K71" s="60"/>
      <c r="L71" s="14">
        <f t="shared" si="4"/>
        <v>0</v>
      </c>
      <c r="M71" s="59">
        <f t="shared" si="3"/>
        <v>0</v>
      </c>
      <c r="N71" s="61" t="str">
        <f>IF(Table2683238[[#This Row],[Fault Type]]="PM",IF(L71&lt;=(D71-C71),"Yes","No"),"")</f>
        <v/>
      </c>
      <c r="O71" s="62" t="str">
        <f t="shared" si="5"/>
        <v/>
      </c>
      <c r="P71"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1" s="63"/>
    </row>
    <row r="72" spans="1:17" ht="15.5" x14ac:dyDescent="0.35">
      <c r="A72" s="58"/>
      <c r="B72" s="55"/>
      <c r="C72" s="56"/>
      <c r="D72" s="56"/>
      <c r="E72" s="13"/>
      <c r="F72" s="55"/>
      <c r="G72" s="55"/>
      <c r="H72" s="57"/>
      <c r="I72" s="18"/>
      <c r="J72" s="13"/>
      <c r="K72" s="60"/>
      <c r="L72" s="14">
        <f t="shared" si="4"/>
        <v>0</v>
      </c>
      <c r="M72" s="59">
        <f t="shared" si="3"/>
        <v>0</v>
      </c>
      <c r="N72" s="61" t="str">
        <f>IF(Table2683238[[#This Row],[Fault Type]]="PM",IF(L72&lt;=(D72-C72),"Yes","No"),"")</f>
        <v/>
      </c>
      <c r="O72" s="62" t="str">
        <f t="shared" si="5"/>
        <v/>
      </c>
      <c r="P72"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2" s="63"/>
    </row>
    <row r="73" spans="1:17" ht="15.5" x14ac:dyDescent="0.35">
      <c r="A73" s="58"/>
      <c r="B73" s="55"/>
      <c r="C73" s="56"/>
      <c r="D73" s="56"/>
      <c r="E73" s="13"/>
      <c r="F73" s="55"/>
      <c r="G73" s="55"/>
      <c r="H73" s="57"/>
      <c r="I73" s="18"/>
      <c r="J73" s="13"/>
      <c r="K73" s="60"/>
      <c r="L73" s="14">
        <f t="shared" si="4"/>
        <v>0</v>
      </c>
      <c r="M73" s="59">
        <f t="shared" si="3"/>
        <v>0</v>
      </c>
      <c r="N73" s="61" t="str">
        <f>IF(Table2683238[[#This Row],[Fault Type]]="PM",IF(L73&lt;=(D73-C73),"Yes","No"),"")</f>
        <v/>
      </c>
      <c r="O73" s="62" t="str">
        <f t="shared" si="5"/>
        <v/>
      </c>
      <c r="P73"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3" s="63"/>
    </row>
    <row r="74" spans="1:17" ht="15.5" x14ac:dyDescent="0.35">
      <c r="A74" s="58"/>
      <c r="B74" s="55"/>
      <c r="C74" s="56"/>
      <c r="D74" s="56"/>
      <c r="E74" s="13"/>
      <c r="F74" s="55"/>
      <c r="G74" s="55"/>
      <c r="H74" s="57"/>
      <c r="I74" s="18"/>
      <c r="J74" s="13"/>
      <c r="K74" s="60"/>
      <c r="L74" s="14">
        <f t="shared" si="4"/>
        <v>0</v>
      </c>
      <c r="M74" s="59">
        <f t="shared" si="3"/>
        <v>0</v>
      </c>
      <c r="N74" s="61" t="str">
        <f>IF(Table2683238[[#This Row],[Fault Type]]="PM",IF(L74&lt;=(D74-C74),"Yes","No"),"")</f>
        <v/>
      </c>
      <c r="O74" s="62" t="str">
        <f t="shared" si="5"/>
        <v/>
      </c>
      <c r="P74"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4" s="63"/>
    </row>
    <row r="75" spans="1:17" ht="15.5" x14ac:dyDescent="0.35">
      <c r="A75" s="58"/>
      <c r="B75" s="55"/>
      <c r="C75" s="56"/>
      <c r="D75" s="56"/>
      <c r="E75" s="13"/>
      <c r="F75" s="55"/>
      <c r="G75" s="55"/>
      <c r="H75" s="57"/>
      <c r="I75" s="18"/>
      <c r="J75" s="13"/>
      <c r="K75" s="60"/>
      <c r="L75" s="14">
        <f t="shared" si="4"/>
        <v>0</v>
      </c>
      <c r="M75" s="59">
        <f t="shared" si="3"/>
        <v>0</v>
      </c>
      <c r="N75" s="61" t="str">
        <f>IF(Table2683238[[#This Row],[Fault Type]]="PM",IF(L75&lt;=(D75-C75),"Yes","No"),"")</f>
        <v/>
      </c>
      <c r="O75" s="62" t="str">
        <f t="shared" si="5"/>
        <v/>
      </c>
      <c r="P75"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5" s="63"/>
    </row>
    <row r="76" spans="1:17" ht="15.5" x14ac:dyDescent="0.35">
      <c r="A76" s="58"/>
      <c r="B76" s="55"/>
      <c r="C76" s="56"/>
      <c r="D76" s="56"/>
      <c r="E76" s="13"/>
      <c r="F76" s="55"/>
      <c r="G76" s="55"/>
      <c r="H76" s="57"/>
      <c r="I76" s="18"/>
      <c r="J76" s="13"/>
      <c r="K76" s="60"/>
      <c r="L76" s="14">
        <f t="shared" si="4"/>
        <v>0</v>
      </c>
      <c r="M76" s="59">
        <f t="shared" si="3"/>
        <v>0</v>
      </c>
      <c r="N76" s="61" t="str">
        <f>IF(Table2683238[[#This Row],[Fault Type]]="PM",IF(L76&lt;=(D76-C76),"Yes","No"),"")</f>
        <v/>
      </c>
      <c r="O76" s="62" t="str">
        <f t="shared" si="5"/>
        <v/>
      </c>
      <c r="P76"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6" s="63"/>
    </row>
    <row r="77" spans="1:17" ht="15.5" x14ac:dyDescent="0.35">
      <c r="A77" s="58"/>
      <c r="B77" s="55"/>
      <c r="C77" s="56"/>
      <c r="D77" s="56"/>
      <c r="E77" s="13"/>
      <c r="F77" s="55"/>
      <c r="G77" s="55"/>
      <c r="H77" s="57"/>
      <c r="I77" s="18"/>
      <c r="J77" s="13"/>
      <c r="K77" s="60"/>
      <c r="L77" s="14">
        <f t="shared" si="4"/>
        <v>0</v>
      </c>
      <c r="M77" s="59">
        <f t="shared" si="3"/>
        <v>0</v>
      </c>
      <c r="N77" s="61" t="str">
        <f>IF(Table2683238[[#This Row],[Fault Type]]="PM",IF(L77&lt;=(D77-C77),"Yes","No"),"")</f>
        <v/>
      </c>
      <c r="O77" s="62" t="str">
        <f t="shared" si="5"/>
        <v/>
      </c>
      <c r="P77"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7" s="63"/>
    </row>
    <row r="78" spans="1:17" ht="15.5" x14ac:dyDescent="0.35">
      <c r="A78" s="58"/>
      <c r="B78" s="55"/>
      <c r="C78" s="56"/>
      <c r="D78" s="56"/>
      <c r="E78" s="13"/>
      <c r="F78" s="55"/>
      <c r="G78" s="55"/>
      <c r="H78" s="57"/>
      <c r="I78" s="18"/>
      <c r="J78" s="13"/>
      <c r="K78" s="60"/>
      <c r="L78" s="14">
        <f t="shared" si="4"/>
        <v>0</v>
      </c>
      <c r="M78" s="59">
        <f t="shared" si="3"/>
        <v>0</v>
      </c>
      <c r="N78" s="61" t="str">
        <f>IF(Table2683238[[#This Row],[Fault Type]]="PM",IF(L78&lt;=(D78-C78),"Yes","No"),"")</f>
        <v/>
      </c>
      <c r="O78" s="62" t="str">
        <f t="shared" si="5"/>
        <v/>
      </c>
      <c r="P78"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8" s="63"/>
    </row>
    <row r="79" spans="1:17" ht="15.5" x14ac:dyDescent="0.35">
      <c r="A79" s="58"/>
      <c r="B79" s="55"/>
      <c r="C79" s="56"/>
      <c r="D79" s="56"/>
      <c r="E79" s="13"/>
      <c r="F79" s="55"/>
      <c r="G79" s="55"/>
      <c r="H79" s="57"/>
      <c r="I79" s="18"/>
      <c r="J79" s="13"/>
      <c r="K79" s="60"/>
      <c r="L79" s="14">
        <f t="shared" si="4"/>
        <v>0</v>
      </c>
      <c r="M79" s="59">
        <f t="shared" si="3"/>
        <v>0</v>
      </c>
      <c r="N79" s="61" t="str">
        <f>IF(Table2683238[[#This Row],[Fault Type]]="PM",IF(L79&lt;=(D79-C79),"Yes","No"),"")</f>
        <v/>
      </c>
      <c r="O79" s="62" t="str">
        <f t="shared" si="5"/>
        <v/>
      </c>
      <c r="P79"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79" s="63"/>
    </row>
    <row r="80" spans="1:17" ht="15.5" x14ac:dyDescent="0.35">
      <c r="A80" s="58"/>
      <c r="B80" s="55"/>
      <c r="C80" s="56"/>
      <c r="D80" s="56"/>
      <c r="E80" s="13"/>
      <c r="F80" s="55"/>
      <c r="G80" s="55"/>
      <c r="H80" s="57"/>
      <c r="I80" s="18"/>
      <c r="J80" s="13"/>
      <c r="K80" s="60"/>
      <c r="L80" s="14">
        <f t="shared" si="4"/>
        <v>0</v>
      </c>
      <c r="M80" s="59">
        <f t="shared" si="3"/>
        <v>0</v>
      </c>
      <c r="N80" s="61" t="str">
        <f>IF(Table2683238[[#This Row],[Fault Type]]="PM",IF(L80&lt;=(D80-C80),"Yes","No"),"")</f>
        <v/>
      </c>
      <c r="O80" s="62" t="str">
        <f t="shared" si="5"/>
        <v/>
      </c>
      <c r="P80" s="166" t="str">
        <f>IF(AND(Table2683238[[#This Row],[Name of Feeder]]&lt;&gt;"",OR(Table2683238[[#This Row],[Fault Type]]="TL",Table2683238[[#This Row],[Fault Type]]="TS",Table2683238[[#This Row],[Fault Type]]="UF",Table2683238[[#This Row],[Fault Type]]="SE")),(IF(AND(VLOOKUP(Table2683238[[#This Row],[Name of Feeder]],Main!D:E,2,0)="URBAN",ISNUMBER(SEARCH("33KV",Table2683238[[#This Row],[Name of Feeder]]))),IF(AND(Table2683238[[#This Row],[Outage Duration]]&gt;0,Table2683238[[#This Row],[Outage Duration]]&lt;=0.25),"Yes","No"),IF(AND(VLOOKUP(Table2683238[[#This Row],[Name of Feeder]],Main!D:E,2,0)="RURAL",ISNUMBER(SEARCH("33KV",Table2683238[[#This Row],[Name of Feeder]]))),IF(AND(Table2683238[[#This Row],[Outage Duration]]&gt;0,Table2683238[[#This Row],[Outage Duration]]&lt;=0.33),"Yes","No"),IF(AND(VLOOKUP(Table2683238[[#This Row],[Name of Feeder]],Main!D:E,2,0)="RURAL",ISNUMBER(SEARCH("11KV",Table2683238[[#This Row],[Name of Feeder]]))),IF(AND(Table2683238[[#This Row],[Outage Duration]]&gt;0,Table2683238[[#This Row],[Outage Duration]]&lt;=0.17),"Yes","No"),IF(AND(VLOOKUP(Table2683238[[#This Row],[Name of Feeder]],Main!D:E,2,0)="URBAN",ISNUMBER(SEARCH("11KV",Table2683238[[#This Row],[Name of Feeder]]))),IF(AND(Table2683238[[#This Row],[Outage Duration]]&gt;0,Table2683238[[#This Row],[Outage Duration]]&lt;=0.17),"Yes","No"),""))))),"")</f>
        <v/>
      </c>
      <c r="Q80"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2000-000000000000}">
          <x14:formula1>
            <xm:f>Main!$F$226:$F$228</xm:f>
          </x14:formula1>
          <xm:sqref>I2:I80</xm:sqref>
        </x14:dataValidation>
        <x14:dataValidation type="list" allowBlank="1" showInputMessage="1" showErrorMessage="1" xr:uid="{00000000-0002-0000-2000-000001000000}">
          <x14:formula1>
            <xm:f>Main!$D$2:$D$196</xm:f>
          </x14:formula1>
          <xm:sqref>A2:A80</xm:sqref>
        </x14:dataValidation>
        <x14:dataValidation type="list" allowBlank="1" showInputMessage="1" showErrorMessage="1" xr:uid="{00000000-0002-0000-2000-000002000000}">
          <x14:formula1>
            <xm:f>Main!F$222:F$225</xm:f>
          </x14:formula1>
          <xm:sqref>G2:G80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79"/>
  <sheetViews>
    <sheetView topLeftCell="C1" zoomScale="70" zoomScaleNormal="70" workbookViewId="0">
      <selection activeCell="Q7" sqref="Q7"/>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33" si="0">J2-E2</f>
        <v>0</v>
      </c>
      <c r="M2" s="31">
        <f t="shared" ref="M2:M22" si="1">L2*F2</f>
        <v>0</v>
      </c>
      <c r="N2" s="15" t="str">
        <f>IF(Table26832[[#This Row],[Fault Type]]="PM",IF(L2&lt;=(D2-C2),"Yes","No"),"")</f>
        <v/>
      </c>
      <c r="O2" s="16" t="str">
        <f t="shared" ref="O2:O33" si="2">IF(N2="No",(L2-(D2-C2)),"")</f>
        <v/>
      </c>
      <c r="P2" s="30"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 s="17"/>
    </row>
    <row r="3" spans="1:17" ht="15.5" x14ac:dyDescent="0.35">
      <c r="A3" s="4"/>
      <c r="B3" s="12"/>
      <c r="C3" s="13"/>
      <c r="D3" s="13"/>
      <c r="E3" s="13"/>
      <c r="F3" s="12"/>
      <c r="G3" s="12"/>
      <c r="H3" s="27"/>
      <c r="I3" s="27"/>
      <c r="J3" s="13"/>
      <c r="K3" s="32"/>
      <c r="L3" s="14">
        <f t="shared" si="0"/>
        <v>0</v>
      </c>
      <c r="M3" s="31">
        <f t="shared" si="1"/>
        <v>0</v>
      </c>
      <c r="N3" s="15" t="str">
        <f>IF(Table26832[[#This Row],[Fault Type]]="PM",IF(L3&lt;=(D3-C3),"Yes","No"),"")</f>
        <v/>
      </c>
      <c r="O3" s="16" t="str">
        <f t="shared" si="2"/>
        <v/>
      </c>
      <c r="P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 s="17"/>
    </row>
    <row r="4" spans="1:17" ht="15.5" x14ac:dyDescent="0.35">
      <c r="A4" s="4"/>
      <c r="B4" s="12"/>
      <c r="C4" s="13"/>
      <c r="D4" s="13"/>
      <c r="E4" s="13"/>
      <c r="F4" s="12"/>
      <c r="G4" s="12"/>
      <c r="H4" s="12"/>
      <c r="I4" s="12"/>
      <c r="J4" s="13"/>
      <c r="K4" s="32"/>
      <c r="L4" s="14">
        <f t="shared" si="0"/>
        <v>0</v>
      </c>
      <c r="M4" s="31">
        <f t="shared" si="1"/>
        <v>0</v>
      </c>
      <c r="N4" s="15" t="str">
        <f>IF(Table26832[[#This Row],[Fault Type]]="PM",IF(L4&lt;=(D4-C4),"Yes","No"),"")</f>
        <v/>
      </c>
      <c r="O4" s="16" t="str">
        <f t="shared" si="2"/>
        <v/>
      </c>
      <c r="P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 s="17"/>
    </row>
    <row r="5" spans="1:17" ht="15.5" x14ac:dyDescent="0.35">
      <c r="A5" s="4"/>
      <c r="B5" s="12"/>
      <c r="C5" s="13"/>
      <c r="D5" s="13"/>
      <c r="E5" s="13"/>
      <c r="F5" s="12"/>
      <c r="G5" s="12"/>
      <c r="H5" s="12"/>
      <c r="I5" s="12"/>
      <c r="J5" s="160"/>
      <c r="K5" s="32"/>
      <c r="L5" s="14">
        <f t="shared" si="0"/>
        <v>0</v>
      </c>
      <c r="M5" s="31">
        <f t="shared" si="1"/>
        <v>0</v>
      </c>
      <c r="N5" s="15" t="str">
        <f>IF(Table26832[[#This Row],[Fault Type]]="PM",IF(L5&lt;=(D5-C5),"Yes","No"),"")</f>
        <v/>
      </c>
      <c r="O5" s="16" t="str">
        <f t="shared" si="2"/>
        <v/>
      </c>
      <c r="P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 s="17"/>
    </row>
    <row r="6" spans="1:17" ht="15.5" x14ac:dyDescent="0.35">
      <c r="A6" s="4"/>
      <c r="B6" s="12"/>
      <c r="C6" s="13"/>
      <c r="D6" s="13"/>
      <c r="E6" s="13"/>
      <c r="F6" s="12"/>
      <c r="G6" s="12"/>
      <c r="H6" s="12"/>
      <c r="I6" s="12"/>
      <c r="J6" s="13"/>
      <c r="K6" s="32"/>
      <c r="L6" s="14">
        <f t="shared" si="0"/>
        <v>0</v>
      </c>
      <c r="M6" s="31">
        <f t="shared" si="1"/>
        <v>0</v>
      </c>
      <c r="N6" s="15" t="str">
        <f>IF(Table26832[[#This Row],[Fault Type]]="PM",IF(L6&lt;=(D6-C6),"Yes","No"),"")</f>
        <v/>
      </c>
      <c r="O6" s="16" t="str">
        <f t="shared" si="2"/>
        <v/>
      </c>
      <c r="P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 s="17"/>
    </row>
    <row r="7" spans="1:17" ht="15.5" x14ac:dyDescent="0.35">
      <c r="A7" s="4"/>
      <c r="B7" s="12"/>
      <c r="C7" s="13"/>
      <c r="D7" s="13"/>
      <c r="E7" s="13"/>
      <c r="F7" s="12"/>
      <c r="G7" s="12"/>
      <c r="H7" s="12"/>
      <c r="I7" s="12"/>
      <c r="J7" s="13"/>
      <c r="K7" s="32"/>
      <c r="L7" s="14">
        <f t="shared" si="0"/>
        <v>0</v>
      </c>
      <c r="M7" s="31">
        <f t="shared" si="1"/>
        <v>0</v>
      </c>
      <c r="N7" s="15" t="str">
        <f>IF(Table26832[[#This Row],[Fault Type]]="PM",IF(L7&lt;=(D7-C7),"Yes","No"),"")</f>
        <v/>
      </c>
      <c r="O7" s="16" t="str">
        <f t="shared" si="2"/>
        <v/>
      </c>
      <c r="P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 s="17"/>
    </row>
    <row r="8" spans="1:17" ht="15.5" x14ac:dyDescent="0.35">
      <c r="A8" s="4"/>
      <c r="B8" s="12"/>
      <c r="C8" s="13"/>
      <c r="D8" s="13"/>
      <c r="E8" s="13"/>
      <c r="F8" s="12"/>
      <c r="G8" s="12"/>
      <c r="H8" s="12"/>
      <c r="I8" s="12"/>
      <c r="J8" s="13"/>
      <c r="K8" s="32"/>
      <c r="L8" s="14">
        <f t="shared" si="0"/>
        <v>0</v>
      </c>
      <c r="M8" s="31">
        <f t="shared" si="1"/>
        <v>0</v>
      </c>
      <c r="N8" s="15" t="str">
        <f>IF(Table26832[[#This Row],[Fault Type]]="PM",IF(L8&lt;=(D8-C8),"Yes","No"),"")</f>
        <v/>
      </c>
      <c r="O8" s="16" t="str">
        <f t="shared" si="2"/>
        <v/>
      </c>
      <c r="P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8" s="17"/>
    </row>
    <row r="9" spans="1:17" ht="15.5" x14ac:dyDescent="0.35">
      <c r="A9" s="4"/>
      <c r="B9" s="12"/>
      <c r="C9" s="13"/>
      <c r="D9" s="13"/>
      <c r="E9" s="13"/>
      <c r="F9" s="12"/>
      <c r="G9" s="12"/>
      <c r="H9" s="12"/>
      <c r="I9" s="12"/>
      <c r="J9" s="13"/>
      <c r="K9" s="32"/>
      <c r="L9" s="14">
        <f t="shared" si="0"/>
        <v>0</v>
      </c>
      <c r="M9" s="31">
        <f t="shared" si="1"/>
        <v>0</v>
      </c>
      <c r="N9" s="15" t="str">
        <f>IF(Table26832[[#This Row],[Fault Type]]="PM",IF(L9&lt;=(D9-C9),"Yes","No"),"")</f>
        <v/>
      </c>
      <c r="O9" s="16" t="str">
        <f t="shared" si="2"/>
        <v/>
      </c>
      <c r="P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9" s="17"/>
    </row>
    <row r="10" spans="1:17" ht="15.5" x14ac:dyDescent="0.35">
      <c r="A10" s="4"/>
      <c r="B10" s="12"/>
      <c r="C10" s="13"/>
      <c r="D10" s="13"/>
      <c r="E10" s="13"/>
      <c r="F10" s="12"/>
      <c r="G10" s="12"/>
      <c r="H10" s="12"/>
      <c r="I10" s="12"/>
      <c r="J10" s="13"/>
      <c r="K10" s="32"/>
      <c r="L10" s="14">
        <f t="shared" si="0"/>
        <v>0</v>
      </c>
      <c r="M10" s="31">
        <f t="shared" si="1"/>
        <v>0</v>
      </c>
      <c r="N10" s="15" t="str">
        <f>IF(Table26832[[#This Row],[Fault Type]]="PM",IF(L10&lt;=(D10-C10),"Yes","No"),"")</f>
        <v/>
      </c>
      <c r="O10" s="16" t="str">
        <f t="shared" si="2"/>
        <v/>
      </c>
      <c r="P1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0" s="17"/>
    </row>
    <row r="11" spans="1:17" ht="15.5" x14ac:dyDescent="0.35">
      <c r="A11" s="4"/>
      <c r="B11" s="12"/>
      <c r="C11" s="13"/>
      <c r="D11" s="13"/>
      <c r="E11" s="13"/>
      <c r="F11" s="12"/>
      <c r="G11" s="12"/>
      <c r="H11" s="12"/>
      <c r="I11" s="12"/>
      <c r="J11" s="13"/>
      <c r="K11" s="32"/>
      <c r="L11" s="14">
        <f t="shared" si="0"/>
        <v>0</v>
      </c>
      <c r="M11" s="31">
        <f t="shared" si="1"/>
        <v>0</v>
      </c>
      <c r="N11" s="15" t="str">
        <f>IF(Table26832[[#This Row],[Fault Type]]="PM",IF(L11&lt;=(D11-C11),"Yes","No"),"")</f>
        <v/>
      </c>
      <c r="O11" s="16" t="str">
        <f t="shared" si="2"/>
        <v/>
      </c>
      <c r="P1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1" s="17"/>
    </row>
    <row r="12" spans="1:17" ht="15.5" x14ac:dyDescent="0.35">
      <c r="A12" s="4"/>
      <c r="B12" s="12"/>
      <c r="C12" s="13"/>
      <c r="D12" s="13"/>
      <c r="E12" s="13"/>
      <c r="F12" s="12"/>
      <c r="G12" s="12"/>
      <c r="H12" s="12"/>
      <c r="I12" s="12"/>
      <c r="J12" s="13"/>
      <c r="K12" s="32"/>
      <c r="L12" s="14">
        <f t="shared" si="0"/>
        <v>0</v>
      </c>
      <c r="M12" s="31">
        <f t="shared" si="1"/>
        <v>0</v>
      </c>
      <c r="N12" s="15" t="str">
        <f>IF(Table26832[[#This Row],[Fault Type]]="PM",IF(L12&lt;=(D12-C12),"Yes","No"),"")</f>
        <v/>
      </c>
      <c r="O12" s="16" t="str">
        <f t="shared" si="2"/>
        <v/>
      </c>
      <c r="P1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2" s="17"/>
    </row>
    <row r="13" spans="1:17" ht="15.5" x14ac:dyDescent="0.35">
      <c r="A13" s="4"/>
      <c r="B13" s="159"/>
      <c r="C13" s="13"/>
      <c r="D13" s="13"/>
      <c r="E13" s="13"/>
      <c r="F13" s="12"/>
      <c r="G13" s="12"/>
      <c r="H13" s="12"/>
      <c r="I13" s="12"/>
      <c r="J13" s="13"/>
      <c r="K13" s="32"/>
      <c r="L13" s="14">
        <f t="shared" si="0"/>
        <v>0</v>
      </c>
      <c r="M13" s="31">
        <f t="shared" si="1"/>
        <v>0</v>
      </c>
      <c r="N13" s="15" t="str">
        <f>IF(Table26832[[#This Row],[Fault Type]]="PM",IF(L13&lt;=(D13-C13),"Yes","No"),"")</f>
        <v/>
      </c>
      <c r="O13" s="16" t="str">
        <f t="shared" si="2"/>
        <v/>
      </c>
      <c r="P1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3" s="130"/>
    </row>
    <row r="14" spans="1:17" ht="15.5" x14ac:dyDescent="0.35">
      <c r="A14" s="4"/>
      <c r="B14" s="12"/>
      <c r="C14" s="13"/>
      <c r="D14" s="13"/>
      <c r="E14" s="13"/>
      <c r="F14" s="12"/>
      <c r="G14" s="12"/>
      <c r="H14" s="12"/>
      <c r="I14" s="12"/>
      <c r="J14" s="126"/>
      <c r="K14" s="32"/>
      <c r="L14" s="14">
        <f t="shared" si="0"/>
        <v>0</v>
      </c>
      <c r="M14" s="31">
        <f t="shared" si="1"/>
        <v>0</v>
      </c>
      <c r="N14" s="15" t="str">
        <f>IF(Table26832[[#This Row],[Fault Type]]="PM",IF(L14&lt;=(D14-C14),"Yes","No"),"")</f>
        <v/>
      </c>
      <c r="O14" s="16" t="str">
        <f t="shared" si="2"/>
        <v/>
      </c>
      <c r="P1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4" s="130"/>
    </row>
    <row r="15" spans="1:17" ht="15.5" x14ac:dyDescent="0.35">
      <c r="A15" s="4"/>
      <c r="B15" s="12"/>
      <c r="C15" s="13"/>
      <c r="D15" s="13"/>
      <c r="E15" s="13"/>
      <c r="F15" s="12"/>
      <c r="G15" s="12"/>
      <c r="H15" s="12"/>
      <c r="I15" s="12"/>
      <c r="J15" s="13"/>
      <c r="K15" s="32"/>
      <c r="L15" s="14">
        <f t="shared" si="0"/>
        <v>0</v>
      </c>
      <c r="M15" s="31">
        <f t="shared" si="1"/>
        <v>0</v>
      </c>
      <c r="N15" s="15" t="str">
        <f>IF(Table26832[[#This Row],[Fault Type]]="PM",IF(L15&lt;=(D15-C15),"Yes","No"),"")</f>
        <v/>
      </c>
      <c r="O15" s="16" t="str">
        <f t="shared" si="2"/>
        <v/>
      </c>
      <c r="P1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5" s="130"/>
    </row>
    <row r="16" spans="1:17" ht="15.5" x14ac:dyDescent="0.35">
      <c r="A16" s="4"/>
      <c r="B16" s="12"/>
      <c r="C16" s="13"/>
      <c r="D16" s="13"/>
      <c r="E16" s="13"/>
      <c r="F16" s="18"/>
      <c r="G16" s="12"/>
      <c r="H16" s="18"/>
      <c r="I16" s="18"/>
      <c r="J16" s="13"/>
      <c r="K16" s="32"/>
      <c r="L16" s="14">
        <f t="shared" si="0"/>
        <v>0</v>
      </c>
      <c r="M16" s="31">
        <f t="shared" si="1"/>
        <v>0</v>
      </c>
      <c r="N16" s="15" t="str">
        <f>IF(Table26832[[#This Row],[Fault Type]]="PM",IF(L16&lt;=(D16-C16),"Yes","No"),"")</f>
        <v/>
      </c>
      <c r="O16" s="16" t="str">
        <f t="shared" si="2"/>
        <v/>
      </c>
      <c r="P1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6" s="130"/>
    </row>
    <row r="17" spans="1:17" ht="15.5" x14ac:dyDescent="0.35">
      <c r="A17" s="4"/>
      <c r="B17" s="12"/>
      <c r="C17" s="13"/>
      <c r="D17" s="13"/>
      <c r="E17" s="13"/>
      <c r="F17" s="12"/>
      <c r="G17" s="12"/>
      <c r="H17" s="12"/>
      <c r="I17" s="12"/>
      <c r="J17" s="13"/>
      <c r="K17" s="32"/>
      <c r="L17" s="14">
        <f t="shared" si="0"/>
        <v>0</v>
      </c>
      <c r="M17" s="31">
        <f t="shared" si="1"/>
        <v>0</v>
      </c>
      <c r="N17" s="15" t="str">
        <f>IF(Table26832[[#This Row],[Fault Type]]="PM",IF(L17&lt;=(D17-C17),"Yes","No"),"")</f>
        <v/>
      </c>
      <c r="O17" s="16" t="str">
        <f t="shared" si="2"/>
        <v/>
      </c>
      <c r="P1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7" s="130"/>
    </row>
    <row r="18" spans="1:17" ht="15.5" x14ac:dyDescent="0.35">
      <c r="A18" s="4"/>
      <c r="B18" s="12"/>
      <c r="C18" s="13"/>
      <c r="D18" s="13"/>
      <c r="E18" s="13"/>
      <c r="F18" s="18"/>
      <c r="G18" s="12"/>
      <c r="H18" s="18"/>
      <c r="I18" s="18"/>
      <c r="J18" s="13"/>
      <c r="K18" s="32"/>
      <c r="L18" s="14">
        <f t="shared" si="0"/>
        <v>0</v>
      </c>
      <c r="M18" s="31">
        <f t="shared" si="1"/>
        <v>0</v>
      </c>
      <c r="N18" s="15" t="str">
        <f>IF(Table26832[[#This Row],[Fault Type]]="PM",IF(L18&lt;=(D18-C18),"Yes","No"),"")</f>
        <v/>
      </c>
      <c r="O18" s="16" t="str">
        <f t="shared" si="2"/>
        <v/>
      </c>
      <c r="P1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8" s="130"/>
    </row>
    <row r="19" spans="1:17" ht="15.5" x14ac:dyDescent="0.35">
      <c r="A19" s="4"/>
      <c r="B19" s="12"/>
      <c r="C19" s="13"/>
      <c r="D19" s="13"/>
      <c r="E19" s="13"/>
      <c r="F19" s="18"/>
      <c r="G19" s="12"/>
      <c r="H19" s="18"/>
      <c r="I19" s="18"/>
      <c r="J19" s="13"/>
      <c r="K19" s="32"/>
      <c r="L19" s="14">
        <f t="shared" si="0"/>
        <v>0</v>
      </c>
      <c r="M19" s="31">
        <f t="shared" si="1"/>
        <v>0</v>
      </c>
      <c r="N19" s="15" t="str">
        <f>IF(Table26832[[#This Row],[Fault Type]]="PM",IF(L19&lt;=(D19-C19),"Yes","No"),"")</f>
        <v/>
      </c>
      <c r="O19" s="16" t="str">
        <f t="shared" si="2"/>
        <v/>
      </c>
      <c r="P1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19" s="130"/>
    </row>
    <row r="20" spans="1:17" ht="15.5" x14ac:dyDescent="0.35">
      <c r="A20" s="4"/>
      <c r="B20" s="12"/>
      <c r="C20" s="13"/>
      <c r="D20" s="13"/>
      <c r="E20" s="13"/>
      <c r="F20" s="165"/>
      <c r="G20" s="159"/>
      <c r="H20" s="54"/>
      <c r="I20" s="54"/>
      <c r="J20" s="148"/>
      <c r="K20" s="32"/>
      <c r="L20" s="14">
        <f t="shared" si="0"/>
        <v>0</v>
      </c>
      <c r="M20" s="31">
        <f t="shared" si="1"/>
        <v>0</v>
      </c>
      <c r="N20" s="15" t="str">
        <f>IF(Table26832[[#This Row],[Fault Type]]="PM",IF(L20&lt;=(D20-C20),"Yes","No"),"")</f>
        <v/>
      </c>
      <c r="O20" s="16" t="str">
        <f t="shared" si="2"/>
        <v/>
      </c>
      <c r="P2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0" s="130"/>
    </row>
    <row r="21" spans="1:17" ht="15.5" x14ac:dyDescent="0.35">
      <c r="A21" s="4"/>
      <c r="B21" s="12"/>
      <c r="C21" s="13"/>
      <c r="D21" s="13"/>
      <c r="E21" s="13"/>
      <c r="F21" s="18"/>
      <c r="G21" s="12"/>
      <c r="H21" s="18"/>
      <c r="I21" s="18"/>
      <c r="J21" s="13"/>
      <c r="K21" s="32"/>
      <c r="L21" s="14">
        <f t="shared" si="0"/>
        <v>0</v>
      </c>
      <c r="M21" s="31">
        <f t="shared" si="1"/>
        <v>0</v>
      </c>
      <c r="N21" s="15" t="str">
        <f>IF(Table26832[[#This Row],[Fault Type]]="PM",IF(L21&lt;=(D21-C21),"Yes","No"),"")</f>
        <v/>
      </c>
      <c r="O21" s="16" t="str">
        <f t="shared" si="2"/>
        <v/>
      </c>
      <c r="P2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1" s="130"/>
    </row>
    <row r="22" spans="1:17" ht="15.5" x14ac:dyDescent="0.35">
      <c r="A22" s="4"/>
      <c r="B22" s="12"/>
      <c r="C22" s="13"/>
      <c r="D22" s="13"/>
      <c r="E22" s="13"/>
      <c r="F22" s="18"/>
      <c r="G22" s="12"/>
      <c r="H22" s="18"/>
      <c r="I22" s="18"/>
      <c r="J22" s="13"/>
      <c r="K22" s="32"/>
      <c r="L22" s="14">
        <f t="shared" si="0"/>
        <v>0</v>
      </c>
      <c r="M22" s="31">
        <f t="shared" si="1"/>
        <v>0</v>
      </c>
      <c r="N22" s="15" t="str">
        <f>IF(Table26832[[#This Row],[Fault Type]]="PM",IF(L22&lt;=(D22-C22),"Yes","No"),"")</f>
        <v/>
      </c>
      <c r="O22" s="16" t="str">
        <f t="shared" si="2"/>
        <v/>
      </c>
      <c r="P2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2" s="130"/>
    </row>
    <row r="23" spans="1:17" ht="15.5" x14ac:dyDescent="0.35">
      <c r="A23" s="4"/>
      <c r="B23" s="12"/>
      <c r="C23" s="13"/>
      <c r="D23" s="13"/>
      <c r="E23" s="13"/>
      <c r="F23" s="18"/>
      <c r="G23" s="12"/>
      <c r="H23" s="18"/>
      <c r="I23" s="18"/>
      <c r="J23" s="13"/>
      <c r="K23" s="32"/>
      <c r="L23" s="14">
        <f t="shared" si="0"/>
        <v>0</v>
      </c>
      <c r="M23" s="31">
        <f t="shared" ref="M23:M54" si="3">L23*F23</f>
        <v>0</v>
      </c>
      <c r="N23" s="15" t="str">
        <f>IF(Table26832[[#This Row],[Fault Type]]="PM",IF(L23&lt;=(D23-C23),"Yes","No"),"")</f>
        <v/>
      </c>
      <c r="O23" s="16" t="str">
        <f t="shared" si="2"/>
        <v/>
      </c>
      <c r="P2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3" s="130"/>
    </row>
    <row r="24" spans="1:17" ht="15.5" x14ac:dyDescent="0.35">
      <c r="A24" s="4"/>
      <c r="B24" s="12"/>
      <c r="C24" s="13"/>
      <c r="D24" s="13"/>
      <c r="E24" s="13"/>
      <c r="F24" s="18"/>
      <c r="G24" s="12"/>
      <c r="H24" s="18"/>
      <c r="I24" s="18"/>
      <c r="J24" s="13"/>
      <c r="K24" s="32"/>
      <c r="L24" s="14">
        <f t="shared" si="0"/>
        <v>0</v>
      </c>
      <c r="M24" s="31">
        <f t="shared" si="3"/>
        <v>0</v>
      </c>
      <c r="N24" s="15" t="str">
        <f>IF(Table26832[[#This Row],[Fault Type]]="PM",IF(L24&lt;=(D24-C24),"Yes","No"),"")</f>
        <v/>
      </c>
      <c r="O24" s="16" t="str">
        <f t="shared" si="2"/>
        <v/>
      </c>
      <c r="P2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4" s="130"/>
    </row>
    <row r="25" spans="1:17" ht="15.5" x14ac:dyDescent="0.35">
      <c r="A25" s="4"/>
      <c r="B25" s="12"/>
      <c r="C25" s="13"/>
      <c r="D25" s="13"/>
      <c r="E25" s="13"/>
      <c r="F25" s="18"/>
      <c r="G25" s="12"/>
      <c r="H25" s="18"/>
      <c r="I25" s="18"/>
      <c r="J25" s="13"/>
      <c r="K25" s="32"/>
      <c r="L25" s="14">
        <f t="shared" si="0"/>
        <v>0</v>
      </c>
      <c r="M25" s="31">
        <f t="shared" si="3"/>
        <v>0</v>
      </c>
      <c r="N25" s="15" t="str">
        <f>IF(Table26832[[#This Row],[Fault Type]]="PM",IF(L25&lt;=(D25-C25),"Yes","No"),"")</f>
        <v/>
      </c>
      <c r="O25" s="16" t="str">
        <f t="shared" si="2"/>
        <v/>
      </c>
      <c r="P2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5" s="130"/>
    </row>
    <row r="26" spans="1:17" ht="15.5" x14ac:dyDescent="0.35">
      <c r="A26" s="4"/>
      <c r="B26" s="159"/>
      <c r="C26" s="13"/>
      <c r="D26" s="13"/>
      <c r="E26" s="13"/>
      <c r="F26" s="12"/>
      <c r="G26" s="12"/>
      <c r="H26" s="12"/>
      <c r="I26" s="12"/>
      <c r="J26" s="13"/>
      <c r="K26" s="32"/>
      <c r="L26" s="14">
        <f t="shared" si="0"/>
        <v>0</v>
      </c>
      <c r="M26" s="31">
        <f t="shared" si="3"/>
        <v>0</v>
      </c>
      <c r="N26" s="15" t="str">
        <f>IF(Table26832[[#This Row],[Fault Type]]="PM",IF(L26&lt;=(D26-C26),"Yes","No"),"")</f>
        <v/>
      </c>
      <c r="O26" s="16" t="str">
        <f t="shared" si="2"/>
        <v/>
      </c>
      <c r="P2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6" s="130"/>
    </row>
    <row r="27" spans="1:17" ht="15.5" x14ac:dyDescent="0.35">
      <c r="A27" s="4"/>
      <c r="B27" s="159"/>
      <c r="C27" s="13"/>
      <c r="D27" s="13"/>
      <c r="E27" s="13"/>
      <c r="F27" s="18"/>
      <c r="G27" s="12"/>
      <c r="H27" s="18"/>
      <c r="I27" s="18"/>
      <c r="J27" s="13"/>
      <c r="K27" s="32"/>
      <c r="L27" s="14">
        <f t="shared" si="0"/>
        <v>0</v>
      </c>
      <c r="M27" s="31">
        <f t="shared" si="3"/>
        <v>0</v>
      </c>
      <c r="N27" s="15" t="str">
        <f>IF(Table26832[[#This Row],[Fault Type]]="PM",IF(L27&lt;=(D27-C27),"Yes","No"),"")</f>
        <v/>
      </c>
      <c r="O27" s="16" t="str">
        <f t="shared" si="2"/>
        <v/>
      </c>
      <c r="P2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7" s="130"/>
    </row>
    <row r="28" spans="1:17" ht="15.5" x14ac:dyDescent="0.35">
      <c r="A28" s="4"/>
      <c r="B28" s="159"/>
      <c r="C28" s="13"/>
      <c r="D28" s="13"/>
      <c r="E28" s="13"/>
      <c r="F28" s="18"/>
      <c r="G28" s="12"/>
      <c r="H28" s="18"/>
      <c r="I28" s="18"/>
      <c r="J28" s="13"/>
      <c r="K28" s="32"/>
      <c r="L28" s="14">
        <f t="shared" si="0"/>
        <v>0</v>
      </c>
      <c r="M28" s="31">
        <f t="shared" si="3"/>
        <v>0</v>
      </c>
      <c r="N28" s="15" t="str">
        <f>IF(Table26832[[#This Row],[Fault Type]]="PM",IF(L28&lt;=(D28-C28),"Yes","No"),"")</f>
        <v/>
      </c>
      <c r="O28" s="16" t="str">
        <f t="shared" si="2"/>
        <v/>
      </c>
      <c r="P2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8" s="130"/>
    </row>
    <row r="29" spans="1:17" ht="15.5" x14ac:dyDescent="0.35">
      <c r="A29" s="4"/>
      <c r="B29" s="159"/>
      <c r="C29" s="13"/>
      <c r="D29" s="13"/>
      <c r="E29" s="13"/>
      <c r="F29" s="12"/>
      <c r="G29" s="12"/>
      <c r="H29" s="12"/>
      <c r="I29" s="12"/>
      <c r="J29" s="13"/>
      <c r="K29" s="32"/>
      <c r="L29" s="14">
        <f t="shared" si="0"/>
        <v>0</v>
      </c>
      <c r="M29" s="31">
        <f t="shared" si="3"/>
        <v>0</v>
      </c>
      <c r="N29" s="15" t="str">
        <f>IF(Table26832[[#This Row],[Fault Type]]="PM",IF(L29&lt;=(D29-C29),"Yes","No"),"")</f>
        <v/>
      </c>
      <c r="O29" s="16" t="str">
        <f t="shared" si="2"/>
        <v/>
      </c>
      <c r="P2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29" s="130"/>
    </row>
    <row r="30" spans="1:17" ht="15.5" x14ac:dyDescent="0.35">
      <c r="A30" s="4"/>
      <c r="B30" s="159"/>
      <c r="C30" s="13"/>
      <c r="D30" s="13"/>
      <c r="E30" s="13"/>
      <c r="F30" s="18"/>
      <c r="G30" s="12"/>
      <c r="H30" s="18"/>
      <c r="I30" s="18"/>
      <c r="J30" s="13"/>
      <c r="K30" s="32"/>
      <c r="L30" s="14">
        <f t="shared" si="0"/>
        <v>0</v>
      </c>
      <c r="M30" s="31">
        <f t="shared" si="3"/>
        <v>0</v>
      </c>
      <c r="N30" s="15" t="str">
        <f>IF(Table26832[[#This Row],[Fault Type]]="PM",IF(L30&lt;=(D30-C30),"Yes","No"),"")</f>
        <v/>
      </c>
      <c r="O30" s="16" t="str">
        <f t="shared" si="2"/>
        <v/>
      </c>
      <c r="P3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0" s="130"/>
    </row>
    <row r="31" spans="1:17" ht="15.5" x14ac:dyDescent="0.35">
      <c r="A31" s="4"/>
      <c r="B31" s="12"/>
      <c r="C31" s="13"/>
      <c r="D31" s="13"/>
      <c r="E31" s="13"/>
      <c r="F31" s="18"/>
      <c r="G31" s="12"/>
      <c r="H31" s="18"/>
      <c r="I31" s="18"/>
      <c r="J31" s="13"/>
      <c r="K31" s="32"/>
      <c r="L31" s="14">
        <f t="shared" si="0"/>
        <v>0</v>
      </c>
      <c r="M31" s="31">
        <f t="shared" si="3"/>
        <v>0</v>
      </c>
      <c r="N31" s="15" t="str">
        <f>IF(Table26832[[#This Row],[Fault Type]]="PM",IF(L31&lt;=(D31-C31),"Yes","No"),"")</f>
        <v/>
      </c>
      <c r="O31" s="16" t="str">
        <f t="shared" si="2"/>
        <v/>
      </c>
      <c r="P3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1" s="17"/>
    </row>
    <row r="32" spans="1:17" ht="15.5" x14ac:dyDescent="0.35">
      <c r="A32" s="4"/>
      <c r="B32" s="12"/>
      <c r="C32" s="13"/>
      <c r="D32" s="13"/>
      <c r="E32" s="13"/>
      <c r="F32" s="18"/>
      <c r="G32" s="12"/>
      <c r="H32" s="18"/>
      <c r="I32" s="18"/>
      <c r="J32" s="13"/>
      <c r="K32" s="32"/>
      <c r="L32" s="14">
        <f t="shared" si="0"/>
        <v>0</v>
      </c>
      <c r="M32" s="31">
        <f t="shared" si="3"/>
        <v>0</v>
      </c>
      <c r="N32" s="15" t="str">
        <f>IF(Table26832[[#This Row],[Fault Type]]="PM",IF(L32&lt;=(D32-C32),"Yes","No"),"")</f>
        <v/>
      </c>
      <c r="O32" s="16" t="str">
        <f t="shared" si="2"/>
        <v/>
      </c>
      <c r="P3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2" s="17"/>
    </row>
    <row r="33" spans="1:17" ht="15.5" x14ac:dyDescent="0.35">
      <c r="A33" s="4"/>
      <c r="B33" s="12"/>
      <c r="C33" s="13"/>
      <c r="D33" s="13"/>
      <c r="E33" s="13"/>
      <c r="F33" s="18"/>
      <c r="G33" s="12"/>
      <c r="H33" s="18"/>
      <c r="I33" s="18"/>
      <c r="J33" s="13"/>
      <c r="K33" s="32"/>
      <c r="L33" s="14">
        <f t="shared" si="0"/>
        <v>0</v>
      </c>
      <c r="M33" s="31">
        <f t="shared" si="3"/>
        <v>0</v>
      </c>
      <c r="N33" s="15" t="str">
        <f>IF(Table26832[[#This Row],[Fault Type]]="PM",IF(L33&lt;=(D33-C33),"Yes","No"),"")</f>
        <v/>
      </c>
      <c r="O33" s="16" t="str">
        <f t="shared" si="2"/>
        <v/>
      </c>
      <c r="P3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3" s="17"/>
    </row>
    <row r="34" spans="1:17" ht="15.5" x14ac:dyDescent="0.35">
      <c r="A34" s="4"/>
      <c r="B34" s="12"/>
      <c r="C34" s="13"/>
      <c r="D34" s="13"/>
      <c r="E34" s="13"/>
      <c r="F34" s="18"/>
      <c r="G34" s="12"/>
      <c r="H34" s="18"/>
      <c r="I34" s="18"/>
      <c r="J34" s="13"/>
      <c r="K34" s="32"/>
      <c r="L34" s="14">
        <f t="shared" ref="L34:L79" si="4">J34-E34</f>
        <v>0</v>
      </c>
      <c r="M34" s="31">
        <f t="shared" si="3"/>
        <v>0</v>
      </c>
      <c r="N34" s="15" t="str">
        <f>IF(Table26832[[#This Row],[Fault Type]]="PM",IF(L34&lt;=(D34-C34),"Yes","No"),"")</f>
        <v/>
      </c>
      <c r="O34" s="16" t="str">
        <f t="shared" ref="O34:O54" si="5">IF(N34="No",(L34-(D34-C34)),"")</f>
        <v/>
      </c>
      <c r="P3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4" s="17"/>
    </row>
    <row r="35" spans="1:17" ht="15.5" x14ac:dyDescent="0.35">
      <c r="A35" s="4"/>
      <c r="B35" s="12"/>
      <c r="C35" s="13"/>
      <c r="D35" s="13"/>
      <c r="E35" s="13"/>
      <c r="F35" s="18"/>
      <c r="G35" s="12"/>
      <c r="H35" s="18"/>
      <c r="I35" s="18"/>
      <c r="J35" s="13"/>
      <c r="K35" s="32"/>
      <c r="L35" s="14">
        <f t="shared" si="4"/>
        <v>0</v>
      </c>
      <c r="M35" s="31">
        <f t="shared" si="3"/>
        <v>0</v>
      </c>
      <c r="N35" s="15" t="str">
        <f>IF(Table26832[[#This Row],[Fault Type]]="PM",IF(L35&lt;=(D35-C35),"Yes","No"),"")</f>
        <v/>
      </c>
      <c r="O35" s="16" t="str">
        <f t="shared" si="5"/>
        <v/>
      </c>
      <c r="P3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5" s="17"/>
    </row>
    <row r="36" spans="1:17" ht="15.5" x14ac:dyDescent="0.35">
      <c r="A36" s="4"/>
      <c r="B36" s="12"/>
      <c r="C36" s="13"/>
      <c r="D36" s="13"/>
      <c r="E36" s="13"/>
      <c r="F36" s="18"/>
      <c r="G36" s="12"/>
      <c r="H36" s="18"/>
      <c r="I36" s="18"/>
      <c r="J36" s="13"/>
      <c r="K36" s="32"/>
      <c r="L36" s="14">
        <f t="shared" si="4"/>
        <v>0</v>
      </c>
      <c r="M36" s="31">
        <f t="shared" si="3"/>
        <v>0</v>
      </c>
      <c r="N36" s="15" t="str">
        <f>IF(Table26832[[#This Row],[Fault Type]]="PM",IF(L36&lt;=(D36-C36),"Yes","No"),"")</f>
        <v/>
      </c>
      <c r="O36" s="16" t="str">
        <f t="shared" si="5"/>
        <v/>
      </c>
      <c r="P3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6" s="17"/>
    </row>
    <row r="37" spans="1:17" ht="15.5" x14ac:dyDescent="0.35">
      <c r="A37" s="4"/>
      <c r="B37" s="12"/>
      <c r="C37" s="13"/>
      <c r="D37" s="13"/>
      <c r="E37" s="13"/>
      <c r="F37" s="18"/>
      <c r="G37" s="12"/>
      <c r="H37" s="18"/>
      <c r="I37" s="18"/>
      <c r="J37" s="13"/>
      <c r="K37" s="32"/>
      <c r="L37" s="14">
        <f t="shared" si="4"/>
        <v>0</v>
      </c>
      <c r="M37" s="31">
        <f t="shared" si="3"/>
        <v>0</v>
      </c>
      <c r="N37" s="15" t="str">
        <f>IF(Table26832[[#This Row],[Fault Type]]="PM",IF(L37&lt;=(D37-C37),"Yes","No"),"")</f>
        <v/>
      </c>
      <c r="O37" s="16" t="str">
        <f t="shared" si="5"/>
        <v/>
      </c>
      <c r="P3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7" s="17"/>
    </row>
    <row r="38" spans="1:17" ht="15.5" x14ac:dyDescent="0.35">
      <c r="A38" s="4"/>
      <c r="B38" s="12"/>
      <c r="C38" s="13"/>
      <c r="D38" s="13"/>
      <c r="E38" s="13"/>
      <c r="F38" s="18"/>
      <c r="G38" s="12"/>
      <c r="H38" s="18"/>
      <c r="I38" s="18"/>
      <c r="J38" s="13"/>
      <c r="K38" s="32"/>
      <c r="L38" s="14">
        <f t="shared" si="4"/>
        <v>0</v>
      </c>
      <c r="M38" s="31">
        <f t="shared" si="3"/>
        <v>0</v>
      </c>
      <c r="N38" s="15" t="str">
        <f>IF(Table26832[[#This Row],[Fault Type]]="PM",IF(L38&lt;=(D38-C38),"Yes","No"),"")</f>
        <v/>
      </c>
      <c r="O38" s="16" t="str">
        <f t="shared" si="5"/>
        <v/>
      </c>
      <c r="P3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8" s="17"/>
    </row>
    <row r="39" spans="1:17" ht="15.5" x14ac:dyDescent="0.35">
      <c r="A39" s="4"/>
      <c r="B39" s="12"/>
      <c r="C39" s="13"/>
      <c r="D39" s="13"/>
      <c r="E39" s="13"/>
      <c r="F39" s="18"/>
      <c r="G39" s="12"/>
      <c r="H39" s="18"/>
      <c r="I39" s="18"/>
      <c r="J39" s="13"/>
      <c r="K39" s="32"/>
      <c r="L39" s="14">
        <f t="shared" si="4"/>
        <v>0</v>
      </c>
      <c r="M39" s="31">
        <f t="shared" si="3"/>
        <v>0</v>
      </c>
      <c r="N39" s="15" t="str">
        <f>IF(Table26832[[#This Row],[Fault Type]]="PM",IF(L39&lt;=(D39-C39),"Yes","No"),"")</f>
        <v/>
      </c>
      <c r="O39" s="16" t="str">
        <f t="shared" si="5"/>
        <v/>
      </c>
      <c r="P3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39" s="17"/>
    </row>
    <row r="40" spans="1:17" ht="15.5" x14ac:dyDescent="0.35">
      <c r="A40" s="4"/>
      <c r="B40" s="12"/>
      <c r="C40" s="13"/>
      <c r="D40" s="13"/>
      <c r="E40" s="13"/>
      <c r="F40" s="18"/>
      <c r="G40" s="12"/>
      <c r="H40" s="18"/>
      <c r="I40" s="18"/>
      <c r="J40" s="13"/>
      <c r="K40" s="32"/>
      <c r="L40" s="14">
        <f t="shared" si="4"/>
        <v>0</v>
      </c>
      <c r="M40" s="31">
        <f t="shared" si="3"/>
        <v>0</v>
      </c>
      <c r="N40" s="15" t="str">
        <f>IF(Table26832[[#This Row],[Fault Type]]="PM",IF(L40&lt;=(D40-C40),"Yes","No"),"")</f>
        <v/>
      </c>
      <c r="O40" s="16" t="str">
        <f t="shared" si="5"/>
        <v/>
      </c>
      <c r="P4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0" s="17"/>
    </row>
    <row r="41" spans="1:17" ht="15.5" x14ac:dyDescent="0.35">
      <c r="A41" s="4"/>
      <c r="B41" s="12"/>
      <c r="C41" s="13"/>
      <c r="D41" s="13"/>
      <c r="E41" s="13"/>
      <c r="F41" s="18"/>
      <c r="G41" s="12"/>
      <c r="H41" s="18"/>
      <c r="I41" s="18"/>
      <c r="J41" s="13"/>
      <c r="K41" s="32"/>
      <c r="L41" s="14">
        <f t="shared" si="4"/>
        <v>0</v>
      </c>
      <c r="M41" s="31">
        <f t="shared" si="3"/>
        <v>0</v>
      </c>
      <c r="N41" s="15" t="str">
        <f>IF(Table26832[[#This Row],[Fault Type]]="PM",IF(L41&lt;=(D41-C41),"Yes","No"),"")</f>
        <v/>
      </c>
      <c r="O41" s="16" t="str">
        <f t="shared" si="5"/>
        <v/>
      </c>
      <c r="P4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1" s="17"/>
    </row>
    <row r="42" spans="1:17" ht="15.5" x14ac:dyDescent="0.35">
      <c r="A42" s="4"/>
      <c r="B42" s="12"/>
      <c r="C42" s="13"/>
      <c r="D42" s="13"/>
      <c r="E42" s="13"/>
      <c r="F42" s="18"/>
      <c r="G42" s="12"/>
      <c r="H42" s="18"/>
      <c r="I42" s="18"/>
      <c r="J42" s="13"/>
      <c r="K42" s="32"/>
      <c r="L42" s="14">
        <f t="shared" si="4"/>
        <v>0</v>
      </c>
      <c r="M42" s="31">
        <f t="shared" si="3"/>
        <v>0</v>
      </c>
      <c r="N42" s="15" t="str">
        <f>IF(Table26832[[#This Row],[Fault Type]]="PM",IF(L42&lt;=(D42-C42),"Yes","No"),"")</f>
        <v/>
      </c>
      <c r="O42" s="16" t="str">
        <f t="shared" si="5"/>
        <v/>
      </c>
      <c r="P4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2" s="17"/>
    </row>
    <row r="43" spans="1:17" ht="15.5" x14ac:dyDescent="0.35">
      <c r="A43" s="4"/>
      <c r="B43" s="12"/>
      <c r="C43" s="13"/>
      <c r="D43" s="13"/>
      <c r="E43" s="13"/>
      <c r="F43" s="18"/>
      <c r="G43" s="12"/>
      <c r="H43" s="18"/>
      <c r="I43" s="18"/>
      <c r="J43" s="13"/>
      <c r="K43" s="32"/>
      <c r="L43" s="14">
        <f t="shared" si="4"/>
        <v>0</v>
      </c>
      <c r="M43" s="31">
        <f t="shared" si="3"/>
        <v>0</v>
      </c>
      <c r="N43" s="15" t="str">
        <f>IF(Table26832[[#This Row],[Fault Type]]="PM",IF(L43&lt;=(D43-C43),"Yes","No"),"")</f>
        <v/>
      </c>
      <c r="O43" s="16" t="str">
        <f t="shared" si="5"/>
        <v/>
      </c>
      <c r="P4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3" s="17"/>
    </row>
    <row r="44" spans="1:17" ht="15.5" x14ac:dyDescent="0.35">
      <c r="A44" s="4"/>
      <c r="B44" s="12"/>
      <c r="C44" s="13"/>
      <c r="D44" s="13"/>
      <c r="E44" s="13"/>
      <c r="F44" s="18"/>
      <c r="G44" s="12"/>
      <c r="H44" s="18"/>
      <c r="I44" s="18"/>
      <c r="J44" s="13"/>
      <c r="K44" s="32"/>
      <c r="L44" s="14">
        <f t="shared" si="4"/>
        <v>0</v>
      </c>
      <c r="M44" s="31">
        <f t="shared" si="3"/>
        <v>0</v>
      </c>
      <c r="N44" s="15" t="str">
        <f>IF(Table26832[[#This Row],[Fault Type]]="PM",IF(L44&lt;=(D44-C44),"Yes","No"),"")</f>
        <v/>
      </c>
      <c r="O44" s="16" t="str">
        <f t="shared" si="5"/>
        <v/>
      </c>
      <c r="P4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4" s="17"/>
    </row>
    <row r="45" spans="1:17" ht="15.75" customHeight="1" x14ac:dyDescent="0.35">
      <c r="A45" s="4"/>
      <c r="B45" s="12"/>
      <c r="C45" s="13"/>
      <c r="D45" s="13"/>
      <c r="E45" s="13"/>
      <c r="F45" s="12"/>
      <c r="G45" s="12"/>
      <c r="H45" s="12"/>
      <c r="I45" s="12"/>
      <c r="J45" s="13"/>
      <c r="K45" s="32"/>
      <c r="L45" s="14">
        <f t="shared" si="4"/>
        <v>0</v>
      </c>
      <c r="M45" s="31">
        <f t="shared" si="3"/>
        <v>0</v>
      </c>
      <c r="N45" s="15" t="str">
        <f>IF(Table26832[[#This Row],[Fault Type]]="PM",IF(L45&lt;=(D45-C45),"Yes","No"),"")</f>
        <v/>
      </c>
      <c r="O45" s="16" t="str">
        <f t="shared" si="5"/>
        <v/>
      </c>
      <c r="P4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5" s="17"/>
    </row>
    <row r="46" spans="1:17" ht="15.5" x14ac:dyDescent="0.35">
      <c r="A46" s="4"/>
      <c r="B46" s="12"/>
      <c r="C46" s="13"/>
      <c r="D46" s="13"/>
      <c r="E46" s="13"/>
      <c r="F46" s="18"/>
      <c r="G46" s="12"/>
      <c r="H46" s="18"/>
      <c r="I46" s="18"/>
      <c r="J46" s="13"/>
      <c r="K46" s="32"/>
      <c r="L46" s="14">
        <f t="shared" si="4"/>
        <v>0</v>
      </c>
      <c r="M46" s="31">
        <f t="shared" si="3"/>
        <v>0</v>
      </c>
      <c r="N46" s="15" t="str">
        <f>IF(Table26832[[#This Row],[Fault Type]]="PM",IF(L46&lt;=(D46-C46),"Yes","No"),"")</f>
        <v/>
      </c>
      <c r="O46" s="16" t="str">
        <f t="shared" si="5"/>
        <v/>
      </c>
      <c r="P4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6" s="17"/>
    </row>
    <row r="47" spans="1:17" ht="15.5" x14ac:dyDescent="0.35">
      <c r="A47" s="4"/>
      <c r="B47" s="159"/>
      <c r="C47" s="49"/>
      <c r="D47" s="49"/>
      <c r="E47" s="13"/>
      <c r="F47" s="165"/>
      <c r="G47" s="159"/>
      <c r="H47" s="54"/>
      <c r="I47" s="54"/>
      <c r="J47" s="13"/>
      <c r="K47" s="32"/>
      <c r="L47" s="14">
        <f t="shared" si="4"/>
        <v>0</v>
      </c>
      <c r="M47" s="53">
        <f t="shared" si="3"/>
        <v>0</v>
      </c>
      <c r="N47" s="50" t="str">
        <f>IF(Table26832[[#This Row],[Fault Type]]="PM",IF(L47&lt;=(D47-C47),"Yes","No"),"")</f>
        <v/>
      </c>
      <c r="O47" s="51" t="str">
        <f t="shared" si="5"/>
        <v/>
      </c>
      <c r="P4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row>
    <row r="48" spans="1:17" ht="15.5" x14ac:dyDescent="0.35">
      <c r="A48" s="158"/>
      <c r="B48" s="159"/>
      <c r="C48" s="56"/>
      <c r="D48" s="56"/>
      <c r="E48" s="13"/>
      <c r="F48" s="55"/>
      <c r="G48" s="55"/>
      <c r="H48" s="57"/>
      <c r="I48" s="18"/>
      <c r="J48" s="13"/>
      <c r="K48" s="32"/>
      <c r="L48" s="14">
        <f t="shared" si="4"/>
        <v>0</v>
      </c>
      <c r="M48" s="59">
        <f t="shared" si="3"/>
        <v>0</v>
      </c>
      <c r="N48" s="61" t="str">
        <f>IF(Table26832[[#This Row],[Fault Type]]="PM",IF(L48&lt;=(D48-C48),"Yes","No"),"")</f>
        <v/>
      </c>
      <c r="O48" s="62" t="str">
        <f t="shared" si="5"/>
        <v/>
      </c>
      <c r="P4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8" s="63"/>
    </row>
    <row r="49" spans="1:17" ht="15.5" x14ac:dyDescent="0.35">
      <c r="A49" s="58"/>
      <c r="B49" s="55"/>
      <c r="C49" s="56"/>
      <c r="D49" s="56"/>
      <c r="E49" s="13"/>
      <c r="F49" s="55"/>
      <c r="G49" s="55"/>
      <c r="H49" s="57"/>
      <c r="I49" s="18"/>
      <c r="J49" s="13"/>
      <c r="K49" s="32"/>
      <c r="L49" s="14">
        <f t="shared" si="4"/>
        <v>0</v>
      </c>
      <c r="M49" s="59">
        <f t="shared" si="3"/>
        <v>0</v>
      </c>
      <c r="N49" s="61" t="str">
        <f>IF(Table26832[[#This Row],[Fault Type]]="PM",IF(L49&lt;=(D49-C49),"Yes","No"),"")</f>
        <v/>
      </c>
      <c r="O49" s="62" t="str">
        <f t="shared" si="5"/>
        <v/>
      </c>
      <c r="P4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49" s="63"/>
    </row>
    <row r="50" spans="1:17" ht="15.5" x14ac:dyDescent="0.35">
      <c r="A50" s="58"/>
      <c r="B50" s="55"/>
      <c r="C50" s="56"/>
      <c r="D50" s="56"/>
      <c r="E50" s="13"/>
      <c r="F50" s="55"/>
      <c r="G50" s="55"/>
      <c r="H50" s="57"/>
      <c r="I50" s="18"/>
      <c r="J50" s="13"/>
      <c r="K50" s="32"/>
      <c r="L50" s="14">
        <f t="shared" si="4"/>
        <v>0</v>
      </c>
      <c r="M50" s="59">
        <f t="shared" si="3"/>
        <v>0</v>
      </c>
      <c r="N50" s="61" t="str">
        <f>IF(Table26832[[#This Row],[Fault Type]]="PM",IF(L50&lt;=(D50-C50),"Yes","No"),"")</f>
        <v/>
      </c>
      <c r="O50" s="62" t="str">
        <f t="shared" si="5"/>
        <v/>
      </c>
      <c r="P5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0" s="63"/>
    </row>
    <row r="51" spans="1:17" ht="15.5" x14ac:dyDescent="0.35">
      <c r="A51" s="58"/>
      <c r="B51" s="55"/>
      <c r="C51" s="56"/>
      <c r="D51" s="56"/>
      <c r="E51" s="13"/>
      <c r="F51" s="55"/>
      <c r="G51" s="55"/>
      <c r="H51" s="57"/>
      <c r="I51" s="18"/>
      <c r="J51" s="13"/>
      <c r="K51" s="83"/>
      <c r="L51" s="14">
        <f t="shared" si="4"/>
        <v>0</v>
      </c>
      <c r="M51" s="59">
        <f t="shared" si="3"/>
        <v>0</v>
      </c>
      <c r="N51" s="61" t="str">
        <f>IF(Table26832[[#This Row],[Fault Type]]="PM",IF(L51&lt;=(D51-C51),"Yes","No"),"")</f>
        <v/>
      </c>
      <c r="O51" s="62" t="str">
        <f t="shared" si="5"/>
        <v/>
      </c>
      <c r="P5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1" s="63"/>
    </row>
    <row r="52" spans="1:17" ht="15.5" x14ac:dyDescent="0.35">
      <c r="A52" s="58"/>
      <c r="B52" s="55"/>
      <c r="C52" s="56"/>
      <c r="D52" s="56"/>
      <c r="E52" s="13"/>
      <c r="F52" s="55"/>
      <c r="G52" s="55"/>
      <c r="H52" s="57"/>
      <c r="I52" s="18"/>
      <c r="J52" s="13"/>
      <c r="K52" s="83"/>
      <c r="L52" s="14">
        <f t="shared" si="4"/>
        <v>0</v>
      </c>
      <c r="M52" s="59">
        <f t="shared" si="3"/>
        <v>0</v>
      </c>
      <c r="N52" s="61" t="str">
        <f>IF(Table26832[[#This Row],[Fault Type]]="PM",IF(L52&lt;=(D52-C52),"Yes","No"),"")</f>
        <v/>
      </c>
      <c r="O52" s="62" t="str">
        <f t="shared" si="5"/>
        <v/>
      </c>
      <c r="P5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2" s="63"/>
    </row>
    <row r="53" spans="1:17" ht="15.5" x14ac:dyDescent="0.35">
      <c r="A53" s="58"/>
      <c r="B53" s="55"/>
      <c r="C53" s="56"/>
      <c r="D53" s="56"/>
      <c r="E53" s="13"/>
      <c r="F53" s="55"/>
      <c r="G53" s="55"/>
      <c r="H53" s="57"/>
      <c r="I53" s="18"/>
      <c r="J53" s="13"/>
      <c r="K53" s="83"/>
      <c r="L53" s="14">
        <f t="shared" si="4"/>
        <v>0</v>
      </c>
      <c r="M53" s="59">
        <f t="shared" si="3"/>
        <v>0</v>
      </c>
      <c r="N53" s="61" t="str">
        <f>IF(Table26832[[#This Row],[Fault Type]]="PM",IF(L53&lt;=(D53-C53),"Yes","No"),"")</f>
        <v/>
      </c>
      <c r="O53" s="62" t="str">
        <f t="shared" si="5"/>
        <v/>
      </c>
      <c r="P5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3" s="63"/>
    </row>
    <row r="54" spans="1:17" ht="15.5" x14ac:dyDescent="0.35">
      <c r="A54" s="58"/>
      <c r="B54" s="55"/>
      <c r="C54" s="56"/>
      <c r="D54" s="56"/>
      <c r="E54" s="13"/>
      <c r="F54" s="55"/>
      <c r="G54" s="55"/>
      <c r="H54" s="57"/>
      <c r="I54" s="18"/>
      <c r="J54" s="13"/>
      <c r="K54" s="83"/>
      <c r="L54" s="14">
        <f t="shared" si="4"/>
        <v>0</v>
      </c>
      <c r="M54" s="59">
        <f t="shared" si="3"/>
        <v>0</v>
      </c>
      <c r="N54" s="61" t="str">
        <f>IF(Table26832[[#This Row],[Fault Type]]="PM",IF(L54&lt;=(D54-C54),"Yes","No"),"")</f>
        <v/>
      </c>
      <c r="O54" s="62" t="str">
        <f t="shared" si="5"/>
        <v/>
      </c>
      <c r="P5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4" s="63"/>
    </row>
    <row r="55" spans="1:17" ht="15.5" x14ac:dyDescent="0.35">
      <c r="A55" s="58"/>
      <c r="B55" s="55"/>
      <c r="C55" s="56"/>
      <c r="D55" s="56"/>
      <c r="E55" s="13"/>
      <c r="F55" s="55"/>
      <c r="G55" s="55"/>
      <c r="H55" s="57"/>
      <c r="I55" s="18"/>
      <c r="J55" s="13"/>
      <c r="K55" s="83"/>
      <c r="L55" s="14">
        <f t="shared" si="4"/>
        <v>0</v>
      </c>
      <c r="M55" s="59">
        <f t="shared" ref="M55:M79" si="6">L55*F55</f>
        <v>0</v>
      </c>
      <c r="N55" s="61" t="str">
        <f>IF(Table26832[[#This Row],[Fault Type]]="PM",IF(L55&lt;=(D55-C55),"Yes","No"),"")</f>
        <v/>
      </c>
      <c r="O55" s="62" t="str">
        <f t="shared" ref="O55:O79" si="7">IF(N55="No",(L55-(D55-C55)),"")</f>
        <v/>
      </c>
      <c r="P5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5" s="63"/>
    </row>
    <row r="56" spans="1:17" ht="15.5" x14ac:dyDescent="0.35">
      <c r="A56" s="58"/>
      <c r="B56" s="55"/>
      <c r="C56" s="56"/>
      <c r="D56" s="56"/>
      <c r="E56" s="13"/>
      <c r="F56" s="55"/>
      <c r="G56" s="55"/>
      <c r="H56" s="57"/>
      <c r="I56" s="18"/>
      <c r="J56" s="13"/>
      <c r="K56" s="83"/>
      <c r="L56" s="14">
        <f t="shared" si="4"/>
        <v>0</v>
      </c>
      <c r="M56" s="59">
        <f t="shared" si="6"/>
        <v>0</v>
      </c>
      <c r="N56" s="61" t="str">
        <f>IF(Table26832[[#This Row],[Fault Type]]="PM",IF(L56&lt;=(D56-C56),"Yes","No"),"")</f>
        <v/>
      </c>
      <c r="O56" s="62" t="str">
        <f t="shared" si="7"/>
        <v/>
      </c>
      <c r="P5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6" s="63"/>
    </row>
    <row r="57" spans="1:17" ht="15.5" x14ac:dyDescent="0.35">
      <c r="A57" s="58"/>
      <c r="B57" s="55"/>
      <c r="C57" s="56"/>
      <c r="D57" s="56"/>
      <c r="E57" s="13"/>
      <c r="F57" s="55"/>
      <c r="G57" s="55"/>
      <c r="H57" s="57"/>
      <c r="I57" s="18"/>
      <c r="J57" s="13"/>
      <c r="K57" s="83"/>
      <c r="L57" s="14">
        <f t="shared" si="4"/>
        <v>0</v>
      </c>
      <c r="M57" s="59">
        <f t="shared" si="6"/>
        <v>0</v>
      </c>
      <c r="N57" s="61" t="str">
        <f>IF(Table26832[[#This Row],[Fault Type]]="PM",IF(L57&lt;=(D57-C57),"Yes","No"),"")</f>
        <v/>
      </c>
      <c r="O57" s="62" t="str">
        <f t="shared" si="7"/>
        <v/>
      </c>
      <c r="P5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7" s="63"/>
    </row>
    <row r="58" spans="1:17" ht="15.5" x14ac:dyDescent="0.35">
      <c r="A58" s="58"/>
      <c r="B58" s="55"/>
      <c r="C58" s="56"/>
      <c r="D58" s="56"/>
      <c r="E58" s="13"/>
      <c r="F58" s="55"/>
      <c r="G58" s="55"/>
      <c r="H58" s="57"/>
      <c r="I58" s="18"/>
      <c r="J58" s="13"/>
      <c r="K58" s="83"/>
      <c r="L58" s="14">
        <f t="shared" si="4"/>
        <v>0</v>
      </c>
      <c r="M58" s="59">
        <f t="shared" si="6"/>
        <v>0</v>
      </c>
      <c r="N58" s="61" t="str">
        <f>IF(Table26832[[#This Row],[Fault Type]]="PM",IF(L58&lt;=(D58-C58),"Yes","No"),"")</f>
        <v/>
      </c>
      <c r="O58" s="62" t="str">
        <f t="shared" si="7"/>
        <v/>
      </c>
      <c r="P5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8" s="63"/>
    </row>
    <row r="59" spans="1:17" ht="15.5" x14ac:dyDescent="0.35">
      <c r="A59" s="58"/>
      <c r="B59" s="55"/>
      <c r="C59" s="56"/>
      <c r="D59" s="56"/>
      <c r="E59" s="13"/>
      <c r="F59" s="55"/>
      <c r="G59" s="55"/>
      <c r="H59" s="57"/>
      <c r="I59" s="18"/>
      <c r="J59" s="13"/>
      <c r="K59" s="83"/>
      <c r="L59" s="14">
        <f t="shared" si="4"/>
        <v>0</v>
      </c>
      <c r="M59" s="59">
        <f t="shared" si="6"/>
        <v>0</v>
      </c>
      <c r="N59" s="61" t="str">
        <f>IF(Table26832[[#This Row],[Fault Type]]="PM",IF(L59&lt;=(D59-C59),"Yes","No"),"")</f>
        <v/>
      </c>
      <c r="O59" s="62" t="str">
        <f t="shared" si="7"/>
        <v/>
      </c>
      <c r="P5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59" s="63"/>
    </row>
    <row r="60" spans="1:17" ht="15.5" x14ac:dyDescent="0.35">
      <c r="A60" s="58"/>
      <c r="B60" s="55"/>
      <c r="C60" s="56"/>
      <c r="D60" s="56"/>
      <c r="E60" s="13"/>
      <c r="F60" s="55"/>
      <c r="G60" s="55"/>
      <c r="H60" s="57"/>
      <c r="I60" s="18"/>
      <c r="J60" s="13"/>
      <c r="K60" s="83"/>
      <c r="L60" s="14">
        <f t="shared" si="4"/>
        <v>0</v>
      </c>
      <c r="M60" s="59">
        <f t="shared" si="6"/>
        <v>0</v>
      </c>
      <c r="N60" s="61" t="str">
        <f>IF(Table26832[[#This Row],[Fault Type]]="PM",IF(L60&lt;=(D60-C60),"Yes","No"),"")</f>
        <v/>
      </c>
      <c r="O60" s="62" t="str">
        <f t="shared" si="7"/>
        <v/>
      </c>
      <c r="P6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0" s="63"/>
    </row>
    <row r="61" spans="1:17" ht="15.5" x14ac:dyDescent="0.35">
      <c r="A61" s="58"/>
      <c r="B61" s="55"/>
      <c r="C61" s="56"/>
      <c r="D61" s="56"/>
      <c r="E61" s="13"/>
      <c r="F61" s="55"/>
      <c r="G61" s="55"/>
      <c r="H61" s="57"/>
      <c r="I61" s="18"/>
      <c r="J61" s="13"/>
      <c r="K61" s="83"/>
      <c r="L61" s="14">
        <f t="shared" si="4"/>
        <v>0</v>
      </c>
      <c r="M61" s="59">
        <f t="shared" si="6"/>
        <v>0</v>
      </c>
      <c r="N61" s="61" t="str">
        <f>IF(Table26832[[#This Row],[Fault Type]]="PM",IF(L61&lt;=(D61-C61),"Yes","No"),"")</f>
        <v/>
      </c>
      <c r="O61" s="62" t="str">
        <f t="shared" si="7"/>
        <v/>
      </c>
      <c r="P6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1" s="63"/>
    </row>
    <row r="62" spans="1:17" ht="15.5" x14ac:dyDescent="0.35">
      <c r="A62" s="58"/>
      <c r="B62" s="55"/>
      <c r="C62" s="56"/>
      <c r="D62" s="56"/>
      <c r="E62" s="13"/>
      <c r="F62" s="55"/>
      <c r="G62" s="55"/>
      <c r="H62" s="57"/>
      <c r="I62" s="18"/>
      <c r="J62" s="13"/>
      <c r="K62" s="83"/>
      <c r="L62" s="14">
        <f t="shared" si="4"/>
        <v>0</v>
      </c>
      <c r="M62" s="59">
        <f t="shared" si="6"/>
        <v>0</v>
      </c>
      <c r="N62" s="61" t="str">
        <f>IF(Table26832[[#This Row],[Fault Type]]="PM",IF(L62&lt;=(D62-C62),"Yes","No"),"")</f>
        <v/>
      </c>
      <c r="O62" s="62" t="str">
        <f t="shared" si="7"/>
        <v/>
      </c>
      <c r="P6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2" s="63"/>
    </row>
    <row r="63" spans="1:17" ht="15.5" x14ac:dyDescent="0.35">
      <c r="A63" s="58"/>
      <c r="B63" s="55"/>
      <c r="C63" s="56"/>
      <c r="D63" s="56"/>
      <c r="E63" s="13"/>
      <c r="F63" s="55"/>
      <c r="G63" s="55"/>
      <c r="H63" s="57"/>
      <c r="I63" s="18"/>
      <c r="J63" s="13"/>
      <c r="K63" s="83"/>
      <c r="L63" s="14">
        <f t="shared" si="4"/>
        <v>0</v>
      </c>
      <c r="M63" s="59">
        <f t="shared" si="6"/>
        <v>0</v>
      </c>
      <c r="N63" s="61" t="str">
        <f>IF(Table26832[[#This Row],[Fault Type]]="PM",IF(L63&lt;=(D63-C63),"Yes","No"),"")</f>
        <v/>
      </c>
      <c r="O63" s="62" t="str">
        <f t="shared" si="7"/>
        <v/>
      </c>
      <c r="P6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3" s="63"/>
    </row>
    <row r="64" spans="1:17" ht="15.5" x14ac:dyDescent="0.35">
      <c r="A64" s="58"/>
      <c r="B64" s="55"/>
      <c r="C64" s="56"/>
      <c r="D64" s="56"/>
      <c r="E64" s="13"/>
      <c r="F64" s="55"/>
      <c r="G64" s="55"/>
      <c r="H64" s="57"/>
      <c r="I64" s="18"/>
      <c r="J64" s="13"/>
      <c r="K64" s="83"/>
      <c r="L64" s="14">
        <f t="shared" si="4"/>
        <v>0</v>
      </c>
      <c r="M64" s="59">
        <f t="shared" si="6"/>
        <v>0</v>
      </c>
      <c r="N64" s="61" t="str">
        <f>IF(Table26832[[#This Row],[Fault Type]]="PM",IF(L64&lt;=(D64-C64),"Yes","No"),"")</f>
        <v/>
      </c>
      <c r="O64" s="62" t="str">
        <f t="shared" si="7"/>
        <v/>
      </c>
      <c r="P6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4" s="63"/>
    </row>
    <row r="65" spans="1:17" ht="15.5" x14ac:dyDescent="0.35">
      <c r="A65" s="58"/>
      <c r="B65" s="55"/>
      <c r="C65" s="56"/>
      <c r="D65" s="56"/>
      <c r="E65" s="13"/>
      <c r="F65" s="55"/>
      <c r="G65" s="55"/>
      <c r="H65" s="57"/>
      <c r="I65" s="18"/>
      <c r="J65" s="13"/>
      <c r="K65" s="83"/>
      <c r="L65" s="14">
        <f t="shared" si="4"/>
        <v>0</v>
      </c>
      <c r="M65" s="59">
        <f t="shared" si="6"/>
        <v>0</v>
      </c>
      <c r="N65" s="61" t="str">
        <f>IF(Table26832[[#This Row],[Fault Type]]="PM",IF(L65&lt;=(D65-C65),"Yes","No"),"")</f>
        <v/>
      </c>
      <c r="O65" s="62" t="str">
        <f t="shared" si="7"/>
        <v/>
      </c>
      <c r="P6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5" s="63"/>
    </row>
    <row r="66" spans="1:17" ht="15.5" x14ac:dyDescent="0.35">
      <c r="A66" s="58"/>
      <c r="B66" s="55"/>
      <c r="C66" s="56"/>
      <c r="D66" s="56"/>
      <c r="E66" s="13"/>
      <c r="F66" s="55"/>
      <c r="G66" s="55"/>
      <c r="H66" s="57"/>
      <c r="I66" s="18"/>
      <c r="J66" s="13"/>
      <c r="K66" s="83"/>
      <c r="L66" s="14">
        <f t="shared" si="4"/>
        <v>0</v>
      </c>
      <c r="M66" s="59">
        <f t="shared" si="6"/>
        <v>0</v>
      </c>
      <c r="N66" s="61" t="str">
        <f>IF(Table26832[[#This Row],[Fault Type]]="PM",IF(L66&lt;=(D66-C66),"Yes","No"),"")</f>
        <v/>
      </c>
      <c r="O66" s="62" t="str">
        <f t="shared" si="7"/>
        <v/>
      </c>
      <c r="P6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6" s="63"/>
    </row>
    <row r="67" spans="1:17" ht="15.5" x14ac:dyDescent="0.35">
      <c r="A67" s="58"/>
      <c r="B67" s="55"/>
      <c r="C67" s="56"/>
      <c r="D67" s="56"/>
      <c r="E67" s="13"/>
      <c r="F67" s="55"/>
      <c r="G67" s="55"/>
      <c r="H67" s="57"/>
      <c r="I67" s="18"/>
      <c r="J67" s="13"/>
      <c r="K67" s="83"/>
      <c r="L67" s="14">
        <f t="shared" si="4"/>
        <v>0</v>
      </c>
      <c r="M67" s="59">
        <f t="shared" si="6"/>
        <v>0</v>
      </c>
      <c r="N67" s="61" t="str">
        <f>IF(Table26832[[#This Row],[Fault Type]]="PM",IF(L67&lt;=(D67-C67),"Yes","No"),"")</f>
        <v/>
      </c>
      <c r="O67" s="62" t="str">
        <f t="shared" si="7"/>
        <v/>
      </c>
      <c r="P6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7" s="63"/>
    </row>
    <row r="68" spans="1:17" ht="15.5" x14ac:dyDescent="0.35">
      <c r="A68" s="58"/>
      <c r="B68" s="55"/>
      <c r="C68" s="56"/>
      <c r="D68" s="56"/>
      <c r="E68" s="13"/>
      <c r="F68" s="55"/>
      <c r="G68" s="55"/>
      <c r="H68" s="57"/>
      <c r="I68" s="18"/>
      <c r="J68" s="13"/>
      <c r="K68" s="83"/>
      <c r="L68" s="14">
        <f t="shared" si="4"/>
        <v>0</v>
      </c>
      <c r="M68" s="59">
        <f t="shared" si="6"/>
        <v>0</v>
      </c>
      <c r="N68" s="61" t="str">
        <f>IF(Table26832[[#This Row],[Fault Type]]="PM",IF(L68&lt;=(D68-C68),"Yes","No"),"")</f>
        <v/>
      </c>
      <c r="O68" s="62" t="str">
        <f t="shared" si="7"/>
        <v/>
      </c>
      <c r="P6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8" s="63"/>
    </row>
    <row r="69" spans="1:17" ht="15.5" x14ac:dyDescent="0.35">
      <c r="A69" s="58"/>
      <c r="B69" s="55"/>
      <c r="C69" s="56"/>
      <c r="D69" s="56"/>
      <c r="E69" s="13"/>
      <c r="F69" s="55"/>
      <c r="G69" s="55"/>
      <c r="H69" s="57"/>
      <c r="I69" s="18"/>
      <c r="J69" s="13"/>
      <c r="K69" s="83"/>
      <c r="L69" s="14">
        <f t="shared" si="4"/>
        <v>0</v>
      </c>
      <c r="M69" s="59">
        <f t="shared" si="6"/>
        <v>0</v>
      </c>
      <c r="N69" s="61" t="str">
        <f>IF(Table26832[[#This Row],[Fault Type]]="PM",IF(L69&lt;=(D69-C69),"Yes","No"),"")</f>
        <v/>
      </c>
      <c r="O69" s="62" t="str">
        <f t="shared" si="7"/>
        <v/>
      </c>
      <c r="P6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69" s="63"/>
    </row>
    <row r="70" spans="1:17" ht="15.5" x14ac:dyDescent="0.35">
      <c r="A70" s="58"/>
      <c r="B70" s="55"/>
      <c r="C70" s="56"/>
      <c r="D70" s="56"/>
      <c r="E70" s="13"/>
      <c r="F70" s="55"/>
      <c r="G70" s="55"/>
      <c r="H70" s="57"/>
      <c r="I70" s="18"/>
      <c r="J70" s="13"/>
      <c r="K70" s="83"/>
      <c r="L70" s="14">
        <f t="shared" si="4"/>
        <v>0</v>
      </c>
      <c r="M70" s="59">
        <f t="shared" si="6"/>
        <v>0</v>
      </c>
      <c r="N70" s="61" t="str">
        <f>IF(Table26832[[#This Row],[Fault Type]]="PM",IF(L70&lt;=(D70-C70),"Yes","No"),"")</f>
        <v/>
      </c>
      <c r="O70" s="62" t="str">
        <f t="shared" si="7"/>
        <v/>
      </c>
      <c r="P70"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0" s="63"/>
    </row>
    <row r="71" spans="1:17" ht="15.5" x14ac:dyDescent="0.35">
      <c r="A71" s="58"/>
      <c r="B71" s="55"/>
      <c r="C71" s="56"/>
      <c r="D71" s="56"/>
      <c r="E71" s="13"/>
      <c r="F71" s="55"/>
      <c r="G71" s="55"/>
      <c r="H71" s="57"/>
      <c r="I71" s="18"/>
      <c r="J71" s="13"/>
      <c r="K71" s="83"/>
      <c r="L71" s="14">
        <f t="shared" si="4"/>
        <v>0</v>
      </c>
      <c r="M71" s="59">
        <f t="shared" si="6"/>
        <v>0</v>
      </c>
      <c r="N71" s="61" t="str">
        <f>IF(Table26832[[#This Row],[Fault Type]]="PM",IF(L71&lt;=(D71-C71),"Yes","No"),"")</f>
        <v/>
      </c>
      <c r="O71" s="62" t="str">
        <f t="shared" si="7"/>
        <v/>
      </c>
      <c r="P71"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1" s="63"/>
    </row>
    <row r="72" spans="1:17" ht="15.5" x14ac:dyDescent="0.35">
      <c r="A72" s="58"/>
      <c r="B72" s="55"/>
      <c r="C72" s="56"/>
      <c r="D72" s="56"/>
      <c r="E72" s="13"/>
      <c r="F72" s="55"/>
      <c r="G72" s="55"/>
      <c r="H72" s="57"/>
      <c r="I72" s="18"/>
      <c r="J72" s="13"/>
      <c r="K72" s="60"/>
      <c r="L72" s="14">
        <f t="shared" si="4"/>
        <v>0</v>
      </c>
      <c r="M72" s="59">
        <f t="shared" si="6"/>
        <v>0</v>
      </c>
      <c r="N72" s="61" t="str">
        <f>IF(Table26832[[#This Row],[Fault Type]]="PM",IF(L72&lt;=(D72-C72),"Yes","No"),"")</f>
        <v/>
      </c>
      <c r="O72" s="62" t="str">
        <f t="shared" si="7"/>
        <v/>
      </c>
      <c r="P72"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2" s="63"/>
    </row>
    <row r="73" spans="1:17" ht="15.5" x14ac:dyDescent="0.35">
      <c r="A73" s="58"/>
      <c r="B73" s="55"/>
      <c r="C73" s="56"/>
      <c r="D73" s="56"/>
      <c r="E73" s="13"/>
      <c r="F73" s="55"/>
      <c r="G73" s="55"/>
      <c r="H73" s="57"/>
      <c r="I73" s="18"/>
      <c r="J73" s="13"/>
      <c r="K73" s="60"/>
      <c r="L73" s="14">
        <f t="shared" si="4"/>
        <v>0</v>
      </c>
      <c r="M73" s="59">
        <f t="shared" si="6"/>
        <v>0</v>
      </c>
      <c r="N73" s="61" t="str">
        <f>IF(Table26832[[#This Row],[Fault Type]]="PM",IF(L73&lt;=(D73-C73),"Yes","No"),"")</f>
        <v/>
      </c>
      <c r="O73" s="62" t="str">
        <f t="shared" si="7"/>
        <v/>
      </c>
      <c r="P73"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3" s="63"/>
    </row>
    <row r="74" spans="1:17" ht="15.5" x14ac:dyDescent="0.35">
      <c r="A74" s="58"/>
      <c r="B74" s="55"/>
      <c r="C74" s="56"/>
      <c r="D74" s="56"/>
      <c r="E74" s="13"/>
      <c r="F74" s="55"/>
      <c r="G74" s="55"/>
      <c r="H74" s="57"/>
      <c r="I74" s="18"/>
      <c r="J74" s="13"/>
      <c r="K74" s="60"/>
      <c r="L74" s="14">
        <f t="shared" si="4"/>
        <v>0</v>
      </c>
      <c r="M74" s="59">
        <f t="shared" si="6"/>
        <v>0</v>
      </c>
      <c r="N74" s="61" t="str">
        <f>IF(Table26832[[#This Row],[Fault Type]]="PM",IF(L74&lt;=(D74-C74),"Yes","No"),"")</f>
        <v/>
      </c>
      <c r="O74" s="62" t="str">
        <f t="shared" si="7"/>
        <v/>
      </c>
      <c r="P74"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4" s="63"/>
    </row>
    <row r="75" spans="1:17" ht="15.5" x14ac:dyDescent="0.35">
      <c r="A75" s="58"/>
      <c r="B75" s="55"/>
      <c r="C75" s="56"/>
      <c r="D75" s="56"/>
      <c r="E75" s="13"/>
      <c r="F75" s="55"/>
      <c r="G75" s="55"/>
      <c r="H75" s="57"/>
      <c r="I75" s="18"/>
      <c r="J75" s="13"/>
      <c r="K75" s="60"/>
      <c r="L75" s="14">
        <f t="shared" si="4"/>
        <v>0</v>
      </c>
      <c r="M75" s="59">
        <f t="shared" si="6"/>
        <v>0</v>
      </c>
      <c r="N75" s="61" t="str">
        <f>IF(Table26832[[#This Row],[Fault Type]]="PM",IF(L75&lt;=(D75-C75),"Yes","No"),"")</f>
        <v/>
      </c>
      <c r="O75" s="62" t="str">
        <f t="shared" si="7"/>
        <v/>
      </c>
      <c r="P75"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5" s="63"/>
    </row>
    <row r="76" spans="1:17" ht="15.5" x14ac:dyDescent="0.35">
      <c r="A76" s="58"/>
      <c r="B76" s="55"/>
      <c r="C76" s="56"/>
      <c r="D76" s="56"/>
      <c r="E76" s="13"/>
      <c r="F76" s="55"/>
      <c r="G76" s="55"/>
      <c r="H76" s="57"/>
      <c r="I76" s="18"/>
      <c r="J76" s="13"/>
      <c r="K76" s="60"/>
      <c r="L76" s="14">
        <f t="shared" si="4"/>
        <v>0</v>
      </c>
      <c r="M76" s="59">
        <f t="shared" si="6"/>
        <v>0</v>
      </c>
      <c r="N76" s="61" t="str">
        <f>IF(Table26832[[#This Row],[Fault Type]]="PM",IF(L76&lt;=(D76-C76),"Yes","No"),"")</f>
        <v/>
      </c>
      <c r="O76" s="62" t="str">
        <f t="shared" si="7"/>
        <v/>
      </c>
      <c r="P76"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6" s="63"/>
    </row>
    <row r="77" spans="1:17" ht="15.5" x14ac:dyDescent="0.35">
      <c r="A77" s="58"/>
      <c r="B77" s="55"/>
      <c r="C77" s="56"/>
      <c r="D77" s="56"/>
      <c r="E77" s="13"/>
      <c r="F77" s="55"/>
      <c r="G77" s="55"/>
      <c r="H77" s="57"/>
      <c r="I77" s="18"/>
      <c r="J77" s="13"/>
      <c r="K77" s="60"/>
      <c r="L77" s="14">
        <f t="shared" si="4"/>
        <v>0</v>
      </c>
      <c r="M77" s="59">
        <f t="shared" si="6"/>
        <v>0</v>
      </c>
      <c r="N77" s="61" t="str">
        <f>IF(Table26832[[#This Row],[Fault Type]]="PM",IF(L77&lt;=(D77-C77),"Yes","No"),"")</f>
        <v/>
      </c>
      <c r="O77" s="62" t="str">
        <f t="shared" si="7"/>
        <v/>
      </c>
      <c r="P77"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7" s="63"/>
    </row>
    <row r="78" spans="1:17" ht="15.5" x14ac:dyDescent="0.35">
      <c r="A78" s="58"/>
      <c r="B78" s="55"/>
      <c r="C78" s="56"/>
      <c r="D78" s="56"/>
      <c r="E78" s="13"/>
      <c r="F78" s="55"/>
      <c r="G78" s="55"/>
      <c r="H78" s="57"/>
      <c r="I78" s="18"/>
      <c r="J78" s="13"/>
      <c r="K78" s="60"/>
      <c r="L78" s="14">
        <f t="shared" si="4"/>
        <v>0</v>
      </c>
      <c r="M78" s="59">
        <f t="shared" si="6"/>
        <v>0</v>
      </c>
      <c r="N78" s="61" t="str">
        <f>IF(Table26832[[#This Row],[Fault Type]]="PM",IF(L78&lt;=(D78-C78),"Yes","No"),"")</f>
        <v/>
      </c>
      <c r="O78" s="62" t="str">
        <f t="shared" si="7"/>
        <v/>
      </c>
      <c r="P78"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8" s="63"/>
    </row>
    <row r="79" spans="1:17" ht="15.5" x14ac:dyDescent="0.35">
      <c r="A79" s="58"/>
      <c r="B79" s="55"/>
      <c r="C79" s="56"/>
      <c r="D79" s="56"/>
      <c r="E79" s="13"/>
      <c r="F79" s="55"/>
      <c r="G79" s="55"/>
      <c r="H79" s="57"/>
      <c r="I79" s="18"/>
      <c r="J79" s="13"/>
      <c r="K79" s="60"/>
      <c r="L79" s="14">
        <f t="shared" si="4"/>
        <v>0</v>
      </c>
      <c r="M79" s="59">
        <f t="shared" si="6"/>
        <v>0</v>
      </c>
      <c r="N79" s="61" t="str">
        <f>IF(Table26832[[#This Row],[Fault Type]]="PM",IF(L79&lt;=(D79-C79),"Yes","No"),"")</f>
        <v/>
      </c>
      <c r="O79" s="62" t="str">
        <f t="shared" si="7"/>
        <v/>
      </c>
      <c r="P79" s="154" t="str">
        <f>IF(AND(Table26832[[#This Row],[Name of Feeder]]&lt;&gt;"",OR(Table26832[[#This Row],[Fault Type]]="TL",Table26832[[#This Row],[Fault Type]]="TS",Table26832[[#This Row],[Fault Type]]="UF",Table26832[[#This Row],[Fault Type]]="SE")),(IF(AND(VLOOKUP(Table26832[[#This Row],[Name of Feeder]],Main!D:E,2,0)="URBAN",ISNUMBER(SEARCH("33KV",Table26832[[#This Row],[Name of Feeder]]))),IF(AND(Table26832[[#This Row],[Outage Duration]]&gt;0,Table26832[[#This Row],[Outage Duration]]&lt;=0.25),"Yes","No"),IF(AND(VLOOKUP(Table26832[[#This Row],[Name of Feeder]],Main!D:E,2,0)="RURAL",ISNUMBER(SEARCH("33KV",Table26832[[#This Row],[Name of Feeder]]))),IF(AND(Table26832[[#This Row],[Outage Duration]]&gt;0,Table26832[[#This Row],[Outage Duration]]&lt;=0.33),"Yes","No"),IF(AND(VLOOKUP(Table26832[[#This Row],[Name of Feeder]],Main!D:E,2,0)="RURAL",ISNUMBER(SEARCH("11KV",Table26832[[#This Row],[Name of Feeder]]))),IF(AND(Table26832[[#This Row],[Outage Duration]]&gt;0,Table26832[[#This Row],[Outage Duration]]&lt;=0.17),"Yes","No"),IF(AND(VLOOKUP(Table26832[[#This Row],[Name of Feeder]],Main!D:E,2,0)="URBAN",ISNUMBER(SEARCH("11KV",Table26832[[#This Row],[Name of Feeder]]))),IF(AND(Table26832[[#This Row],[Outage Duration]]&gt;0,Table26832[[#This Row],[Outage Duration]]&lt;=0.17),"Yes","No"),""))))),"")</f>
        <v/>
      </c>
      <c r="Q79"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2100-000000000000}">
          <x14:formula1>
            <xm:f>Main!$F$226:$F$228</xm:f>
          </x14:formula1>
          <xm:sqref>I2:I79</xm:sqref>
        </x14:dataValidation>
        <x14:dataValidation type="list" allowBlank="1" showInputMessage="1" showErrorMessage="1" xr:uid="{00000000-0002-0000-2100-000001000000}">
          <x14:formula1>
            <xm:f>Main!$D$2:$D$196</xm:f>
          </x14:formula1>
          <xm:sqref>A2:A79</xm:sqref>
        </x14:dataValidation>
        <x14:dataValidation type="list" allowBlank="1" showInputMessage="1" showErrorMessage="1" xr:uid="{00000000-0002-0000-2100-000002000000}">
          <x14:formula1>
            <xm:f>Main!F$222:F$225</xm:f>
          </x14:formula1>
          <xm:sqref>G2:G79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80"/>
  <sheetViews>
    <sheetView topLeftCell="C70" zoomScale="70" zoomScaleNormal="70" workbookViewId="0">
      <selection activeCell="Q8" sqref="Q8:Q15"/>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c r="B2" s="12"/>
      <c r="C2" s="13"/>
      <c r="D2" s="13"/>
      <c r="E2" s="13"/>
      <c r="F2" s="12"/>
      <c r="G2" s="12"/>
      <c r="H2" s="27"/>
      <c r="I2" s="27"/>
      <c r="J2" s="13"/>
      <c r="K2" s="32"/>
      <c r="L2" s="14">
        <f t="shared" ref="L2:L66" si="0">J2-E2</f>
        <v>0</v>
      </c>
      <c r="M2" s="31">
        <f t="shared" ref="M2:M66" si="1">L2*F2</f>
        <v>0</v>
      </c>
      <c r="N2" s="15" t="str">
        <f>IF(Table2683234[[#This Row],[Fault Type]]="PM",IF(L2&lt;=(D2-C2),"Yes","No"),"")</f>
        <v/>
      </c>
      <c r="O2" s="16" t="str">
        <f t="shared" ref="O2:O66" si="2">IF(N2="No",(L2-(D2-C2)),"")</f>
        <v/>
      </c>
      <c r="P2" s="30"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 s="17"/>
    </row>
    <row r="3" spans="1:17" ht="15.5" x14ac:dyDescent="0.35">
      <c r="A3" s="4"/>
      <c r="B3" s="12"/>
      <c r="C3" s="13"/>
      <c r="D3" s="13"/>
      <c r="E3" s="13"/>
      <c r="F3" s="12"/>
      <c r="G3" s="12"/>
      <c r="H3" s="27"/>
      <c r="I3" s="27"/>
      <c r="J3" s="13"/>
      <c r="K3" s="32"/>
      <c r="L3" s="14">
        <f t="shared" si="0"/>
        <v>0</v>
      </c>
      <c r="M3" s="167">
        <f t="shared" si="1"/>
        <v>0</v>
      </c>
      <c r="N3" s="15" t="str">
        <f>IF(Table2683234[[#This Row],[Fault Type]]="PM",IF(L3&lt;=(D3-C3),"Yes","No"),"")</f>
        <v/>
      </c>
      <c r="O3" s="16" t="str">
        <f t="shared" si="2"/>
        <v/>
      </c>
      <c r="P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 s="17"/>
    </row>
    <row r="4" spans="1:17" ht="15.5" x14ac:dyDescent="0.35">
      <c r="A4" s="4"/>
      <c r="B4" s="12"/>
      <c r="C4" s="13"/>
      <c r="D4" s="13"/>
      <c r="E4" s="13"/>
      <c r="F4" s="12"/>
      <c r="G4" s="12"/>
      <c r="H4" s="12"/>
      <c r="I4" s="12"/>
      <c r="J4" s="13"/>
      <c r="K4" s="32"/>
      <c r="L4" s="14">
        <f t="shared" si="0"/>
        <v>0</v>
      </c>
      <c r="M4" s="167">
        <f t="shared" si="1"/>
        <v>0</v>
      </c>
      <c r="N4" s="15" t="str">
        <f>IF(Table2683234[[#This Row],[Fault Type]]="PM",IF(L4&lt;=(D4-C4),"Yes","No"),"")</f>
        <v/>
      </c>
      <c r="O4" s="16" t="str">
        <f t="shared" si="2"/>
        <v/>
      </c>
      <c r="P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 s="17"/>
    </row>
    <row r="5" spans="1:17" ht="15.5" x14ac:dyDescent="0.35">
      <c r="A5" s="4"/>
      <c r="B5" s="12"/>
      <c r="C5" s="13"/>
      <c r="D5" s="13"/>
      <c r="E5" s="13"/>
      <c r="F5" s="12"/>
      <c r="G5" s="12"/>
      <c r="H5" s="12"/>
      <c r="I5" s="12"/>
      <c r="J5" s="13"/>
      <c r="K5" s="32"/>
      <c r="L5" s="14">
        <f t="shared" si="0"/>
        <v>0</v>
      </c>
      <c r="M5" s="167">
        <f t="shared" si="1"/>
        <v>0</v>
      </c>
      <c r="N5" s="15" t="str">
        <f>IF(Table2683234[[#This Row],[Fault Type]]="PM",IF(L5&lt;=(D5-C5),"Yes","No"),"")</f>
        <v/>
      </c>
      <c r="O5" s="16" t="str">
        <f t="shared" si="2"/>
        <v/>
      </c>
      <c r="P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 s="17"/>
    </row>
    <row r="6" spans="1:17" ht="15.5" x14ac:dyDescent="0.35">
      <c r="A6" s="4"/>
      <c r="B6" s="12"/>
      <c r="C6" s="13"/>
      <c r="D6" s="13"/>
      <c r="E6" s="13"/>
      <c r="F6" s="12"/>
      <c r="G6" s="12"/>
      <c r="H6" s="12"/>
      <c r="I6" s="12"/>
      <c r="J6" s="13"/>
      <c r="K6" s="32"/>
      <c r="L6" s="14">
        <f t="shared" si="0"/>
        <v>0</v>
      </c>
      <c r="M6" s="167">
        <f t="shared" si="1"/>
        <v>0</v>
      </c>
      <c r="N6" s="15" t="str">
        <f>IF(Table2683234[[#This Row],[Fault Type]]="PM",IF(L6&lt;=(D6-C6),"Yes","No"),"")</f>
        <v/>
      </c>
      <c r="O6" s="16" t="str">
        <f t="shared" si="2"/>
        <v/>
      </c>
      <c r="P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 s="17"/>
    </row>
    <row r="7" spans="1:17" ht="15.5" x14ac:dyDescent="0.35">
      <c r="A7" s="4"/>
      <c r="B7" s="12"/>
      <c r="C7" s="13"/>
      <c r="D7" s="13"/>
      <c r="E7" s="13"/>
      <c r="F7" s="12"/>
      <c r="G7" s="12"/>
      <c r="H7" s="12"/>
      <c r="I7" s="12"/>
      <c r="J7" s="13"/>
      <c r="K7" s="32"/>
      <c r="L7" s="14">
        <f t="shared" si="0"/>
        <v>0</v>
      </c>
      <c r="M7" s="167">
        <f t="shared" si="1"/>
        <v>0</v>
      </c>
      <c r="N7" s="15" t="str">
        <f>IF(Table2683234[[#This Row],[Fault Type]]="PM",IF(L7&lt;=(D7-C7),"Yes","No"),"")</f>
        <v/>
      </c>
      <c r="O7" s="16" t="str">
        <f t="shared" si="2"/>
        <v/>
      </c>
      <c r="P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 s="17"/>
    </row>
    <row r="8" spans="1:17" ht="15.5" x14ac:dyDescent="0.35">
      <c r="A8" s="4"/>
      <c r="B8" s="12"/>
      <c r="C8" s="13"/>
      <c r="D8" s="13"/>
      <c r="E8" s="13"/>
      <c r="F8" s="12"/>
      <c r="G8" s="12"/>
      <c r="H8" s="12"/>
      <c r="I8" s="12"/>
      <c r="J8" s="13"/>
      <c r="K8" s="32"/>
      <c r="L8" s="14">
        <f t="shared" si="0"/>
        <v>0</v>
      </c>
      <c r="M8" s="167">
        <f t="shared" si="1"/>
        <v>0</v>
      </c>
      <c r="N8" s="15" t="str">
        <f>IF(Table2683234[[#This Row],[Fault Type]]="PM",IF(L8&lt;=(D8-C8),"Yes","No"),"")</f>
        <v/>
      </c>
      <c r="O8" s="16" t="str">
        <f t="shared" si="2"/>
        <v/>
      </c>
      <c r="P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8" s="17"/>
    </row>
    <row r="9" spans="1:17" ht="15.5" x14ac:dyDescent="0.35">
      <c r="A9" s="4"/>
      <c r="B9" s="12"/>
      <c r="C9" s="13"/>
      <c r="D9" s="13"/>
      <c r="E9" s="13"/>
      <c r="F9" s="12"/>
      <c r="G9" s="12"/>
      <c r="H9" s="12"/>
      <c r="I9" s="12"/>
      <c r="J9" s="13"/>
      <c r="K9" s="32"/>
      <c r="L9" s="14">
        <f t="shared" si="0"/>
        <v>0</v>
      </c>
      <c r="M9" s="167">
        <f t="shared" si="1"/>
        <v>0</v>
      </c>
      <c r="N9" s="15" t="str">
        <f>IF(Table2683234[[#This Row],[Fault Type]]="PM",IF(L9&lt;=(D9-C9),"Yes","No"),"")</f>
        <v/>
      </c>
      <c r="O9" s="16" t="str">
        <f t="shared" si="2"/>
        <v/>
      </c>
      <c r="P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9" s="17"/>
    </row>
    <row r="10" spans="1:17" ht="15.5" x14ac:dyDescent="0.35">
      <c r="A10" s="4"/>
      <c r="B10" s="12"/>
      <c r="C10" s="13"/>
      <c r="D10" s="13"/>
      <c r="E10" s="13"/>
      <c r="F10" s="12"/>
      <c r="G10" s="12"/>
      <c r="H10" s="12"/>
      <c r="I10" s="12"/>
      <c r="J10" s="13"/>
      <c r="K10" s="32"/>
      <c r="L10" s="14">
        <f t="shared" si="0"/>
        <v>0</v>
      </c>
      <c r="M10" s="167">
        <f t="shared" si="1"/>
        <v>0</v>
      </c>
      <c r="N10" s="15" t="str">
        <f>IF(Table2683234[[#This Row],[Fault Type]]="PM",IF(L10&lt;=(D10-C10),"Yes","No"),"")</f>
        <v/>
      </c>
      <c r="O10" s="16" t="str">
        <f t="shared" si="2"/>
        <v/>
      </c>
      <c r="P1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0" s="17"/>
    </row>
    <row r="11" spans="1:17" ht="15.5" x14ac:dyDescent="0.35">
      <c r="A11" s="4"/>
      <c r="B11" s="12"/>
      <c r="C11" s="13"/>
      <c r="D11" s="13"/>
      <c r="E11" s="13"/>
      <c r="F11" s="12"/>
      <c r="G11" s="12"/>
      <c r="H11" s="12"/>
      <c r="I11" s="12"/>
      <c r="J11" s="13"/>
      <c r="K11" s="32"/>
      <c r="L11" s="14">
        <f t="shared" si="0"/>
        <v>0</v>
      </c>
      <c r="M11" s="167">
        <f t="shared" si="1"/>
        <v>0</v>
      </c>
      <c r="N11" s="15" t="str">
        <f>IF(Table2683234[[#This Row],[Fault Type]]="PM",IF(L11&lt;=(D11-C11),"Yes","No"),"")</f>
        <v/>
      </c>
      <c r="O11" s="16" t="str">
        <f t="shared" si="2"/>
        <v/>
      </c>
      <c r="P1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1" s="17"/>
    </row>
    <row r="12" spans="1:17" ht="15.5" x14ac:dyDescent="0.35">
      <c r="A12" s="4"/>
      <c r="B12" s="12"/>
      <c r="C12" s="13"/>
      <c r="D12" s="13"/>
      <c r="E12" s="13"/>
      <c r="F12" s="12"/>
      <c r="G12" s="12"/>
      <c r="H12" s="12"/>
      <c r="I12" s="12"/>
      <c r="J12" s="13"/>
      <c r="K12" s="32"/>
      <c r="L12" s="14">
        <f t="shared" si="0"/>
        <v>0</v>
      </c>
      <c r="M12" s="167">
        <f t="shared" si="1"/>
        <v>0</v>
      </c>
      <c r="N12" s="15" t="str">
        <f>IF(Table2683234[[#This Row],[Fault Type]]="PM",IF(L12&lt;=(D12-C12),"Yes","No"),"")</f>
        <v/>
      </c>
      <c r="O12" s="16" t="str">
        <f t="shared" si="2"/>
        <v/>
      </c>
      <c r="P1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2" s="17"/>
    </row>
    <row r="13" spans="1:17" ht="15.5" x14ac:dyDescent="0.35">
      <c r="A13" s="4"/>
      <c r="B13" s="12"/>
      <c r="C13" s="13"/>
      <c r="D13" s="13"/>
      <c r="E13" s="13"/>
      <c r="F13" s="12"/>
      <c r="G13" s="12"/>
      <c r="H13" s="12"/>
      <c r="I13" s="12"/>
      <c r="J13" s="13"/>
      <c r="K13" s="32"/>
      <c r="L13" s="14">
        <f t="shared" si="0"/>
        <v>0</v>
      </c>
      <c r="M13" s="167">
        <f t="shared" si="1"/>
        <v>0</v>
      </c>
      <c r="N13" s="15" t="str">
        <f>IF(Table2683234[[#This Row],[Fault Type]]="PM",IF(L13&lt;=(D13-C13),"Yes","No"),"")</f>
        <v/>
      </c>
      <c r="O13" s="16" t="str">
        <f t="shared" si="2"/>
        <v/>
      </c>
      <c r="P1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3" s="17"/>
    </row>
    <row r="14" spans="1:17" ht="15.5" x14ac:dyDescent="0.35">
      <c r="A14" s="4"/>
      <c r="B14" s="12"/>
      <c r="C14" s="13"/>
      <c r="D14" s="13"/>
      <c r="E14" s="13"/>
      <c r="F14" s="12"/>
      <c r="G14" s="12"/>
      <c r="H14" s="12"/>
      <c r="I14" s="12"/>
      <c r="J14" s="13"/>
      <c r="K14" s="32"/>
      <c r="L14" s="14">
        <f t="shared" si="0"/>
        <v>0</v>
      </c>
      <c r="M14" s="167">
        <f t="shared" si="1"/>
        <v>0</v>
      </c>
      <c r="N14" s="15" t="str">
        <f>IF(Table2683234[[#This Row],[Fault Type]]="PM",IF(L14&lt;=(D14-C14),"Yes","No"),"")</f>
        <v/>
      </c>
      <c r="O14" s="16" t="str">
        <f t="shared" si="2"/>
        <v/>
      </c>
      <c r="P1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4" s="164"/>
    </row>
    <row r="15" spans="1:17" ht="15.5" x14ac:dyDescent="0.35">
      <c r="A15" s="4"/>
      <c r="B15" s="12"/>
      <c r="C15" s="13"/>
      <c r="D15" s="13"/>
      <c r="E15" s="13"/>
      <c r="F15" s="12"/>
      <c r="G15" s="12"/>
      <c r="H15" s="12"/>
      <c r="I15" s="12"/>
      <c r="J15" s="13"/>
      <c r="K15" s="32"/>
      <c r="L15" s="14">
        <f t="shared" si="0"/>
        <v>0</v>
      </c>
      <c r="M15" s="167">
        <f t="shared" si="1"/>
        <v>0</v>
      </c>
      <c r="N15" s="15" t="str">
        <f>IF(Table2683234[[#This Row],[Fault Type]]="PM",IF(L15&lt;=(D15-C15),"Yes","No"),"")</f>
        <v/>
      </c>
      <c r="O15" s="16" t="str">
        <f t="shared" si="2"/>
        <v/>
      </c>
      <c r="P1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5" s="164"/>
    </row>
    <row r="16" spans="1:17" ht="15.5" x14ac:dyDescent="0.35">
      <c r="A16" s="4"/>
      <c r="B16" s="12"/>
      <c r="C16" s="13"/>
      <c r="D16" s="13"/>
      <c r="E16" s="13"/>
      <c r="F16" s="18"/>
      <c r="G16" s="12"/>
      <c r="H16" s="18"/>
      <c r="I16" s="18"/>
      <c r="J16" s="13"/>
      <c r="K16" s="32"/>
      <c r="L16" s="14">
        <f t="shared" si="0"/>
        <v>0</v>
      </c>
      <c r="M16" s="167">
        <f t="shared" si="1"/>
        <v>0</v>
      </c>
      <c r="N16" s="15" t="str">
        <f>IF(Table2683234[[#This Row],[Fault Type]]="PM",IF(L16&lt;=(D16-C16),"Yes","No"),"")</f>
        <v/>
      </c>
      <c r="O16" s="16" t="str">
        <f t="shared" si="2"/>
        <v/>
      </c>
      <c r="P1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6" s="164"/>
    </row>
    <row r="17" spans="1:17" ht="15.5" x14ac:dyDescent="0.35">
      <c r="A17" s="4"/>
      <c r="B17" s="12"/>
      <c r="C17" s="13"/>
      <c r="D17" s="13"/>
      <c r="E17" s="13"/>
      <c r="F17" s="12"/>
      <c r="G17" s="12"/>
      <c r="H17" s="12"/>
      <c r="I17" s="12"/>
      <c r="J17" s="13"/>
      <c r="K17" s="32"/>
      <c r="L17" s="14">
        <f t="shared" si="0"/>
        <v>0</v>
      </c>
      <c r="M17" s="167">
        <f t="shared" si="1"/>
        <v>0</v>
      </c>
      <c r="N17" s="15" t="str">
        <f>IF(Table2683234[[#This Row],[Fault Type]]="PM",IF(L17&lt;=(D17-C17),"Yes","No"),"")</f>
        <v/>
      </c>
      <c r="O17" s="16" t="str">
        <f t="shared" si="2"/>
        <v/>
      </c>
      <c r="P1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7" s="164"/>
    </row>
    <row r="18" spans="1:17" ht="15.5" x14ac:dyDescent="0.35">
      <c r="A18" s="4"/>
      <c r="B18" s="12"/>
      <c r="C18" s="13"/>
      <c r="D18" s="13"/>
      <c r="E18" s="13"/>
      <c r="F18" s="18"/>
      <c r="G18" s="12"/>
      <c r="H18" s="18"/>
      <c r="I18" s="18"/>
      <c r="J18" s="13"/>
      <c r="K18" s="32"/>
      <c r="L18" s="14">
        <f t="shared" si="0"/>
        <v>0</v>
      </c>
      <c r="M18" s="167">
        <f t="shared" si="1"/>
        <v>0</v>
      </c>
      <c r="N18" s="15" t="str">
        <f>IF(Table2683234[[#This Row],[Fault Type]]="PM",IF(L18&lt;=(D18-C18),"Yes","No"),"")</f>
        <v/>
      </c>
      <c r="O18" s="16" t="str">
        <f t="shared" si="2"/>
        <v/>
      </c>
      <c r="P1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8" s="164"/>
    </row>
    <row r="19" spans="1:17" ht="15.5" x14ac:dyDescent="0.35">
      <c r="A19" s="4"/>
      <c r="B19" s="12"/>
      <c r="C19" s="13"/>
      <c r="D19" s="13"/>
      <c r="E19" s="13"/>
      <c r="F19" s="18"/>
      <c r="G19" s="12"/>
      <c r="H19" s="18"/>
      <c r="I19" s="18"/>
      <c r="J19" s="13"/>
      <c r="K19" s="32"/>
      <c r="L19" s="14">
        <f t="shared" si="0"/>
        <v>0</v>
      </c>
      <c r="M19" s="167">
        <f t="shared" si="1"/>
        <v>0</v>
      </c>
      <c r="N19" s="15" t="str">
        <f>IF(Table2683234[[#This Row],[Fault Type]]="PM",IF(L19&lt;=(D19-C19),"Yes","No"),"")</f>
        <v/>
      </c>
      <c r="O19" s="16" t="str">
        <f t="shared" si="2"/>
        <v/>
      </c>
      <c r="P1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19" s="164"/>
    </row>
    <row r="20" spans="1:17" ht="15.5" x14ac:dyDescent="0.35">
      <c r="A20" s="4"/>
      <c r="B20" s="12"/>
      <c r="C20" s="13"/>
      <c r="D20" s="13"/>
      <c r="E20" s="13"/>
      <c r="G20" s="159"/>
      <c r="H20" s="54"/>
      <c r="I20" s="54"/>
      <c r="J20" s="13"/>
      <c r="K20" s="32"/>
      <c r="L20" s="14">
        <f t="shared" si="0"/>
        <v>0</v>
      </c>
      <c r="M20" s="167">
        <f t="shared" si="1"/>
        <v>0</v>
      </c>
      <c r="N20" s="15" t="str">
        <f>IF(Table2683234[[#This Row],[Fault Type]]="PM",IF(L20&lt;=(D20-C20),"Yes","No"),"")</f>
        <v/>
      </c>
      <c r="O20" s="16" t="str">
        <f t="shared" si="2"/>
        <v/>
      </c>
      <c r="P2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0" s="164"/>
    </row>
    <row r="21" spans="1:17" ht="15.5" x14ac:dyDescent="0.35">
      <c r="A21" s="4"/>
      <c r="B21" s="12"/>
      <c r="C21" s="13"/>
      <c r="D21" s="13"/>
      <c r="E21" s="13"/>
      <c r="F21" s="18"/>
      <c r="G21" s="12"/>
      <c r="H21" s="18"/>
      <c r="I21" s="18"/>
      <c r="J21" s="13"/>
      <c r="K21" s="32"/>
      <c r="L21" s="14">
        <f t="shared" si="0"/>
        <v>0</v>
      </c>
      <c r="M21" s="167">
        <f t="shared" si="1"/>
        <v>0</v>
      </c>
      <c r="N21" s="15" t="str">
        <f>IF(Table2683234[[#This Row],[Fault Type]]="PM",IF(L21&lt;=(D21-C21),"Yes","No"),"")</f>
        <v/>
      </c>
      <c r="O21" s="16" t="str">
        <f t="shared" si="2"/>
        <v/>
      </c>
      <c r="P2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1" s="164"/>
    </row>
    <row r="22" spans="1:17" ht="15.5" x14ac:dyDescent="0.35">
      <c r="A22" s="4"/>
      <c r="B22" s="12"/>
      <c r="C22" s="13"/>
      <c r="D22" s="13"/>
      <c r="E22" s="13"/>
      <c r="F22" s="18"/>
      <c r="G22" s="12"/>
      <c r="H22" s="18"/>
      <c r="I22" s="18"/>
      <c r="J22" s="13"/>
      <c r="K22" s="32"/>
      <c r="L22" s="14">
        <f t="shared" si="0"/>
        <v>0</v>
      </c>
      <c r="M22" s="167">
        <f t="shared" si="1"/>
        <v>0</v>
      </c>
      <c r="N22" s="15" t="str">
        <f>IF(Table2683234[[#This Row],[Fault Type]]="PM",IF(L22&lt;=(D22-C22),"Yes","No"),"")</f>
        <v/>
      </c>
      <c r="O22" s="16" t="str">
        <f t="shared" si="2"/>
        <v/>
      </c>
      <c r="P2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2" s="164"/>
    </row>
    <row r="23" spans="1:17" ht="15.5" x14ac:dyDescent="0.35">
      <c r="A23" s="4"/>
      <c r="B23" s="12"/>
      <c r="C23" s="13"/>
      <c r="D23" s="13"/>
      <c r="E23" s="13"/>
      <c r="F23" s="18"/>
      <c r="G23" s="12"/>
      <c r="H23" s="18"/>
      <c r="I23" s="18"/>
      <c r="J23" s="13"/>
      <c r="K23" s="32"/>
      <c r="L23" s="14">
        <f t="shared" si="0"/>
        <v>0</v>
      </c>
      <c r="M23" s="167">
        <f t="shared" si="1"/>
        <v>0</v>
      </c>
      <c r="N23" s="15" t="str">
        <f>IF(Table2683234[[#This Row],[Fault Type]]="PM",IF(L23&lt;=(D23-C23),"Yes","No"),"")</f>
        <v/>
      </c>
      <c r="O23" s="16" t="str">
        <f t="shared" si="2"/>
        <v/>
      </c>
      <c r="P2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3" s="164"/>
    </row>
    <row r="24" spans="1:17" ht="15.5" x14ac:dyDescent="0.35">
      <c r="A24" s="4"/>
      <c r="B24" s="12"/>
      <c r="C24" s="13"/>
      <c r="D24" s="13"/>
      <c r="E24" s="13"/>
      <c r="F24" s="18"/>
      <c r="G24" s="12"/>
      <c r="H24" s="18"/>
      <c r="I24" s="18"/>
      <c r="J24" s="13"/>
      <c r="K24" s="32"/>
      <c r="L24" s="14">
        <f t="shared" si="0"/>
        <v>0</v>
      </c>
      <c r="M24" s="167">
        <f t="shared" si="1"/>
        <v>0</v>
      </c>
      <c r="N24" s="15" t="str">
        <f>IF(Table2683234[[#This Row],[Fault Type]]="PM",IF(L24&lt;=(D24-C24),"Yes","No"),"")</f>
        <v/>
      </c>
      <c r="O24" s="16" t="str">
        <f t="shared" si="2"/>
        <v/>
      </c>
      <c r="P2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4" s="164"/>
    </row>
    <row r="25" spans="1:17" ht="15.5" x14ac:dyDescent="0.35">
      <c r="A25" s="4"/>
      <c r="B25" s="12"/>
      <c r="C25" s="13"/>
      <c r="D25" s="13"/>
      <c r="E25" s="13"/>
      <c r="F25" s="18"/>
      <c r="G25" s="12"/>
      <c r="H25" s="18"/>
      <c r="I25" s="18"/>
      <c r="J25" s="13"/>
      <c r="K25" s="32"/>
      <c r="L25" s="14">
        <f t="shared" si="0"/>
        <v>0</v>
      </c>
      <c r="M25" s="167">
        <f t="shared" si="1"/>
        <v>0</v>
      </c>
      <c r="N25" s="15" t="str">
        <f>IF(Table2683234[[#This Row],[Fault Type]]="PM",IF(L25&lt;=(D25-C25),"Yes","No"),"")</f>
        <v/>
      </c>
      <c r="O25" s="16" t="str">
        <f t="shared" si="2"/>
        <v/>
      </c>
      <c r="P2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5" s="164"/>
    </row>
    <row r="26" spans="1:17" ht="15.5" x14ac:dyDescent="0.35">
      <c r="A26" s="4"/>
      <c r="B26" s="12"/>
      <c r="C26" s="13"/>
      <c r="D26" s="13"/>
      <c r="E26" s="13"/>
      <c r="F26" s="12"/>
      <c r="G26" s="12"/>
      <c r="H26" s="12"/>
      <c r="I26" s="12"/>
      <c r="J26" s="13"/>
      <c r="K26" s="32"/>
      <c r="L26" s="14">
        <f t="shared" si="0"/>
        <v>0</v>
      </c>
      <c r="M26" s="167">
        <f t="shared" si="1"/>
        <v>0</v>
      </c>
      <c r="N26" s="15" t="str">
        <f>IF(Table2683234[[#This Row],[Fault Type]]="PM",IF(L26&lt;=(D26-C26),"Yes","No"),"")</f>
        <v/>
      </c>
      <c r="O26" s="16" t="str">
        <f t="shared" si="2"/>
        <v/>
      </c>
      <c r="P2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6" s="164"/>
    </row>
    <row r="27" spans="1:17" ht="15.5" x14ac:dyDescent="0.35">
      <c r="A27" s="4"/>
      <c r="B27" s="12"/>
      <c r="C27" s="13"/>
      <c r="D27" s="13"/>
      <c r="E27" s="13"/>
      <c r="F27" s="18"/>
      <c r="G27" s="12"/>
      <c r="H27" s="18"/>
      <c r="I27" s="18"/>
      <c r="J27" s="13"/>
      <c r="K27" s="32"/>
      <c r="L27" s="14">
        <f t="shared" si="0"/>
        <v>0</v>
      </c>
      <c r="M27" s="167">
        <f t="shared" si="1"/>
        <v>0</v>
      </c>
      <c r="N27" s="15" t="str">
        <f>IF(Table2683234[[#This Row],[Fault Type]]="PM",IF(L27&lt;=(D27-C27),"Yes","No"),"")</f>
        <v/>
      </c>
      <c r="O27" s="16" t="str">
        <f t="shared" si="2"/>
        <v/>
      </c>
      <c r="P2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7" s="164"/>
    </row>
    <row r="28" spans="1:17" ht="15.5" x14ac:dyDescent="0.35">
      <c r="A28" s="4"/>
      <c r="B28" s="12"/>
      <c r="C28" s="13"/>
      <c r="D28" s="13"/>
      <c r="E28" s="13"/>
      <c r="F28" s="18"/>
      <c r="G28" s="12"/>
      <c r="H28" s="18"/>
      <c r="I28" s="18"/>
      <c r="J28" s="13"/>
      <c r="K28" s="32"/>
      <c r="L28" s="14">
        <f t="shared" si="0"/>
        <v>0</v>
      </c>
      <c r="M28" s="167">
        <f t="shared" si="1"/>
        <v>0</v>
      </c>
      <c r="N28" s="15" t="str">
        <f>IF(Table2683234[[#This Row],[Fault Type]]="PM",IF(L28&lt;=(D28-C28),"Yes","No"),"")</f>
        <v/>
      </c>
      <c r="O28" s="16" t="str">
        <f t="shared" si="2"/>
        <v/>
      </c>
      <c r="P2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8" s="17"/>
    </row>
    <row r="29" spans="1:17" s="157" customFormat="1" ht="15.5" x14ac:dyDescent="0.35">
      <c r="A29" s="158"/>
      <c r="B29" s="159"/>
      <c r="C29" s="160"/>
      <c r="D29" s="160"/>
      <c r="E29" s="160"/>
      <c r="F29" s="165"/>
      <c r="G29" s="159"/>
      <c r="H29" s="165"/>
      <c r="I29" s="165"/>
      <c r="J29" s="160"/>
      <c r="K29" s="168"/>
      <c r="L29" s="161">
        <f>J29-E29</f>
        <v>0</v>
      </c>
      <c r="M29" s="167">
        <f>L29*F29</f>
        <v>0</v>
      </c>
      <c r="N29" s="162" t="str">
        <f>IF(Table2683234[[#This Row],[Fault Type]]="PM",IF(L29&lt;=(D29-C29),"Yes","No"),"")</f>
        <v/>
      </c>
      <c r="O29" s="163" t="str">
        <f>IF(N29="No",(L29-(D29-C29)),"")</f>
        <v/>
      </c>
      <c r="P2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29" s="164"/>
    </row>
    <row r="30" spans="1:17" ht="15.5" x14ac:dyDescent="0.35">
      <c r="A30" s="4"/>
      <c r="B30" s="12"/>
      <c r="C30" s="13"/>
      <c r="D30" s="13"/>
      <c r="E30" s="13"/>
      <c r="F30" s="12"/>
      <c r="G30" s="12"/>
      <c r="H30" s="12"/>
      <c r="I30" s="12"/>
      <c r="J30" s="13"/>
      <c r="K30" s="32"/>
      <c r="L30" s="14">
        <f t="shared" si="0"/>
        <v>0</v>
      </c>
      <c r="M30" s="167">
        <f t="shared" si="1"/>
        <v>0</v>
      </c>
      <c r="N30" s="15" t="str">
        <f>IF(Table2683234[[#This Row],[Fault Type]]="PM",IF(L30&lt;=(D30-C30),"Yes","No"),"")</f>
        <v/>
      </c>
      <c r="O30" s="16" t="str">
        <f t="shared" si="2"/>
        <v/>
      </c>
      <c r="P3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0" s="17"/>
    </row>
    <row r="31" spans="1:17" ht="15.5" x14ac:dyDescent="0.35">
      <c r="A31" s="4"/>
      <c r="B31" s="12"/>
      <c r="C31" s="13"/>
      <c r="D31" s="13"/>
      <c r="E31" s="13"/>
      <c r="F31" s="18"/>
      <c r="G31" s="12"/>
      <c r="H31" s="18"/>
      <c r="I31" s="18"/>
      <c r="J31" s="13"/>
      <c r="K31" s="32"/>
      <c r="L31" s="14">
        <f t="shared" si="0"/>
        <v>0</v>
      </c>
      <c r="M31" s="167">
        <f t="shared" si="1"/>
        <v>0</v>
      </c>
      <c r="N31" s="15" t="str">
        <f>IF(Table2683234[[#This Row],[Fault Type]]="PM",IF(L31&lt;=(D31-C31),"Yes","No"),"")</f>
        <v/>
      </c>
      <c r="O31" s="16" t="str">
        <f t="shared" si="2"/>
        <v/>
      </c>
      <c r="P3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1" s="17"/>
    </row>
    <row r="32" spans="1:17" ht="15.5" x14ac:dyDescent="0.35">
      <c r="A32" s="4"/>
      <c r="B32" s="12"/>
      <c r="C32" s="13"/>
      <c r="D32" s="13"/>
      <c r="E32" s="13"/>
      <c r="F32" s="18"/>
      <c r="G32" s="12"/>
      <c r="H32" s="18"/>
      <c r="I32" s="18"/>
      <c r="J32" s="13"/>
      <c r="K32" s="32"/>
      <c r="L32" s="14">
        <f t="shared" si="0"/>
        <v>0</v>
      </c>
      <c r="M32" s="167">
        <f t="shared" si="1"/>
        <v>0</v>
      </c>
      <c r="N32" s="15" t="str">
        <f>IF(Table2683234[[#This Row],[Fault Type]]="PM",IF(L32&lt;=(D32-C32),"Yes","No"),"")</f>
        <v/>
      </c>
      <c r="O32" s="16" t="str">
        <f t="shared" si="2"/>
        <v/>
      </c>
      <c r="P3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2" s="17"/>
    </row>
    <row r="33" spans="1:17" ht="15.5" x14ac:dyDescent="0.35">
      <c r="A33" s="4"/>
      <c r="B33" s="12"/>
      <c r="C33" s="13"/>
      <c r="D33" s="13"/>
      <c r="E33" s="13"/>
      <c r="F33" s="18"/>
      <c r="G33" s="12"/>
      <c r="H33" s="18"/>
      <c r="I33" s="18"/>
      <c r="J33" s="13"/>
      <c r="K33" s="32"/>
      <c r="L33" s="14">
        <f t="shared" si="0"/>
        <v>0</v>
      </c>
      <c r="M33" s="167">
        <f t="shared" si="1"/>
        <v>0</v>
      </c>
      <c r="N33" s="15" t="str">
        <f>IF(Table2683234[[#This Row],[Fault Type]]="PM",IF(L33&lt;=(D33-C33),"Yes","No"),"")</f>
        <v/>
      </c>
      <c r="O33" s="16" t="str">
        <f t="shared" si="2"/>
        <v/>
      </c>
      <c r="P3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3" s="17"/>
    </row>
    <row r="34" spans="1:17" ht="15.5" x14ac:dyDescent="0.35">
      <c r="A34" s="4"/>
      <c r="B34" s="12"/>
      <c r="C34" s="13"/>
      <c r="D34" s="13"/>
      <c r="E34" s="160"/>
      <c r="F34" s="18"/>
      <c r="G34" s="12"/>
      <c r="H34" s="18"/>
      <c r="I34" s="18"/>
      <c r="J34" s="160"/>
      <c r="K34" s="32"/>
      <c r="L34" s="14">
        <f t="shared" si="0"/>
        <v>0</v>
      </c>
      <c r="M34" s="167">
        <f t="shared" si="1"/>
        <v>0</v>
      </c>
      <c r="N34" s="15" t="str">
        <f>IF(Table2683234[[#This Row],[Fault Type]]="PM",IF(L34&lt;=(D34-C34),"Yes","No"),"")</f>
        <v/>
      </c>
      <c r="O34" s="16" t="str">
        <f t="shared" si="2"/>
        <v/>
      </c>
      <c r="P3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4" s="17"/>
    </row>
    <row r="35" spans="1:17" ht="15.5" x14ac:dyDescent="0.35">
      <c r="A35" s="4"/>
      <c r="B35" s="12"/>
      <c r="C35" s="13"/>
      <c r="D35" s="13"/>
      <c r="E35" s="13"/>
      <c r="F35" s="18"/>
      <c r="G35" s="12"/>
      <c r="H35" s="18"/>
      <c r="I35" s="18"/>
      <c r="J35" s="13"/>
      <c r="K35" s="32"/>
      <c r="L35" s="14">
        <f t="shared" si="0"/>
        <v>0</v>
      </c>
      <c r="M35" s="167">
        <f t="shared" si="1"/>
        <v>0</v>
      </c>
      <c r="N35" s="15" t="str">
        <f>IF(Table2683234[[#This Row],[Fault Type]]="PM",IF(L35&lt;=(D35-C35),"Yes","No"),"")</f>
        <v/>
      </c>
      <c r="O35" s="16" t="str">
        <f t="shared" si="2"/>
        <v/>
      </c>
      <c r="P3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5" s="17"/>
    </row>
    <row r="36" spans="1:17" ht="15.5" x14ac:dyDescent="0.35">
      <c r="A36" s="4"/>
      <c r="B36" s="12"/>
      <c r="C36" s="13"/>
      <c r="D36" s="13"/>
      <c r="E36" s="13"/>
      <c r="F36" s="18"/>
      <c r="G36" s="12"/>
      <c r="H36" s="18"/>
      <c r="I36" s="18"/>
      <c r="J36" s="13"/>
      <c r="K36" s="32"/>
      <c r="L36" s="14">
        <f t="shared" si="0"/>
        <v>0</v>
      </c>
      <c r="M36" s="167">
        <f t="shared" si="1"/>
        <v>0</v>
      </c>
      <c r="N36" s="15" t="str">
        <f>IF(Table2683234[[#This Row],[Fault Type]]="PM",IF(L36&lt;=(D36-C36),"Yes","No"),"")</f>
        <v/>
      </c>
      <c r="O36" s="16" t="str">
        <f t="shared" si="2"/>
        <v/>
      </c>
      <c r="P3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6" s="17"/>
    </row>
    <row r="37" spans="1:17" ht="15.5" x14ac:dyDescent="0.35">
      <c r="A37" s="4"/>
      <c r="B37" s="12"/>
      <c r="C37" s="13"/>
      <c r="D37" s="13"/>
      <c r="E37" s="13"/>
      <c r="F37" s="18"/>
      <c r="G37" s="12"/>
      <c r="H37" s="18"/>
      <c r="I37" s="18"/>
      <c r="J37" s="13"/>
      <c r="K37" s="32"/>
      <c r="L37" s="14">
        <f t="shared" si="0"/>
        <v>0</v>
      </c>
      <c r="M37" s="167">
        <f t="shared" si="1"/>
        <v>0</v>
      </c>
      <c r="N37" s="15" t="str">
        <f>IF(Table2683234[[#This Row],[Fault Type]]="PM",IF(L37&lt;=(D37-C37),"Yes","No"),"")</f>
        <v/>
      </c>
      <c r="O37" s="16" t="str">
        <f t="shared" si="2"/>
        <v/>
      </c>
      <c r="P3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7" s="17"/>
    </row>
    <row r="38" spans="1:17" ht="15.5" x14ac:dyDescent="0.35">
      <c r="A38" s="4"/>
      <c r="B38" s="12"/>
      <c r="C38" s="13"/>
      <c r="D38" s="13"/>
      <c r="E38" s="13"/>
      <c r="F38" s="18"/>
      <c r="G38" s="12"/>
      <c r="H38" s="18"/>
      <c r="I38" s="18"/>
      <c r="J38" s="13"/>
      <c r="K38" s="32"/>
      <c r="L38" s="14">
        <f t="shared" si="0"/>
        <v>0</v>
      </c>
      <c r="M38" s="167">
        <f t="shared" si="1"/>
        <v>0</v>
      </c>
      <c r="N38" s="15" t="str">
        <f>IF(Table2683234[[#This Row],[Fault Type]]="PM",IF(L38&lt;=(D38-C38),"Yes","No"),"")</f>
        <v/>
      </c>
      <c r="O38" s="16" t="str">
        <f t="shared" si="2"/>
        <v/>
      </c>
      <c r="P3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8" s="17"/>
    </row>
    <row r="39" spans="1:17" ht="15.5" x14ac:dyDescent="0.35">
      <c r="A39" s="4"/>
      <c r="B39" s="12"/>
      <c r="C39" s="13"/>
      <c r="D39" s="13"/>
      <c r="E39" s="13"/>
      <c r="F39" s="18"/>
      <c r="G39" s="12"/>
      <c r="H39" s="18"/>
      <c r="I39" s="18"/>
      <c r="J39" s="13"/>
      <c r="K39" s="32"/>
      <c r="L39" s="14">
        <f t="shared" si="0"/>
        <v>0</v>
      </c>
      <c r="M39" s="167">
        <f t="shared" si="1"/>
        <v>0</v>
      </c>
      <c r="N39" s="15" t="str">
        <f>IF(Table2683234[[#This Row],[Fault Type]]="PM",IF(L39&lt;=(D39-C39),"Yes","No"),"")</f>
        <v/>
      </c>
      <c r="O39" s="16" t="str">
        <f t="shared" si="2"/>
        <v/>
      </c>
      <c r="P3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39" s="17"/>
    </row>
    <row r="40" spans="1:17" ht="15.5" x14ac:dyDescent="0.35">
      <c r="A40" s="4"/>
      <c r="B40" s="12"/>
      <c r="C40" s="13"/>
      <c r="D40" s="13"/>
      <c r="E40" s="13"/>
      <c r="F40" s="18"/>
      <c r="G40" s="12"/>
      <c r="H40" s="18"/>
      <c r="I40" s="18"/>
      <c r="J40" s="13"/>
      <c r="K40" s="32"/>
      <c r="L40" s="14">
        <f t="shared" si="0"/>
        <v>0</v>
      </c>
      <c r="M40" s="167">
        <f t="shared" si="1"/>
        <v>0</v>
      </c>
      <c r="N40" s="15" t="str">
        <f>IF(Table2683234[[#This Row],[Fault Type]]="PM",IF(L40&lt;=(D40-C40),"Yes","No"),"")</f>
        <v/>
      </c>
      <c r="O40" s="16" t="str">
        <f t="shared" si="2"/>
        <v/>
      </c>
      <c r="P4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0" s="17"/>
    </row>
    <row r="41" spans="1:17" ht="15.5" x14ac:dyDescent="0.35">
      <c r="A41" s="4"/>
      <c r="B41" s="12"/>
      <c r="C41" s="13"/>
      <c r="D41" s="13"/>
      <c r="E41" s="13"/>
      <c r="F41" s="18"/>
      <c r="G41" s="12"/>
      <c r="H41" s="18"/>
      <c r="I41" s="18"/>
      <c r="J41" s="13"/>
      <c r="K41" s="32"/>
      <c r="L41" s="14">
        <f t="shared" si="0"/>
        <v>0</v>
      </c>
      <c r="M41" s="167">
        <f t="shared" si="1"/>
        <v>0</v>
      </c>
      <c r="N41" s="15" t="str">
        <f>IF(Table2683234[[#This Row],[Fault Type]]="PM",IF(L41&lt;=(D41-C41),"Yes","No"),"")</f>
        <v/>
      </c>
      <c r="O41" s="16" t="str">
        <f t="shared" si="2"/>
        <v/>
      </c>
      <c r="P4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1" s="17"/>
    </row>
    <row r="42" spans="1:17" ht="15.5" x14ac:dyDescent="0.35">
      <c r="A42" s="4"/>
      <c r="B42" s="12"/>
      <c r="C42" s="13"/>
      <c r="D42" s="13"/>
      <c r="E42" s="13"/>
      <c r="F42" s="18"/>
      <c r="G42" s="12"/>
      <c r="H42" s="18"/>
      <c r="I42" s="18"/>
      <c r="J42" s="13"/>
      <c r="K42" s="32"/>
      <c r="L42" s="14">
        <f t="shared" si="0"/>
        <v>0</v>
      </c>
      <c r="M42" s="167">
        <f t="shared" si="1"/>
        <v>0</v>
      </c>
      <c r="N42" s="15" t="str">
        <f>IF(Table2683234[[#This Row],[Fault Type]]="PM",IF(L42&lt;=(D42-C42),"Yes","No"),"")</f>
        <v/>
      </c>
      <c r="O42" s="16" t="str">
        <f t="shared" si="2"/>
        <v/>
      </c>
      <c r="P4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2" s="17"/>
    </row>
    <row r="43" spans="1:17" ht="15.5" x14ac:dyDescent="0.35">
      <c r="A43" s="4"/>
      <c r="B43" s="12"/>
      <c r="C43" s="13"/>
      <c r="D43" s="13"/>
      <c r="E43" s="13"/>
      <c r="F43" s="18"/>
      <c r="G43" s="12"/>
      <c r="H43" s="18"/>
      <c r="I43" s="18"/>
      <c r="J43" s="13"/>
      <c r="K43" s="32"/>
      <c r="L43" s="14">
        <f t="shared" si="0"/>
        <v>0</v>
      </c>
      <c r="M43" s="167">
        <f t="shared" si="1"/>
        <v>0</v>
      </c>
      <c r="N43" s="15" t="str">
        <f>IF(Table2683234[[#This Row],[Fault Type]]="PM",IF(L43&lt;=(D43-C43),"Yes","No"),"")</f>
        <v/>
      </c>
      <c r="O43" s="16" t="str">
        <f t="shared" si="2"/>
        <v/>
      </c>
      <c r="P4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3" s="17"/>
    </row>
    <row r="44" spans="1:17" ht="15.5" x14ac:dyDescent="0.35">
      <c r="A44" s="4"/>
      <c r="B44" s="12"/>
      <c r="C44" s="13"/>
      <c r="D44" s="13"/>
      <c r="E44" s="13"/>
      <c r="F44" s="18"/>
      <c r="G44" s="12"/>
      <c r="H44" s="18"/>
      <c r="I44" s="18"/>
      <c r="J44" s="13"/>
      <c r="K44" s="32"/>
      <c r="L44" s="14">
        <f t="shared" si="0"/>
        <v>0</v>
      </c>
      <c r="M44" s="167">
        <f t="shared" si="1"/>
        <v>0</v>
      </c>
      <c r="N44" s="15" t="str">
        <f>IF(Table2683234[[#This Row],[Fault Type]]="PM",IF(L44&lt;=(D44-C44),"Yes","No"),"")</f>
        <v/>
      </c>
      <c r="O44" s="16" t="str">
        <f t="shared" si="2"/>
        <v/>
      </c>
      <c r="P4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4" s="17"/>
    </row>
    <row r="45" spans="1:17" ht="15.5" x14ac:dyDescent="0.35">
      <c r="A45" s="4"/>
      <c r="B45" s="12"/>
      <c r="C45" s="13"/>
      <c r="D45" s="13"/>
      <c r="E45" s="13"/>
      <c r="F45" s="18"/>
      <c r="G45" s="12"/>
      <c r="H45" s="18"/>
      <c r="I45" s="18"/>
      <c r="J45" s="13"/>
      <c r="K45" s="32"/>
      <c r="L45" s="14">
        <f t="shared" si="0"/>
        <v>0</v>
      </c>
      <c r="M45" s="167">
        <f t="shared" si="1"/>
        <v>0</v>
      </c>
      <c r="N45" s="15" t="str">
        <f>IF(Table2683234[[#This Row],[Fault Type]]="PM",IF(L45&lt;=(D45-C45),"Yes","No"),"")</f>
        <v/>
      </c>
      <c r="O45" s="16" t="str">
        <f t="shared" si="2"/>
        <v/>
      </c>
      <c r="P4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5" s="17"/>
    </row>
    <row r="46" spans="1:17" ht="15.75" customHeight="1" x14ac:dyDescent="0.35">
      <c r="A46" s="4"/>
      <c r="B46" s="12"/>
      <c r="C46" s="13"/>
      <c r="D46" s="13"/>
      <c r="E46" s="13"/>
      <c r="F46" s="12"/>
      <c r="G46" s="12"/>
      <c r="H46" s="12"/>
      <c r="I46" s="12"/>
      <c r="J46" s="13"/>
      <c r="K46" s="32"/>
      <c r="L46" s="14">
        <f t="shared" si="0"/>
        <v>0</v>
      </c>
      <c r="M46" s="167">
        <f t="shared" si="1"/>
        <v>0</v>
      </c>
      <c r="N46" s="15" t="str">
        <f>IF(Table2683234[[#This Row],[Fault Type]]="PM",IF(L46&lt;=(D46-C46),"Yes","No"),"")</f>
        <v/>
      </c>
      <c r="O46" s="16" t="str">
        <f t="shared" si="2"/>
        <v/>
      </c>
      <c r="P4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6" s="17"/>
    </row>
    <row r="47" spans="1:17" ht="15.5" x14ac:dyDescent="0.35">
      <c r="A47" s="4"/>
      <c r="B47" s="12"/>
      <c r="C47" s="13"/>
      <c r="D47" s="13"/>
      <c r="E47" s="13"/>
      <c r="F47" s="18"/>
      <c r="G47" s="12"/>
      <c r="H47" s="18"/>
      <c r="I47" s="18"/>
      <c r="J47" s="13"/>
      <c r="K47" s="32"/>
      <c r="L47" s="14">
        <f t="shared" si="0"/>
        <v>0</v>
      </c>
      <c r="M47" s="167">
        <f t="shared" si="1"/>
        <v>0</v>
      </c>
      <c r="N47" s="15" t="str">
        <f>IF(Table2683234[[#This Row],[Fault Type]]="PM",IF(L47&lt;=(D47-C47),"Yes","No"),"")</f>
        <v/>
      </c>
      <c r="O47" s="16" t="str">
        <f t="shared" si="2"/>
        <v/>
      </c>
      <c r="P4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7" s="17"/>
    </row>
    <row r="48" spans="1:17" ht="15.5" x14ac:dyDescent="0.35">
      <c r="A48" s="4"/>
      <c r="B48" s="49"/>
      <c r="C48" s="49"/>
      <c r="D48" s="49"/>
      <c r="E48" s="13"/>
      <c r="F48" s="64"/>
      <c r="G48" s="159"/>
      <c r="H48" s="54"/>
      <c r="I48" s="54"/>
      <c r="J48" s="13"/>
      <c r="K48" s="32"/>
      <c r="L48" s="14">
        <f t="shared" si="0"/>
        <v>0</v>
      </c>
      <c r="M48" s="167">
        <f t="shared" si="1"/>
        <v>0</v>
      </c>
      <c r="N48" s="50" t="str">
        <f>IF(Table2683234[[#This Row],[Fault Type]]="PM",IF(L48&lt;=(D48-C48),"Yes","No"),"")</f>
        <v/>
      </c>
      <c r="O48" s="51" t="str">
        <f t="shared" si="2"/>
        <v/>
      </c>
      <c r="P4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row>
    <row r="49" spans="1:17" ht="15.5" x14ac:dyDescent="0.35">
      <c r="A49" s="58"/>
      <c r="B49" s="55"/>
      <c r="C49" s="56"/>
      <c r="D49" s="56"/>
      <c r="E49" s="13"/>
      <c r="F49" s="55"/>
      <c r="G49" s="55"/>
      <c r="H49" s="57"/>
      <c r="I49" s="18"/>
      <c r="J49" s="13"/>
      <c r="K49" s="32"/>
      <c r="L49" s="14">
        <f t="shared" si="0"/>
        <v>0</v>
      </c>
      <c r="M49" s="167">
        <f t="shared" si="1"/>
        <v>0</v>
      </c>
      <c r="N49" s="61" t="str">
        <f>IF(Table2683234[[#This Row],[Fault Type]]="PM",IF(L49&lt;=(D49-C49),"Yes","No"),"")</f>
        <v/>
      </c>
      <c r="O49" s="62" t="str">
        <f t="shared" si="2"/>
        <v/>
      </c>
      <c r="P4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49" s="63"/>
    </row>
    <row r="50" spans="1:17" ht="15.5" x14ac:dyDescent="0.35">
      <c r="A50" s="58"/>
      <c r="B50" s="55"/>
      <c r="C50" s="56"/>
      <c r="D50" s="56"/>
      <c r="E50" s="13"/>
      <c r="F50" s="55"/>
      <c r="G50" s="55"/>
      <c r="H50" s="57"/>
      <c r="I50" s="18"/>
      <c r="J50" s="13"/>
      <c r="K50" s="32"/>
      <c r="L50" s="14">
        <f t="shared" si="0"/>
        <v>0</v>
      </c>
      <c r="M50" s="167">
        <f t="shared" si="1"/>
        <v>0</v>
      </c>
      <c r="N50" s="61" t="str">
        <f>IF(Table2683234[[#This Row],[Fault Type]]="PM",IF(L50&lt;=(D50-C50),"Yes","No"),"")</f>
        <v/>
      </c>
      <c r="O50" s="62" t="str">
        <f t="shared" si="2"/>
        <v/>
      </c>
      <c r="P5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0" s="63"/>
    </row>
    <row r="51" spans="1:17" ht="15.5" x14ac:dyDescent="0.35">
      <c r="A51" s="58"/>
      <c r="B51" s="55"/>
      <c r="C51" s="56"/>
      <c r="D51" s="56"/>
      <c r="E51" s="13"/>
      <c r="F51" s="55"/>
      <c r="G51" s="55"/>
      <c r="H51" s="57"/>
      <c r="I51" s="18"/>
      <c r="J51" s="13"/>
      <c r="K51" s="32"/>
      <c r="L51" s="14">
        <f t="shared" si="0"/>
        <v>0</v>
      </c>
      <c r="M51" s="167">
        <f t="shared" si="1"/>
        <v>0</v>
      </c>
      <c r="N51" s="61" t="str">
        <f>IF(Table2683234[[#This Row],[Fault Type]]="PM",IF(L51&lt;=(D51-C51),"Yes","No"),"")</f>
        <v/>
      </c>
      <c r="O51" s="62" t="str">
        <f t="shared" si="2"/>
        <v/>
      </c>
      <c r="P5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1" s="63"/>
    </row>
    <row r="52" spans="1:17" ht="15.5" x14ac:dyDescent="0.35">
      <c r="A52" s="58"/>
      <c r="B52" s="55"/>
      <c r="C52" s="56"/>
      <c r="D52" s="56"/>
      <c r="E52" s="13"/>
      <c r="F52" s="55"/>
      <c r="G52" s="55"/>
      <c r="H52" s="57"/>
      <c r="I52" s="18"/>
      <c r="J52" s="13"/>
      <c r="K52" s="60"/>
      <c r="L52" s="14">
        <f t="shared" si="0"/>
        <v>0</v>
      </c>
      <c r="M52" s="167">
        <f t="shared" si="1"/>
        <v>0</v>
      </c>
      <c r="N52" s="61" t="str">
        <f>IF(Table2683234[[#This Row],[Fault Type]]="PM",IF(L52&lt;=(D52-C52),"Yes","No"),"")</f>
        <v/>
      </c>
      <c r="O52" s="62" t="str">
        <f t="shared" si="2"/>
        <v/>
      </c>
      <c r="P5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2" s="63"/>
    </row>
    <row r="53" spans="1:17" ht="15.5" x14ac:dyDescent="0.35">
      <c r="A53" s="58"/>
      <c r="B53" s="55"/>
      <c r="C53" s="56"/>
      <c r="D53" s="56"/>
      <c r="E53" s="13"/>
      <c r="F53" s="55"/>
      <c r="G53" s="55"/>
      <c r="H53" s="57"/>
      <c r="I53" s="18"/>
      <c r="J53" s="13"/>
      <c r="K53" s="60"/>
      <c r="L53" s="14">
        <f t="shared" si="0"/>
        <v>0</v>
      </c>
      <c r="M53" s="167">
        <f t="shared" si="1"/>
        <v>0</v>
      </c>
      <c r="N53" s="61" t="str">
        <f>IF(Table2683234[[#This Row],[Fault Type]]="PM",IF(L53&lt;=(D53-C53),"Yes","No"),"")</f>
        <v/>
      </c>
      <c r="O53" s="62" t="str">
        <f t="shared" si="2"/>
        <v/>
      </c>
      <c r="P5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3" s="63"/>
    </row>
    <row r="54" spans="1:17" ht="15.5" x14ac:dyDescent="0.35">
      <c r="A54" s="58"/>
      <c r="B54" s="55"/>
      <c r="C54" s="56"/>
      <c r="D54" s="56"/>
      <c r="E54" s="13"/>
      <c r="F54" s="55"/>
      <c r="G54" s="55"/>
      <c r="H54" s="57"/>
      <c r="I54" s="18"/>
      <c r="J54" s="13"/>
      <c r="K54" s="60"/>
      <c r="L54" s="14">
        <f t="shared" si="0"/>
        <v>0</v>
      </c>
      <c r="M54" s="167">
        <f t="shared" si="1"/>
        <v>0</v>
      </c>
      <c r="N54" s="61" t="str">
        <f>IF(Table2683234[[#This Row],[Fault Type]]="PM",IF(L54&lt;=(D54-C54),"Yes","No"),"")</f>
        <v/>
      </c>
      <c r="O54" s="62" t="str">
        <f t="shared" si="2"/>
        <v/>
      </c>
      <c r="P5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4" s="63"/>
    </row>
    <row r="55" spans="1:17" ht="15.5" x14ac:dyDescent="0.35">
      <c r="A55" s="58"/>
      <c r="B55" s="55"/>
      <c r="C55" s="56"/>
      <c r="D55" s="56"/>
      <c r="E55" s="13"/>
      <c r="F55" s="55"/>
      <c r="G55" s="55"/>
      <c r="H55" s="57"/>
      <c r="I55" s="18"/>
      <c r="J55" s="13"/>
      <c r="K55" s="60"/>
      <c r="L55" s="14">
        <f t="shared" si="0"/>
        <v>0</v>
      </c>
      <c r="M55" s="167">
        <f t="shared" si="1"/>
        <v>0</v>
      </c>
      <c r="N55" s="61" t="str">
        <f>IF(Table2683234[[#This Row],[Fault Type]]="PM",IF(L55&lt;=(D55-C55),"Yes","No"),"")</f>
        <v/>
      </c>
      <c r="O55" s="62" t="str">
        <f t="shared" si="2"/>
        <v/>
      </c>
      <c r="P5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5" s="63"/>
    </row>
    <row r="56" spans="1:17" ht="15.5" x14ac:dyDescent="0.35">
      <c r="A56" s="58"/>
      <c r="B56" s="55"/>
      <c r="C56" s="56"/>
      <c r="D56" s="56"/>
      <c r="E56" s="13"/>
      <c r="F56" s="55"/>
      <c r="G56" s="55"/>
      <c r="H56" s="57"/>
      <c r="I56" s="18"/>
      <c r="J56" s="13"/>
      <c r="K56" s="60"/>
      <c r="L56" s="14">
        <f t="shared" si="0"/>
        <v>0</v>
      </c>
      <c r="M56" s="167">
        <f t="shared" si="1"/>
        <v>0</v>
      </c>
      <c r="N56" s="61" t="str">
        <f>IF(Table2683234[[#This Row],[Fault Type]]="PM",IF(L56&lt;=(D56-C56),"Yes","No"),"")</f>
        <v/>
      </c>
      <c r="O56" s="62" t="str">
        <f t="shared" si="2"/>
        <v/>
      </c>
      <c r="P5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6" s="63"/>
    </row>
    <row r="57" spans="1:17" ht="15.5" x14ac:dyDescent="0.35">
      <c r="A57" s="58"/>
      <c r="B57" s="55"/>
      <c r="C57" s="56"/>
      <c r="D57" s="56"/>
      <c r="E57" s="13"/>
      <c r="F57" s="55"/>
      <c r="G57" s="55"/>
      <c r="H57" s="57"/>
      <c r="I57" s="18"/>
      <c r="J57" s="13"/>
      <c r="K57" s="60"/>
      <c r="L57" s="14">
        <f t="shared" si="0"/>
        <v>0</v>
      </c>
      <c r="M57" s="167">
        <f t="shared" si="1"/>
        <v>0</v>
      </c>
      <c r="N57" s="61" t="str">
        <f>IF(Table2683234[[#This Row],[Fault Type]]="PM",IF(L57&lt;=(D57-C57),"Yes","No"),"")</f>
        <v/>
      </c>
      <c r="O57" s="62" t="str">
        <f t="shared" si="2"/>
        <v/>
      </c>
      <c r="P5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7" s="63"/>
    </row>
    <row r="58" spans="1:17" ht="15.5" x14ac:dyDescent="0.35">
      <c r="A58" s="58"/>
      <c r="B58" s="55"/>
      <c r="C58" s="56"/>
      <c r="D58" s="56"/>
      <c r="E58" s="13"/>
      <c r="F58" s="55"/>
      <c r="G58" s="55"/>
      <c r="H58" s="57"/>
      <c r="I58" s="18"/>
      <c r="J58" s="13"/>
      <c r="K58" s="60"/>
      <c r="L58" s="14">
        <f t="shared" si="0"/>
        <v>0</v>
      </c>
      <c r="M58" s="167">
        <f t="shared" si="1"/>
        <v>0</v>
      </c>
      <c r="N58" s="61" t="str">
        <f>IF(Table2683234[[#This Row],[Fault Type]]="PM",IF(L58&lt;=(D58-C58),"Yes","No"),"")</f>
        <v/>
      </c>
      <c r="O58" s="62" t="str">
        <f t="shared" si="2"/>
        <v/>
      </c>
      <c r="P5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8" s="63"/>
    </row>
    <row r="59" spans="1:17" ht="15.5" x14ac:dyDescent="0.35">
      <c r="A59" s="58"/>
      <c r="B59" s="55"/>
      <c r="C59" s="56"/>
      <c r="D59" s="56"/>
      <c r="E59" s="13"/>
      <c r="F59" s="55"/>
      <c r="G59" s="55"/>
      <c r="H59" s="57"/>
      <c r="I59" s="18"/>
      <c r="J59" s="13"/>
      <c r="K59" s="60"/>
      <c r="L59" s="14">
        <f t="shared" si="0"/>
        <v>0</v>
      </c>
      <c r="M59" s="167">
        <f t="shared" si="1"/>
        <v>0</v>
      </c>
      <c r="N59" s="61" t="str">
        <f>IF(Table2683234[[#This Row],[Fault Type]]="PM",IF(L59&lt;=(D59-C59),"Yes","No"),"")</f>
        <v/>
      </c>
      <c r="O59" s="62" t="str">
        <f t="shared" si="2"/>
        <v/>
      </c>
      <c r="P5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59" s="63"/>
    </row>
    <row r="60" spans="1:17" ht="15.5" x14ac:dyDescent="0.35">
      <c r="A60" s="58"/>
      <c r="B60" s="55"/>
      <c r="C60" s="56"/>
      <c r="D60" s="56"/>
      <c r="E60" s="13"/>
      <c r="F60" s="55"/>
      <c r="G60" s="55"/>
      <c r="H60" s="57"/>
      <c r="I60" s="18"/>
      <c r="J60" s="13"/>
      <c r="K60" s="60"/>
      <c r="L60" s="14">
        <f t="shared" si="0"/>
        <v>0</v>
      </c>
      <c r="M60" s="167">
        <f t="shared" si="1"/>
        <v>0</v>
      </c>
      <c r="N60" s="61" t="str">
        <f>IF(Table2683234[[#This Row],[Fault Type]]="PM",IF(L60&lt;=(D60-C60),"Yes","No"),"")</f>
        <v/>
      </c>
      <c r="O60" s="62" t="str">
        <f t="shared" si="2"/>
        <v/>
      </c>
      <c r="P6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0" s="63"/>
    </row>
    <row r="61" spans="1:17" ht="15.5" x14ac:dyDescent="0.35">
      <c r="A61" s="58"/>
      <c r="B61" s="55"/>
      <c r="C61" s="56"/>
      <c r="D61" s="56"/>
      <c r="E61" s="13"/>
      <c r="F61" s="55"/>
      <c r="G61" s="55"/>
      <c r="H61" s="57"/>
      <c r="I61" s="18"/>
      <c r="J61" s="13"/>
      <c r="K61" s="60"/>
      <c r="L61" s="14">
        <f t="shared" si="0"/>
        <v>0</v>
      </c>
      <c r="M61" s="167">
        <f t="shared" si="1"/>
        <v>0</v>
      </c>
      <c r="N61" s="61" t="str">
        <f>IF(Table2683234[[#This Row],[Fault Type]]="PM",IF(L61&lt;=(D61-C61),"Yes","No"),"")</f>
        <v/>
      </c>
      <c r="O61" s="62" t="str">
        <f t="shared" si="2"/>
        <v/>
      </c>
      <c r="P6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1" s="63"/>
    </row>
    <row r="62" spans="1:17" ht="15.5" x14ac:dyDescent="0.35">
      <c r="A62" s="58"/>
      <c r="B62" s="55"/>
      <c r="C62" s="56"/>
      <c r="D62" s="56"/>
      <c r="E62" s="13"/>
      <c r="F62" s="55"/>
      <c r="G62" s="55"/>
      <c r="H62" s="57"/>
      <c r="I62" s="18"/>
      <c r="J62" s="13"/>
      <c r="K62" s="60"/>
      <c r="L62" s="14">
        <f t="shared" si="0"/>
        <v>0</v>
      </c>
      <c r="M62" s="167">
        <f t="shared" si="1"/>
        <v>0</v>
      </c>
      <c r="N62" s="61" t="str">
        <f>IF(Table2683234[[#This Row],[Fault Type]]="PM",IF(L62&lt;=(D62-C62),"Yes","No"),"")</f>
        <v/>
      </c>
      <c r="O62" s="62" t="str">
        <f t="shared" si="2"/>
        <v/>
      </c>
      <c r="P6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2" s="63"/>
    </row>
    <row r="63" spans="1:17" ht="15.5" x14ac:dyDescent="0.35">
      <c r="A63" s="58"/>
      <c r="B63" s="55"/>
      <c r="C63" s="56"/>
      <c r="D63" s="56"/>
      <c r="E63" s="13"/>
      <c r="F63" s="55"/>
      <c r="G63" s="55"/>
      <c r="H63" s="57"/>
      <c r="I63" s="18"/>
      <c r="J63" s="13"/>
      <c r="K63" s="60"/>
      <c r="L63" s="14">
        <f t="shared" si="0"/>
        <v>0</v>
      </c>
      <c r="M63" s="167">
        <f t="shared" si="1"/>
        <v>0</v>
      </c>
      <c r="N63" s="61" t="str">
        <f>IF(Table2683234[[#This Row],[Fault Type]]="PM",IF(L63&lt;=(D63-C63),"Yes","No"),"")</f>
        <v/>
      </c>
      <c r="O63" s="62" t="str">
        <f t="shared" si="2"/>
        <v/>
      </c>
      <c r="P6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3" s="63"/>
    </row>
    <row r="64" spans="1:17" ht="15.5" x14ac:dyDescent="0.35">
      <c r="A64" s="58"/>
      <c r="B64" s="55"/>
      <c r="C64" s="56"/>
      <c r="D64" s="56"/>
      <c r="E64" s="13"/>
      <c r="F64" s="55"/>
      <c r="G64" s="55"/>
      <c r="H64" s="57"/>
      <c r="I64" s="18"/>
      <c r="J64" s="13"/>
      <c r="K64" s="60"/>
      <c r="L64" s="14">
        <f t="shared" si="0"/>
        <v>0</v>
      </c>
      <c r="M64" s="167">
        <f t="shared" si="1"/>
        <v>0</v>
      </c>
      <c r="N64" s="61" t="str">
        <f>IF(Table2683234[[#This Row],[Fault Type]]="PM",IF(L64&lt;=(D64-C64),"Yes","No"),"")</f>
        <v/>
      </c>
      <c r="O64" s="62" t="str">
        <f t="shared" si="2"/>
        <v/>
      </c>
      <c r="P6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4" s="63"/>
    </row>
    <row r="65" spans="1:17" ht="15.5" x14ac:dyDescent="0.35">
      <c r="A65" s="58"/>
      <c r="B65" s="55"/>
      <c r="C65" s="56"/>
      <c r="D65" s="56"/>
      <c r="E65" s="13"/>
      <c r="F65" s="55"/>
      <c r="G65" s="55"/>
      <c r="H65" s="57"/>
      <c r="I65" s="18"/>
      <c r="J65" s="13"/>
      <c r="K65" s="60"/>
      <c r="L65" s="14">
        <f t="shared" si="0"/>
        <v>0</v>
      </c>
      <c r="M65" s="167">
        <f t="shared" si="1"/>
        <v>0</v>
      </c>
      <c r="N65" s="61" t="str">
        <f>IF(Table2683234[[#This Row],[Fault Type]]="PM",IF(L65&lt;=(D65-C65),"Yes","No"),"")</f>
        <v/>
      </c>
      <c r="O65" s="62" t="str">
        <f t="shared" si="2"/>
        <v/>
      </c>
      <c r="P6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5" s="63"/>
    </row>
    <row r="66" spans="1:17" ht="15.5" x14ac:dyDescent="0.35">
      <c r="A66" s="58"/>
      <c r="B66" s="55"/>
      <c r="C66" s="56"/>
      <c r="D66" s="56"/>
      <c r="E66" s="13"/>
      <c r="F66" s="55"/>
      <c r="G66" s="55"/>
      <c r="H66" s="57"/>
      <c r="I66" s="18"/>
      <c r="J66" s="13"/>
      <c r="K66" s="60"/>
      <c r="L66" s="14">
        <f t="shared" si="0"/>
        <v>0</v>
      </c>
      <c r="M66" s="167">
        <f t="shared" si="1"/>
        <v>0</v>
      </c>
      <c r="N66" s="61" t="str">
        <f>IF(Table2683234[[#This Row],[Fault Type]]="PM",IF(L66&lt;=(D66-C66),"Yes","No"),"")</f>
        <v/>
      </c>
      <c r="O66" s="62" t="str">
        <f t="shared" si="2"/>
        <v/>
      </c>
      <c r="P6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6" s="63"/>
    </row>
    <row r="67" spans="1:17" ht="15.5" x14ac:dyDescent="0.35">
      <c r="A67" s="58"/>
      <c r="B67" s="55"/>
      <c r="C67" s="56"/>
      <c r="D67" s="56"/>
      <c r="E67" s="13"/>
      <c r="F67" s="55"/>
      <c r="G67" s="55"/>
      <c r="H67" s="57"/>
      <c r="I67" s="18"/>
      <c r="J67" s="13"/>
      <c r="K67" s="60"/>
      <c r="L67" s="14">
        <f t="shared" ref="L67:L80" si="3">J67-E67</f>
        <v>0</v>
      </c>
      <c r="M67" s="167">
        <f t="shared" ref="M67:M80" si="4">L67*F67</f>
        <v>0</v>
      </c>
      <c r="N67" s="61" t="str">
        <f>IF(Table2683234[[#This Row],[Fault Type]]="PM",IF(L67&lt;=(D67-C67),"Yes","No"),"")</f>
        <v/>
      </c>
      <c r="O67" s="62" t="str">
        <f t="shared" ref="O67:O80" si="5">IF(N67="No",(L67-(D67-C67)),"")</f>
        <v/>
      </c>
      <c r="P6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7" s="63"/>
    </row>
    <row r="68" spans="1:17" ht="15.5" x14ac:dyDescent="0.35">
      <c r="A68" s="58"/>
      <c r="B68" s="55"/>
      <c r="C68" s="56"/>
      <c r="D68" s="56"/>
      <c r="E68" s="13"/>
      <c r="F68" s="55"/>
      <c r="G68" s="55"/>
      <c r="H68" s="57"/>
      <c r="I68" s="18"/>
      <c r="J68" s="13"/>
      <c r="K68" s="60"/>
      <c r="L68" s="14">
        <f t="shared" si="3"/>
        <v>0</v>
      </c>
      <c r="M68" s="167">
        <f t="shared" si="4"/>
        <v>0</v>
      </c>
      <c r="N68" s="61" t="str">
        <f>IF(Table2683234[[#This Row],[Fault Type]]="PM",IF(L68&lt;=(D68-C68),"Yes","No"),"")</f>
        <v/>
      </c>
      <c r="O68" s="62" t="str">
        <f t="shared" si="5"/>
        <v/>
      </c>
      <c r="P6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8" s="63"/>
    </row>
    <row r="69" spans="1:17" ht="15.5" x14ac:dyDescent="0.35">
      <c r="A69" s="58"/>
      <c r="B69" s="55"/>
      <c r="C69" s="56"/>
      <c r="D69" s="56"/>
      <c r="E69" s="13"/>
      <c r="F69" s="55"/>
      <c r="G69" s="55"/>
      <c r="H69" s="57"/>
      <c r="I69" s="18"/>
      <c r="J69" s="13"/>
      <c r="K69" s="60"/>
      <c r="L69" s="14">
        <f t="shared" si="3"/>
        <v>0</v>
      </c>
      <c r="M69" s="167">
        <f t="shared" si="4"/>
        <v>0</v>
      </c>
      <c r="N69" s="61" t="str">
        <f>IF(Table2683234[[#This Row],[Fault Type]]="PM",IF(L69&lt;=(D69-C69),"Yes","No"),"")</f>
        <v/>
      </c>
      <c r="O69" s="62" t="str">
        <f t="shared" si="5"/>
        <v/>
      </c>
      <c r="P6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69" s="63"/>
    </row>
    <row r="70" spans="1:17" ht="15.5" x14ac:dyDescent="0.35">
      <c r="A70" s="58"/>
      <c r="B70" s="55"/>
      <c r="C70" s="56"/>
      <c r="D70" s="56"/>
      <c r="E70" s="13"/>
      <c r="F70" s="55"/>
      <c r="G70" s="55"/>
      <c r="H70" s="57"/>
      <c r="I70" s="18"/>
      <c r="J70" s="13"/>
      <c r="K70" s="60"/>
      <c r="L70" s="14">
        <f t="shared" si="3"/>
        <v>0</v>
      </c>
      <c r="M70" s="167">
        <f t="shared" si="4"/>
        <v>0</v>
      </c>
      <c r="N70" s="61" t="str">
        <f>IF(Table2683234[[#This Row],[Fault Type]]="PM",IF(L70&lt;=(D70-C70),"Yes","No"),"")</f>
        <v/>
      </c>
      <c r="O70" s="62" t="str">
        <f t="shared" si="5"/>
        <v/>
      </c>
      <c r="P7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0" s="63"/>
    </row>
    <row r="71" spans="1:17" ht="15.5" x14ac:dyDescent="0.35">
      <c r="A71" s="58"/>
      <c r="B71" s="55"/>
      <c r="C71" s="56"/>
      <c r="D71" s="56"/>
      <c r="E71" s="13"/>
      <c r="F71" s="55"/>
      <c r="G71" s="55"/>
      <c r="H71" s="57"/>
      <c r="I71" s="18"/>
      <c r="J71" s="13"/>
      <c r="K71" s="60"/>
      <c r="L71" s="14">
        <f t="shared" si="3"/>
        <v>0</v>
      </c>
      <c r="M71" s="167">
        <f t="shared" si="4"/>
        <v>0</v>
      </c>
      <c r="N71" s="61" t="str">
        <f>IF(Table2683234[[#This Row],[Fault Type]]="PM",IF(L71&lt;=(D71-C71),"Yes","No"),"")</f>
        <v/>
      </c>
      <c r="O71" s="62" t="str">
        <f t="shared" si="5"/>
        <v/>
      </c>
      <c r="P71"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1" s="63"/>
    </row>
    <row r="72" spans="1:17" ht="15.5" x14ac:dyDescent="0.35">
      <c r="A72" s="58"/>
      <c r="B72" s="55"/>
      <c r="C72" s="56"/>
      <c r="D72" s="56"/>
      <c r="E72" s="13"/>
      <c r="F72" s="55"/>
      <c r="G72" s="55"/>
      <c r="H72" s="57"/>
      <c r="I72" s="18"/>
      <c r="J72" s="13"/>
      <c r="K72" s="60"/>
      <c r="L72" s="14">
        <f t="shared" si="3"/>
        <v>0</v>
      </c>
      <c r="M72" s="167">
        <f t="shared" si="4"/>
        <v>0</v>
      </c>
      <c r="N72" s="61" t="str">
        <f>IF(Table2683234[[#This Row],[Fault Type]]="PM",IF(L72&lt;=(D72-C72),"Yes","No"),"")</f>
        <v/>
      </c>
      <c r="O72" s="62" t="str">
        <f t="shared" si="5"/>
        <v/>
      </c>
      <c r="P72"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2" s="63"/>
    </row>
    <row r="73" spans="1:17" ht="15.5" x14ac:dyDescent="0.35">
      <c r="A73" s="58"/>
      <c r="B73" s="55"/>
      <c r="C73" s="56"/>
      <c r="D73" s="56"/>
      <c r="E73" s="13"/>
      <c r="F73" s="55"/>
      <c r="G73" s="55"/>
      <c r="H73" s="57"/>
      <c r="I73" s="18"/>
      <c r="J73" s="13"/>
      <c r="K73" s="60"/>
      <c r="L73" s="14">
        <f t="shared" si="3"/>
        <v>0</v>
      </c>
      <c r="M73" s="167">
        <f t="shared" si="4"/>
        <v>0</v>
      </c>
      <c r="N73" s="61" t="str">
        <f>IF(Table2683234[[#This Row],[Fault Type]]="PM",IF(L73&lt;=(D73-C73),"Yes","No"),"")</f>
        <v/>
      </c>
      <c r="O73" s="62" t="str">
        <f t="shared" si="5"/>
        <v/>
      </c>
      <c r="P73"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3" s="63"/>
    </row>
    <row r="74" spans="1:17" ht="15.5" x14ac:dyDescent="0.35">
      <c r="A74" s="58"/>
      <c r="B74" s="55"/>
      <c r="C74" s="56"/>
      <c r="D74" s="56"/>
      <c r="E74" s="13"/>
      <c r="F74" s="55"/>
      <c r="G74" s="55"/>
      <c r="H74" s="57"/>
      <c r="I74" s="18"/>
      <c r="J74" s="13"/>
      <c r="K74" s="60"/>
      <c r="L74" s="14">
        <f t="shared" si="3"/>
        <v>0</v>
      </c>
      <c r="M74" s="167">
        <f t="shared" si="4"/>
        <v>0</v>
      </c>
      <c r="N74" s="61" t="str">
        <f>IF(Table2683234[[#This Row],[Fault Type]]="PM",IF(L74&lt;=(D74-C74),"Yes","No"),"")</f>
        <v/>
      </c>
      <c r="O74" s="62" t="str">
        <f t="shared" si="5"/>
        <v/>
      </c>
      <c r="P74"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4" s="63"/>
    </row>
    <row r="75" spans="1:17" ht="15.5" x14ac:dyDescent="0.35">
      <c r="A75" s="58"/>
      <c r="B75" s="55"/>
      <c r="C75" s="56"/>
      <c r="D75" s="56"/>
      <c r="E75" s="13"/>
      <c r="F75" s="55"/>
      <c r="G75" s="55"/>
      <c r="H75" s="57"/>
      <c r="I75" s="18"/>
      <c r="J75" s="13"/>
      <c r="K75" s="60"/>
      <c r="L75" s="14">
        <f t="shared" si="3"/>
        <v>0</v>
      </c>
      <c r="M75" s="167">
        <f t="shared" si="4"/>
        <v>0</v>
      </c>
      <c r="N75" s="61" t="str">
        <f>IF(Table2683234[[#This Row],[Fault Type]]="PM",IF(L75&lt;=(D75-C75),"Yes","No"),"")</f>
        <v/>
      </c>
      <c r="O75" s="62" t="str">
        <f t="shared" si="5"/>
        <v/>
      </c>
      <c r="P75"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5" s="63"/>
    </row>
    <row r="76" spans="1:17" ht="15.5" x14ac:dyDescent="0.35">
      <c r="A76" s="58"/>
      <c r="B76" s="55"/>
      <c r="C76" s="56"/>
      <c r="D76" s="56"/>
      <c r="E76" s="13"/>
      <c r="F76" s="55"/>
      <c r="G76" s="55"/>
      <c r="H76" s="57"/>
      <c r="I76" s="18"/>
      <c r="J76" s="13"/>
      <c r="K76" s="60"/>
      <c r="L76" s="14">
        <f t="shared" si="3"/>
        <v>0</v>
      </c>
      <c r="M76" s="167">
        <f t="shared" si="4"/>
        <v>0</v>
      </c>
      <c r="N76" s="61" t="str">
        <f>IF(Table2683234[[#This Row],[Fault Type]]="PM",IF(L76&lt;=(D76-C76),"Yes","No"),"")</f>
        <v/>
      </c>
      <c r="O76" s="62" t="str">
        <f t="shared" si="5"/>
        <v/>
      </c>
      <c r="P76"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6" s="63"/>
    </row>
    <row r="77" spans="1:17" ht="15.5" x14ac:dyDescent="0.35">
      <c r="A77" s="58"/>
      <c r="B77" s="55"/>
      <c r="C77" s="56"/>
      <c r="D77" s="56"/>
      <c r="E77" s="13"/>
      <c r="F77" s="55"/>
      <c r="G77" s="55"/>
      <c r="H77" s="57"/>
      <c r="I77" s="18"/>
      <c r="J77" s="13"/>
      <c r="K77" s="60"/>
      <c r="L77" s="14">
        <f t="shared" si="3"/>
        <v>0</v>
      </c>
      <c r="M77" s="167">
        <f t="shared" si="4"/>
        <v>0</v>
      </c>
      <c r="N77" s="61" t="str">
        <f>IF(Table2683234[[#This Row],[Fault Type]]="PM",IF(L77&lt;=(D77-C77),"Yes","No"),"")</f>
        <v/>
      </c>
      <c r="O77" s="62" t="str">
        <f t="shared" si="5"/>
        <v/>
      </c>
      <c r="P77"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7" s="63"/>
    </row>
    <row r="78" spans="1:17" ht="15.5" x14ac:dyDescent="0.35">
      <c r="A78" s="58"/>
      <c r="B78" s="55"/>
      <c r="C78" s="56"/>
      <c r="D78" s="56"/>
      <c r="E78" s="13"/>
      <c r="F78" s="55"/>
      <c r="G78" s="55"/>
      <c r="H78" s="57"/>
      <c r="I78" s="18"/>
      <c r="J78" s="13"/>
      <c r="K78" s="60"/>
      <c r="L78" s="14">
        <f t="shared" si="3"/>
        <v>0</v>
      </c>
      <c r="M78" s="167">
        <f t="shared" si="4"/>
        <v>0</v>
      </c>
      <c r="N78" s="61" t="str">
        <f>IF(Table2683234[[#This Row],[Fault Type]]="PM",IF(L78&lt;=(D78-C78),"Yes","No"),"")</f>
        <v/>
      </c>
      <c r="O78" s="62" t="str">
        <f t="shared" si="5"/>
        <v/>
      </c>
      <c r="P78"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8" s="63"/>
    </row>
    <row r="79" spans="1:17" ht="15.5" x14ac:dyDescent="0.35">
      <c r="A79" s="58"/>
      <c r="B79" s="55"/>
      <c r="C79" s="56"/>
      <c r="D79" s="56"/>
      <c r="E79" s="13"/>
      <c r="F79" s="55"/>
      <c r="G79" s="55"/>
      <c r="H79" s="57"/>
      <c r="I79" s="18"/>
      <c r="J79" s="13"/>
      <c r="K79" s="60"/>
      <c r="L79" s="14">
        <f t="shared" si="3"/>
        <v>0</v>
      </c>
      <c r="M79" s="167">
        <f t="shared" si="4"/>
        <v>0</v>
      </c>
      <c r="N79" s="61" t="str">
        <f>IF(Table2683234[[#This Row],[Fault Type]]="PM",IF(L79&lt;=(D79-C79),"Yes","No"),"")</f>
        <v/>
      </c>
      <c r="O79" s="62" t="str">
        <f t="shared" si="5"/>
        <v/>
      </c>
      <c r="P79"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79" s="63"/>
    </row>
    <row r="80" spans="1:17" ht="15.5" x14ac:dyDescent="0.35">
      <c r="A80" s="58"/>
      <c r="B80" s="55"/>
      <c r="C80" s="56"/>
      <c r="D80" s="56"/>
      <c r="E80" s="13"/>
      <c r="F80" s="55"/>
      <c r="G80" s="55"/>
      <c r="H80" s="57"/>
      <c r="I80" s="18"/>
      <c r="J80" s="13"/>
      <c r="K80" s="60"/>
      <c r="L80" s="14">
        <f t="shared" si="3"/>
        <v>0</v>
      </c>
      <c r="M80" s="167">
        <f t="shared" si="4"/>
        <v>0</v>
      </c>
      <c r="N80" s="61" t="str">
        <f>IF(Table2683234[[#This Row],[Fault Type]]="PM",IF(L80&lt;=(D80-C80),"Yes","No"),"")</f>
        <v/>
      </c>
      <c r="O80" s="62" t="str">
        <f t="shared" si="5"/>
        <v/>
      </c>
      <c r="P80" s="166" t="str">
        <f>IF(AND(Table2683234[[#This Row],[Name of Feeder]]&lt;&gt;"",OR(Table2683234[[#This Row],[Fault Type]]="TL",Table2683234[[#This Row],[Fault Type]]="TS",Table2683234[[#This Row],[Fault Type]]="UF",Table2683234[[#This Row],[Fault Type]]="SE")),(IF(AND(VLOOKUP(Table2683234[[#This Row],[Name of Feeder]],Main!D:E,2,0)="URBAN",ISNUMBER(SEARCH("33KV",Table2683234[[#This Row],[Name of Feeder]]))),IF(AND(Table2683234[[#This Row],[Outage Duration]]&gt;0,Table2683234[[#This Row],[Outage Duration]]&lt;=0.25),"Yes","No"),IF(AND(VLOOKUP(Table2683234[[#This Row],[Name of Feeder]],Main!D:E,2,0)="RURAL",ISNUMBER(SEARCH("33KV",Table2683234[[#This Row],[Name of Feeder]]))),IF(AND(Table2683234[[#This Row],[Outage Duration]]&gt;0,Table2683234[[#This Row],[Outage Duration]]&lt;=0.33),"Yes","No"),IF(AND(VLOOKUP(Table2683234[[#This Row],[Name of Feeder]],Main!D:E,2,0)="RURAL",ISNUMBER(SEARCH("11KV",Table2683234[[#This Row],[Name of Feeder]]))),IF(AND(Table2683234[[#This Row],[Outage Duration]]&gt;0,Table2683234[[#This Row],[Outage Duration]]&lt;=0.17),"Yes","No"),IF(AND(VLOOKUP(Table2683234[[#This Row],[Name of Feeder]],Main!D:E,2,0)="URBAN",ISNUMBER(SEARCH("11KV",Table2683234[[#This Row],[Name of Feeder]]))),IF(AND(Table2683234[[#This Row],[Outage Duration]]&gt;0,Table2683234[[#This Row],[Outage Duration]]&lt;=0.17),"Yes","No"),""))))),"")</f>
        <v/>
      </c>
      <c r="Q80"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2200-000000000000}">
          <x14:formula1>
            <xm:f>Main!$F$226:$F$228</xm:f>
          </x14:formula1>
          <xm:sqref>I2:I80</xm:sqref>
        </x14:dataValidation>
        <x14:dataValidation type="list" allowBlank="1" showInputMessage="1" showErrorMessage="1" xr:uid="{00000000-0002-0000-2200-000001000000}">
          <x14:formula1>
            <xm:f>Main!$D$2:$D$196</xm:f>
          </x14:formula1>
          <xm:sqref>A2:A80</xm:sqref>
        </x14:dataValidation>
        <x14:dataValidation type="list" allowBlank="1" showInputMessage="1" showErrorMessage="1" xr:uid="{00000000-0002-0000-2200-000002000000}">
          <x14:formula1>
            <xm:f>Main!F$222:F$225</xm:f>
          </x14:formula1>
          <xm:sqref>G2:G80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227"/>
  <sheetViews>
    <sheetView topLeftCell="D1" zoomScale="60" zoomScaleNormal="60" workbookViewId="0">
      <selection activeCell="R23" sqref="R23"/>
    </sheetView>
  </sheetViews>
  <sheetFormatPr defaultRowHeight="14.5" x14ac:dyDescent="0.35"/>
  <cols>
    <col min="1" max="1" width="17.453125" hidden="1" customWidth="1"/>
    <col min="2" max="2" width="38" style="1" hidden="1" customWidth="1"/>
    <col min="3" max="3" width="22.54296875" style="1" hidden="1" customWidth="1"/>
    <col min="4" max="4" width="31.453125" style="1" bestFit="1" customWidth="1"/>
    <col min="5" max="6" width="13.81640625" style="1" hidden="1" customWidth="1"/>
    <col min="7" max="7" width="12.1796875" style="1" hidden="1" customWidth="1"/>
    <col min="8" max="8" width="17" style="1" hidden="1" customWidth="1"/>
    <col min="9" max="9" width="22.453125" style="11" hidden="1" customWidth="1"/>
    <col min="10" max="10" width="21.453125" hidden="1" customWidth="1"/>
    <col min="11" max="11" width="21.453125" style="157" hidden="1" customWidth="1"/>
    <col min="12" max="12" width="21.453125" style="116" hidden="1" customWidth="1"/>
    <col min="13" max="26" width="13.453125" customWidth="1"/>
    <col min="27" max="27" width="13.54296875" customWidth="1"/>
    <col min="28" max="28" width="14.54296875" customWidth="1"/>
    <col min="29" max="29" width="13.7265625" customWidth="1"/>
    <col min="30" max="30" width="14.90625" customWidth="1"/>
    <col min="31" max="31" width="15.26953125" customWidth="1"/>
    <col min="32" max="32" width="15.54296875" customWidth="1"/>
    <col min="33" max="33" width="12.54296875" customWidth="1"/>
    <col min="34" max="34" width="13.453125" customWidth="1"/>
    <col min="35" max="37" width="16.1796875" customWidth="1"/>
    <col min="38" max="38" width="14.6328125" customWidth="1"/>
    <col min="39" max="39" width="13.08984375" customWidth="1"/>
    <col min="40" max="40" width="13.36328125" customWidth="1"/>
    <col min="41" max="41" width="16.1796875" customWidth="1"/>
    <col min="42" max="42" width="12.54296875" customWidth="1"/>
    <col min="43" max="43" width="15" customWidth="1"/>
  </cols>
  <sheetData>
    <row r="1" spans="1:43" s="2" customFormat="1" ht="35.25" customHeight="1" x14ac:dyDescent="0.35">
      <c r="A1" s="10" t="s">
        <v>0</v>
      </c>
      <c r="B1" s="10" t="s">
        <v>16</v>
      </c>
      <c r="C1" s="10" t="s">
        <v>214</v>
      </c>
      <c r="D1" s="10" t="s">
        <v>1</v>
      </c>
      <c r="E1" s="10" t="s">
        <v>483</v>
      </c>
      <c r="F1" s="10" t="s">
        <v>484</v>
      </c>
      <c r="G1" s="10" t="s">
        <v>490</v>
      </c>
      <c r="H1" s="10" t="s">
        <v>305</v>
      </c>
      <c r="I1" s="20" t="s">
        <v>301</v>
      </c>
      <c r="J1" s="20" t="s">
        <v>366</v>
      </c>
      <c r="K1" s="120" t="s">
        <v>486</v>
      </c>
      <c r="L1" s="120" t="s">
        <v>349</v>
      </c>
      <c r="M1" s="2" t="s">
        <v>344</v>
      </c>
      <c r="N1" s="2" t="s">
        <v>271</v>
      </c>
      <c r="O1" s="2" t="s">
        <v>272</v>
      </c>
      <c r="P1" s="2" t="s">
        <v>273</v>
      </c>
      <c r="Q1" s="2" t="s">
        <v>274</v>
      </c>
      <c r="R1" s="2" t="s">
        <v>275</v>
      </c>
      <c r="S1" s="2" t="s">
        <v>276</v>
      </c>
      <c r="T1" s="2" t="s">
        <v>277</v>
      </c>
      <c r="U1" s="2" t="s">
        <v>278</v>
      </c>
      <c r="V1" s="2" t="s">
        <v>279</v>
      </c>
      <c r="W1" s="2" t="s">
        <v>280</v>
      </c>
      <c r="X1" s="2" t="s">
        <v>281</v>
      </c>
      <c r="Y1" s="2" t="s">
        <v>282</v>
      </c>
      <c r="Z1" s="2" t="s">
        <v>283</v>
      </c>
      <c r="AA1" s="2" t="s">
        <v>284</v>
      </c>
      <c r="AB1" s="2" t="s">
        <v>285</v>
      </c>
      <c r="AC1" s="2" t="s">
        <v>286</v>
      </c>
      <c r="AD1" s="2" t="s">
        <v>287</v>
      </c>
      <c r="AE1" s="2" t="s">
        <v>288</v>
      </c>
      <c r="AF1" s="2" t="s">
        <v>289</v>
      </c>
      <c r="AG1" s="2" t="s">
        <v>290</v>
      </c>
      <c r="AH1" s="2" t="s">
        <v>291</v>
      </c>
      <c r="AI1" s="2" t="s">
        <v>292</v>
      </c>
      <c r="AJ1" s="2" t="s">
        <v>293</v>
      </c>
      <c r="AK1" s="2" t="s">
        <v>294</v>
      </c>
      <c r="AL1" s="2" t="s">
        <v>295</v>
      </c>
      <c r="AM1" s="2" t="s">
        <v>296</v>
      </c>
      <c r="AN1" s="2" t="s">
        <v>297</v>
      </c>
      <c r="AO1" s="2" t="s">
        <v>298</v>
      </c>
      <c r="AP1" s="2" t="s">
        <v>299</v>
      </c>
      <c r="AQ1" s="2" t="s">
        <v>300</v>
      </c>
    </row>
    <row r="2" spans="1:43" ht="17.25" customHeight="1" x14ac:dyDescent="0.35">
      <c r="A2" s="169" t="s">
        <v>170</v>
      </c>
      <c r="B2" s="170" t="s">
        <v>6</v>
      </c>
      <c r="C2" s="170" t="s">
        <v>215</v>
      </c>
      <c r="D2" s="169" t="s">
        <v>17</v>
      </c>
      <c r="E2" s="169" t="s">
        <v>457</v>
      </c>
      <c r="F2" s="121">
        <v>0.83333333333333337</v>
      </c>
      <c r="G2" s="195">
        <f>Table436[[#This Row],[Min Daily Hours]]*24</f>
        <v>20</v>
      </c>
      <c r="H2" s="76">
        <v>19.399999999999999</v>
      </c>
      <c r="I2" s="22">
        <f>Table4[[#This Row],[Available Hours for Service]]</f>
        <v>44812.555555555562</v>
      </c>
      <c r="J2" s="65">
        <v>60100</v>
      </c>
      <c r="K2" s="123">
        <f>Table436[[#This Row],[Min Daily Hours]]*J$199</f>
        <v>25</v>
      </c>
      <c r="L2" s="123">
        <f>SUM(Table436[[#This Row],[1]:[31]])</f>
        <v>26.916666666666668</v>
      </c>
      <c r="M2" s="121">
        <v>0.66666666666666663</v>
      </c>
      <c r="N2" s="121">
        <v>0.79166666666666663</v>
      </c>
      <c r="O2" s="121">
        <v>0.79166666666666663</v>
      </c>
      <c r="P2" s="121">
        <v>0.875</v>
      </c>
      <c r="Q2" s="121">
        <v>1</v>
      </c>
      <c r="R2" s="121">
        <v>0.91666666666666663</v>
      </c>
      <c r="S2" s="121">
        <v>0.95833333333333337</v>
      </c>
      <c r="T2" s="121">
        <v>0.95833333333333337</v>
      </c>
      <c r="U2" s="121">
        <v>0.91666666666666663</v>
      </c>
      <c r="V2" s="121">
        <v>1</v>
      </c>
      <c r="W2" s="121">
        <v>1</v>
      </c>
      <c r="X2" s="121">
        <v>0.875</v>
      </c>
      <c r="Y2" s="121">
        <v>0.91666666666666663</v>
      </c>
      <c r="Z2" s="121">
        <v>1</v>
      </c>
      <c r="AA2" s="121">
        <v>1</v>
      </c>
      <c r="AB2" s="121">
        <v>1</v>
      </c>
      <c r="AC2" s="121">
        <v>0.91666666666666663</v>
      </c>
      <c r="AD2" s="22">
        <v>0.79166666666666663</v>
      </c>
      <c r="AE2" s="22">
        <v>0.41666666666666669</v>
      </c>
      <c r="AF2" s="22">
        <v>0.33333333333333331</v>
      </c>
      <c r="AG2" s="22">
        <v>1</v>
      </c>
      <c r="AH2" s="215">
        <v>0.95833333333333337</v>
      </c>
      <c r="AI2" s="22">
        <v>0.58333333333333337</v>
      </c>
      <c r="AJ2" s="121">
        <v>1</v>
      </c>
      <c r="AK2" s="22">
        <v>0.66666666666666663</v>
      </c>
      <c r="AL2" s="22">
        <v>0.91666666666666663</v>
      </c>
      <c r="AM2" s="22">
        <v>0.75</v>
      </c>
      <c r="AN2" s="22">
        <v>1</v>
      </c>
      <c r="AO2" s="22">
        <v>1</v>
      </c>
      <c r="AP2" s="22">
        <v>1</v>
      </c>
      <c r="AQ2" s="22">
        <v>0.91666666666666663</v>
      </c>
    </row>
    <row r="3" spans="1:43" ht="17.25" customHeight="1" x14ac:dyDescent="0.35">
      <c r="A3" s="169" t="s">
        <v>170</v>
      </c>
      <c r="B3" s="170" t="s">
        <v>6</v>
      </c>
      <c r="C3" s="170" t="s">
        <v>310</v>
      </c>
      <c r="D3" s="169" t="s">
        <v>18</v>
      </c>
      <c r="E3" s="169" t="s">
        <v>457</v>
      </c>
      <c r="F3" s="121">
        <v>0.83333333333333337</v>
      </c>
      <c r="G3" s="195">
        <f>Table436[[#This Row],[Min Daily Hours]]*24</f>
        <v>20</v>
      </c>
      <c r="H3" s="76">
        <v>18.3</v>
      </c>
      <c r="I3" s="22">
        <f>Table4[[#This Row],[Available Hours for Service]]</f>
        <v>29.369444444440887</v>
      </c>
      <c r="J3" s="65">
        <v>51000</v>
      </c>
      <c r="K3" s="123">
        <f>Table436[[#This Row],[Min Daily Hours]]*J$199</f>
        <v>25</v>
      </c>
      <c r="L3" s="123">
        <f>SUM(Table436[[#This Row],[1]:[31]])</f>
        <v>28.791666666666661</v>
      </c>
      <c r="M3" s="121">
        <v>0.91666666666666663</v>
      </c>
      <c r="N3" s="121">
        <v>0.95833333333333337</v>
      </c>
      <c r="O3" s="121">
        <v>1</v>
      </c>
      <c r="P3" s="121">
        <v>0.875</v>
      </c>
      <c r="Q3" s="121">
        <v>1</v>
      </c>
      <c r="R3" s="121">
        <v>1</v>
      </c>
      <c r="S3" s="121">
        <v>1</v>
      </c>
      <c r="T3" s="121">
        <v>1</v>
      </c>
      <c r="U3" s="121">
        <v>0.95833333333333337</v>
      </c>
      <c r="V3" s="121">
        <v>1</v>
      </c>
      <c r="W3" s="121">
        <v>1</v>
      </c>
      <c r="X3" s="121">
        <v>0.875</v>
      </c>
      <c r="Y3" s="121">
        <v>1</v>
      </c>
      <c r="Z3" s="121">
        <v>1</v>
      </c>
      <c r="AA3" s="121">
        <v>1</v>
      </c>
      <c r="AB3" s="121">
        <v>1</v>
      </c>
      <c r="AC3" s="121">
        <v>0.66666666666666663</v>
      </c>
      <c r="AD3" s="22">
        <v>0.83333333333333337</v>
      </c>
      <c r="AE3" s="22">
        <v>0.95833333333333337</v>
      </c>
      <c r="AF3" s="22">
        <v>0.58333333333333337</v>
      </c>
      <c r="AG3" s="22">
        <v>1</v>
      </c>
      <c r="AH3" s="215">
        <v>1</v>
      </c>
      <c r="AI3" s="22">
        <v>0.58333333333333337</v>
      </c>
      <c r="AJ3" s="22">
        <v>1</v>
      </c>
      <c r="AK3" s="22">
        <v>0.91666666666666663</v>
      </c>
      <c r="AL3" s="22">
        <v>0.95833333333333337</v>
      </c>
      <c r="AM3" s="22">
        <v>1</v>
      </c>
      <c r="AN3" s="22">
        <v>0.875</v>
      </c>
      <c r="AO3" s="22">
        <v>0.875</v>
      </c>
      <c r="AP3" s="22">
        <v>0.95833333333333337</v>
      </c>
      <c r="AQ3" s="22">
        <v>1</v>
      </c>
    </row>
    <row r="4" spans="1:43" ht="17.25" customHeight="1" x14ac:dyDescent="0.35">
      <c r="A4" s="169" t="s">
        <v>170</v>
      </c>
      <c r="B4" s="170" t="s">
        <v>6</v>
      </c>
      <c r="C4" s="170" t="s">
        <v>215</v>
      </c>
      <c r="D4" s="169" t="s">
        <v>24</v>
      </c>
      <c r="E4" s="169" t="s">
        <v>457</v>
      </c>
      <c r="F4" s="121">
        <v>0.83333333333333337</v>
      </c>
      <c r="G4" s="195">
        <f>Table436[[#This Row],[Min Daily Hours]]*24</f>
        <v>20</v>
      </c>
      <c r="H4" s="76">
        <v>19.5</v>
      </c>
      <c r="I4" s="22">
        <f>Table4[[#This Row],[Available Hours for Service]]</f>
        <v>30</v>
      </c>
      <c r="J4" s="65">
        <v>68400</v>
      </c>
      <c r="K4" s="123">
        <f>Table436[[#This Row],[Min Daily Hours]]*J$199</f>
        <v>25</v>
      </c>
      <c r="L4" s="123">
        <f>SUM(Table436[[#This Row],[1]:[31]])</f>
        <v>0</v>
      </c>
      <c r="M4" s="121"/>
      <c r="N4" s="121"/>
      <c r="O4" s="121"/>
      <c r="P4" s="121"/>
      <c r="Q4" s="121"/>
      <c r="R4" s="121"/>
      <c r="S4" s="121"/>
      <c r="T4" s="121"/>
      <c r="U4" s="121"/>
      <c r="V4" s="121"/>
      <c r="W4" s="121"/>
      <c r="X4" s="121"/>
      <c r="Y4" s="121"/>
      <c r="Z4" s="121"/>
      <c r="AA4" s="121"/>
      <c r="AB4" s="121"/>
      <c r="AC4" s="121"/>
      <c r="AD4" s="22"/>
      <c r="AE4" s="22"/>
      <c r="AF4" s="22"/>
      <c r="AG4" s="22"/>
      <c r="AH4" s="215"/>
      <c r="AI4" s="22"/>
      <c r="AJ4" s="22"/>
      <c r="AK4" s="22"/>
      <c r="AL4" s="22"/>
      <c r="AM4" s="22"/>
      <c r="AN4" s="22"/>
      <c r="AO4" s="22"/>
      <c r="AP4" s="22"/>
      <c r="AQ4" s="22"/>
    </row>
    <row r="5" spans="1:43" ht="17.25" customHeight="1" x14ac:dyDescent="0.35">
      <c r="A5" s="169" t="s">
        <v>170</v>
      </c>
      <c r="B5" s="170" t="s">
        <v>6</v>
      </c>
      <c r="C5" s="170" t="s">
        <v>350</v>
      </c>
      <c r="D5" s="169" t="s">
        <v>22</v>
      </c>
      <c r="E5" s="169" t="s">
        <v>457</v>
      </c>
      <c r="F5" s="121">
        <v>0.83333333333333337</v>
      </c>
      <c r="G5" s="195">
        <f>Table436[[#This Row],[Min Daily Hours]]*24</f>
        <v>20</v>
      </c>
      <c r="H5" s="76">
        <v>6.7</v>
      </c>
      <c r="I5" s="22">
        <f>Table4[[#This Row],[Available Hours for Service]]</f>
        <v>29.681250000001455</v>
      </c>
      <c r="J5" s="65">
        <v>27500</v>
      </c>
      <c r="K5" s="123">
        <f>Table436[[#This Row],[Min Daily Hours]]*J$199</f>
        <v>25</v>
      </c>
      <c r="L5" s="123">
        <f>SUM(Table436[[#This Row],[1]:[31]])</f>
        <v>27.774305555555554</v>
      </c>
      <c r="M5" s="121">
        <v>0.94097222222222221</v>
      </c>
      <c r="N5" s="121">
        <v>1</v>
      </c>
      <c r="O5" s="121">
        <v>0.51736111111111105</v>
      </c>
      <c r="P5" s="121">
        <v>0.97638888888888886</v>
      </c>
      <c r="Q5" s="121">
        <v>1</v>
      </c>
      <c r="R5" s="121">
        <v>1</v>
      </c>
      <c r="S5" s="121">
        <v>1</v>
      </c>
      <c r="T5" s="121">
        <v>1</v>
      </c>
      <c r="U5" s="121">
        <v>1</v>
      </c>
      <c r="V5" s="121">
        <v>1</v>
      </c>
      <c r="W5" s="121">
        <v>1</v>
      </c>
      <c r="X5" s="121">
        <v>1</v>
      </c>
      <c r="Y5" s="121">
        <v>1</v>
      </c>
      <c r="Z5" s="121">
        <v>1</v>
      </c>
      <c r="AA5" s="121">
        <v>1</v>
      </c>
      <c r="AB5" s="121">
        <v>1</v>
      </c>
      <c r="AC5" s="121">
        <v>0.45347222222222222</v>
      </c>
      <c r="AD5" s="22">
        <v>0.95833333333333337</v>
      </c>
      <c r="AE5" s="22">
        <v>0.99513888888888891</v>
      </c>
      <c r="AF5" s="22">
        <v>0.61041666666666672</v>
      </c>
      <c r="AG5" s="22">
        <v>0.96388888888888891</v>
      </c>
      <c r="AH5" s="215">
        <v>1</v>
      </c>
      <c r="AI5" s="22">
        <v>0.62777777777777777</v>
      </c>
      <c r="AJ5" s="22">
        <v>0.3979166666666667</v>
      </c>
      <c r="AK5" s="22">
        <v>0.95347222222222217</v>
      </c>
      <c r="AL5" s="22">
        <v>0.99652777777777779</v>
      </c>
      <c r="AM5" s="22">
        <v>0.7284722222222223</v>
      </c>
      <c r="AN5" s="22">
        <v>0.88124999999999998</v>
      </c>
      <c r="AO5" s="22">
        <v>1</v>
      </c>
      <c r="AP5" s="22">
        <v>0.7729166666666667</v>
      </c>
      <c r="AQ5" s="22">
        <v>1</v>
      </c>
    </row>
    <row r="6" spans="1:43" ht="17.25" customHeight="1" x14ac:dyDescent="0.35">
      <c r="A6" s="169" t="s">
        <v>170</v>
      </c>
      <c r="B6" s="170" t="s">
        <v>6</v>
      </c>
      <c r="C6" s="170" t="s">
        <v>216</v>
      </c>
      <c r="D6" s="169" t="s">
        <v>19</v>
      </c>
      <c r="E6" s="169" t="s">
        <v>457</v>
      </c>
      <c r="F6" s="121">
        <v>0.83333333333333337</v>
      </c>
      <c r="G6" s="195">
        <f>Table436[[#This Row],[Min Daily Hours]]*24</f>
        <v>20</v>
      </c>
      <c r="H6" s="76">
        <v>0</v>
      </c>
      <c r="I6" s="22">
        <f>Table4[[#This Row],[Available Hours for Service]]</f>
        <v>30</v>
      </c>
      <c r="J6" s="65">
        <v>37000</v>
      </c>
      <c r="K6" s="123">
        <f>Table436[[#This Row],[Min Daily Hours]]*J$199</f>
        <v>25</v>
      </c>
      <c r="L6" s="123">
        <f>SUM(Table436[[#This Row],[1]:[31]])</f>
        <v>27.916666666666661</v>
      </c>
      <c r="M6" s="121">
        <v>0.70833333333333337</v>
      </c>
      <c r="N6" s="121">
        <v>1</v>
      </c>
      <c r="O6" s="121">
        <v>0.54166666666666663</v>
      </c>
      <c r="P6" s="121">
        <v>1</v>
      </c>
      <c r="Q6" s="121">
        <v>1</v>
      </c>
      <c r="R6" s="121">
        <v>1</v>
      </c>
      <c r="S6" s="121">
        <v>1</v>
      </c>
      <c r="T6" s="121">
        <v>1</v>
      </c>
      <c r="U6" s="121">
        <v>1</v>
      </c>
      <c r="V6" s="121">
        <v>1</v>
      </c>
      <c r="W6" s="121">
        <v>1</v>
      </c>
      <c r="X6" s="121">
        <v>1</v>
      </c>
      <c r="Y6" s="121">
        <v>1</v>
      </c>
      <c r="Z6" s="121">
        <v>1</v>
      </c>
      <c r="AA6" s="121">
        <v>1</v>
      </c>
      <c r="AB6" s="121">
        <v>1</v>
      </c>
      <c r="AC6" s="121">
        <v>0.41666666666666669</v>
      </c>
      <c r="AD6" s="22">
        <v>1</v>
      </c>
      <c r="AE6" s="22">
        <v>1</v>
      </c>
      <c r="AF6" s="22">
        <v>0.58333333333333337</v>
      </c>
      <c r="AG6" s="22">
        <v>1</v>
      </c>
      <c r="AH6" s="215">
        <v>1</v>
      </c>
      <c r="AI6" s="22">
        <v>0.58333333333333337</v>
      </c>
      <c r="AJ6" s="22">
        <v>0.41666666666666669</v>
      </c>
      <c r="AK6" s="22">
        <v>0.70833333333333337</v>
      </c>
      <c r="AL6" s="22">
        <v>1</v>
      </c>
      <c r="AM6" s="22">
        <v>1</v>
      </c>
      <c r="AN6" s="22">
        <v>0.95833333333333337</v>
      </c>
      <c r="AO6" s="22">
        <v>1</v>
      </c>
      <c r="AP6" s="22">
        <v>1</v>
      </c>
      <c r="AQ6" s="22">
        <v>1</v>
      </c>
    </row>
    <row r="7" spans="1:43" ht="17.25" customHeight="1" x14ac:dyDescent="0.35">
      <c r="A7" s="169" t="s">
        <v>170</v>
      </c>
      <c r="B7" s="170" t="s">
        <v>6</v>
      </c>
      <c r="C7" s="170" t="s">
        <v>310</v>
      </c>
      <c r="D7" s="169" t="s">
        <v>20</v>
      </c>
      <c r="E7" s="169" t="s">
        <v>457</v>
      </c>
      <c r="F7" s="121">
        <v>0.83333333333333337</v>
      </c>
      <c r="G7" s="195">
        <f>Table436[[#This Row],[Min Daily Hours]]*24</f>
        <v>20</v>
      </c>
      <c r="H7" s="76">
        <v>0.8</v>
      </c>
      <c r="I7" s="22">
        <f>Table4[[#This Row],[Available Hours for Service]]</f>
        <v>29.103472222217533</v>
      </c>
      <c r="J7" s="65">
        <v>40000</v>
      </c>
      <c r="K7" s="123">
        <f>Table436[[#This Row],[Min Daily Hours]]*J$199</f>
        <v>25</v>
      </c>
      <c r="L7" s="123">
        <f>SUM(Table436[[#This Row],[1]:[31]])</f>
        <v>25.852777777777771</v>
      </c>
      <c r="M7" s="121">
        <v>0.5708333333333333</v>
      </c>
      <c r="N7" s="121">
        <v>0.8222222222222223</v>
      </c>
      <c r="O7" s="121">
        <v>0.81597222222222221</v>
      </c>
      <c r="P7" s="121">
        <v>0.89722222222222225</v>
      </c>
      <c r="Q7" s="121">
        <v>1</v>
      </c>
      <c r="R7" s="121">
        <v>0.77777777777777779</v>
      </c>
      <c r="S7" s="121">
        <v>0.84236111111111101</v>
      </c>
      <c r="T7" s="121">
        <v>0.8930555555555556</v>
      </c>
      <c r="U7" s="121">
        <v>0.84722222222222221</v>
      </c>
      <c r="V7" s="121">
        <v>0.89513888888888893</v>
      </c>
      <c r="W7" s="121">
        <v>0.85069444444444453</v>
      </c>
      <c r="X7" s="121">
        <v>0.79166666666666663</v>
      </c>
      <c r="Y7" s="121">
        <v>0.95833333333333337</v>
      </c>
      <c r="Z7" s="121">
        <v>0.88541666666666663</v>
      </c>
      <c r="AA7" s="121">
        <v>0.90416666666666667</v>
      </c>
      <c r="AB7" s="121">
        <v>0.95833333333333337</v>
      </c>
      <c r="AC7" s="121">
        <v>1</v>
      </c>
      <c r="AD7" s="22">
        <v>0.77847222222222223</v>
      </c>
      <c r="AE7" s="22">
        <v>0.7319444444444444</v>
      </c>
      <c r="AF7" s="22">
        <v>0.52500000000000002</v>
      </c>
      <c r="AG7" s="22">
        <v>0.94444444444444453</v>
      </c>
      <c r="AH7" s="215">
        <v>0.73541666666666661</v>
      </c>
      <c r="AI7" s="22">
        <v>0.60555555555555551</v>
      </c>
      <c r="AJ7" s="22">
        <v>0.91111111111111109</v>
      </c>
      <c r="AK7" s="22">
        <v>0.81805555555555554</v>
      </c>
      <c r="AL7" s="22">
        <v>0.97569444444444453</v>
      </c>
      <c r="AM7" s="22">
        <v>0.59652777777777777</v>
      </c>
      <c r="AN7" s="22">
        <v>0.5395833333333333</v>
      </c>
      <c r="AO7" s="22">
        <v>0.98055555555555562</v>
      </c>
      <c r="AP7" s="22">
        <v>1</v>
      </c>
      <c r="AQ7" s="22">
        <v>1</v>
      </c>
    </row>
    <row r="8" spans="1:43" ht="17.25" customHeight="1" x14ac:dyDescent="0.35">
      <c r="A8" s="169" t="s">
        <v>170</v>
      </c>
      <c r="B8" s="170" t="s">
        <v>9</v>
      </c>
      <c r="C8" s="170" t="s">
        <v>216</v>
      </c>
      <c r="D8" s="169" t="s">
        <v>29</v>
      </c>
      <c r="E8" s="169" t="s">
        <v>457</v>
      </c>
      <c r="F8" s="121">
        <v>0.83333333333333337</v>
      </c>
      <c r="G8" s="195">
        <f>Table436[[#This Row],[Min Daily Hours]]*24</f>
        <v>20</v>
      </c>
      <c r="H8" s="76">
        <v>20.399999999999999</v>
      </c>
      <c r="I8" s="22">
        <f>Table4[[#This Row],[Available Hours for Service]]</f>
        <v>28.939583333332848</v>
      </c>
      <c r="J8" s="65">
        <v>12100</v>
      </c>
      <c r="K8" s="123">
        <f>Table436[[#This Row],[Min Daily Hours]]*J$199</f>
        <v>25</v>
      </c>
      <c r="L8" s="123">
        <f>SUM(Table436[[#This Row],[1]:[31]])</f>
        <v>22.665277777777781</v>
      </c>
      <c r="M8" s="121">
        <v>0.65902777777777777</v>
      </c>
      <c r="N8" s="121">
        <v>0.2638888888888889</v>
      </c>
      <c r="O8" s="121">
        <v>0.71597222222222223</v>
      </c>
      <c r="P8" s="121">
        <v>0.58333333333333337</v>
      </c>
      <c r="Q8" s="121">
        <v>0.81041666666666667</v>
      </c>
      <c r="R8" s="121">
        <v>0</v>
      </c>
      <c r="S8" s="121">
        <v>0.55069444444444449</v>
      </c>
      <c r="T8" s="121">
        <v>0.73749999999999993</v>
      </c>
      <c r="U8" s="121">
        <v>0.47361111111111115</v>
      </c>
      <c r="V8" s="121">
        <v>0.72777777777777775</v>
      </c>
      <c r="W8" s="121">
        <v>0.22500000000000001</v>
      </c>
      <c r="X8" s="121">
        <v>0.91666666666666663</v>
      </c>
      <c r="Y8" s="121">
        <v>0.96944444444444444</v>
      </c>
      <c r="Z8" s="121">
        <v>0.92638888888888893</v>
      </c>
      <c r="AA8" s="121">
        <v>0.92986111111111114</v>
      </c>
      <c r="AB8" s="121">
        <v>0.89930555555555547</v>
      </c>
      <c r="AC8" s="121">
        <v>0.75763888888888886</v>
      </c>
      <c r="AD8" s="22">
        <v>0.47916666666666669</v>
      </c>
      <c r="AE8" s="22">
        <v>0.94097222222222221</v>
      </c>
      <c r="AF8" s="22">
        <v>0.5625</v>
      </c>
      <c r="AG8" s="22">
        <v>0.94305555555555554</v>
      </c>
      <c r="AH8" s="215">
        <v>0.92013888888888884</v>
      </c>
      <c r="AI8" s="22">
        <v>0.60833333333333328</v>
      </c>
      <c r="AJ8" s="22">
        <v>0.9458333333333333</v>
      </c>
      <c r="AK8" s="22">
        <v>0.86944444444444446</v>
      </c>
      <c r="AL8" s="22">
        <v>0.96319444444444446</v>
      </c>
      <c r="AM8" s="22">
        <v>0.64861111111111114</v>
      </c>
      <c r="AN8" s="22">
        <v>0.86736111111111114</v>
      </c>
      <c r="AO8" s="22">
        <v>0.91249999999999998</v>
      </c>
      <c r="AP8" s="22">
        <v>0.91388888888888886</v>
      </c>
      <c r="AQ8" s="22">
        <v>0.94374999999999998</v>
      </c>
    </row>
    <row r="9" spans="1:43" ht="17.25" customHeight="1" x14ac:dyDescent="0.35">
      <c r="A9" s="169" t="s">
        <v>171</v>
      </c>
      <c r="B9" s="170" t="s">
        <v>9</v>
      </c>
      <c r="C9" s="170" t="s">
        <v>443</v>
      </c>
      <c r="D9" s="169" t="s">
        <v>28</v>
      </c>
      <c r="E9" s="169" t="s">
        <v>457</v>
      </c>
      <c r="F9" s="121">
        <v>0.83333333333333337</v>
      </c>
      <c r="G9" s="195">
        <f>Table436[[#This Row],[Min Daily Hours]]*24</f>
        <v>20</v>
      </c>
      <c r="H9" s="76">
        <v>18.8</v>
      </c>
      <c r="I9" s="22">
        <f>Table4[[#This Row],[Available Hours for Service]]</f>
        <v>28.950694444436522</v>
      </c>
      <c r="J9" s="65">
        <v>82950</v>
      </c>
      <c r="K9" s="123">
        <f>Table436[[#This Row],[Min Daily Hours]]*J$199</f>
        <v>25</v>
      </c>
      <c r="L9" s="123">
        <f>SUM(Table436[[#This Row],[1]:[31]])</f>
        <v>22.383333333333333</v>
      </c>
      <c r="M9" s="121">
        <v>0.87222222222222223</v>
      </c>
      <c r="N9" s="121">
        <v>0.76180555555555562</v>
      </c>
      <c r="O9" s="121">
        <v>0.40416666666666662</v>
      </c>
      <c r="P9" s="121">
        <v>0.73333333333333339</v>
      </c>
      <c r="Q9" s="121">
        <v>0.93819444444444444</v>
      </c>
      <c r="R9" s="121">
        <v>0.57291666666666663</v>
      </c>
      <c r="S9" s="121">
        <v>0.1986111111111111</v>
      </c>
      <c r="T9" s="121">
        <v>0.41666666666666669</v>
      </c>
      <c r="U9" s="121">
        <v>0.2722222222222222</v>
      </c>
      <c r="V9" s="121">
        <v>0.92569444444444438</v>
      </c>
      <c r="W9" s="121">
        <v>0.5</v>
      </c>
      <c r="X9" s="121">
        <v>0.60763888888888895</v>
      </c>
      <c r="Y9" s="121">
        <v>0.60763888888888895</v>
      </c>
      <c r="Z9" s="121">
        <v>0.9784722222222223</v>
      </c>
      <c r="AA9" s="121">
        <v>1</v>
      </c>
      <c r="AB9" s="121">
        <v>0.59861111111111109</v>
      </c>
      <c r="AC9" s="121">
        <v>0.96805555555555556</v>
      </c>
      <c r="AD9" s="22">
        <v>0.46875</v>
      </c>
      <c r="AE9" s="22">
        <v>1</v>
      </c>
      <c r="AF9" s="22">
        <v>0.47638888888888892</v>
      </c>
      <c r="AG9" s="22">
        <v>0.82361111111111107</v>
      </c>
      <c r="AH9" s="215">
        <v>1</v>
      </c>
      <c r="AI9" s="22">
        <v>0.59166666666666667</v>
      </c>
      <c r="AJ9" s="22">
        <v>0.66875000000000007</v>
      </c>
      <c r="AK9" s="22">
        <v>0.57500000000000007</v>
      </c>
      <c r="AL9" s="22">
        <v>0.93402777777777779</v>
      </c>
      <c r="AM9" s="22">
        <v>0.77013888888888893</v>
      </c>
      <c r="AN9" s="22">
        <v>1</v>
      </c>
      <c r="AO9" s="22">
        <v>0.8305555555555556</v>
      </c>
      <c r="AP9" s="22">
        <v>0.94652777777777775</v>
      </c>
      <c r="AQ9" s="22">
        <v>0.94166666666666676</v>
      </c>
    </row>
    <row r="10" spans="1:43" ht="17.25" customHeight="1" x14ac:dyDescent="0.35">
      <c r="A10" s="169" t="s">
        <v>171</v>
      </c>
      <c r="B10" s="170" t="s">
        <v>9</v>
      </c>
      <c r="C10" s="170" t="s">
        <v>257</v>
      </c>
      <c r="D10" s="169" t="s">
        <v>30</v>
      </c>
      <c r="E10" s="169" t="s">
        <v>457</v>
      </c>
      <c r="F10" s="121">
        <v>0.83333333333333337</v>
      </c>
      <c r="G10" s="195">
        <f>Table436[[#This Row],[Min Daily Hours]]*24</f>
        <v>20</v>
      </c>
      <c r="H10" s="76">
        <v>9.8000000000000007</v>
      </c>
      <c r="I10" s="22">
        <f>Table4[[#This Row],[Available Hours for Service]]</f>
        <v>44902.231250000012</v>
      </c>
      <c r="J10" s="65">
        <v>71640</v>
      </c>
      <c r="K10" s="123">
        <f>Table436[[#This Row],[Min Daily Hours]]*J$199</f>
        <v>25</v>
      </c>
      <c r="L10" s="123">
        <f>SUM(Table436[[#This Row],[1]:[31]])</f>
        <v>25.77986111111111</v>
      </c>
      <c r="M10" s="121">
        <v>0.91666666666666663</v>
      </c>
      <c r="N10" s="121">
        <v>0.875</v>
      </c>
      <c r="O10" s="121">
        <v>0.91666666666666663</v>
      </c>
      <c r="P10" s="121">
        <v>0.85277777777777775</v>
      </c>
      <c r="Q10" s="121">
        <v>0.67708333333333337</v>
      </c>
      <c r="R10" s="121">
        <v>0.8930555555555556</v>
      </c>
      <c r="S10" s="121">
        <v>0.61249999999999993</v>
      </c>
      <c r="T10" s="121">
        <v>0.90277777777777779</v>
      </c>
      <c r="U10" s="121">
        <v>0.44791666666666669</v>
      </c>
      <c r="V10" s="121">
        <v>0.91666666666666663</v>
      </c>
      <c r="W10" s="121">
        <v>0.875</v>
      </c>
      <c r="X10" s="121">
        <v>0.7680555555555556</v>
      </c>
      <c r="Y10" s="121">
        <v>0.97916666666666663</v>
      </c>
      <c r="Z10" s="121">
        <v>0.78055555555555556</v>
      </c>
      <c r="AA10" s="121">
        <v>0.96666666666666667</v>
      </c>
      <c r="AB10" s="121">
        <v>0.81597222222222221</v>
      </c>
      <c r="AC10" s="121">
        <v>0.75624999999999998</v>
      </c>
      <c r="AD10" s="22">
        <v>0.33888888888888885</v>
      </c>
      <c r="AE10" s="22">
        <v>0.96597222222222223</v>
      </c>
      <c r="AF10" s="22">
        <v>0.66041666666666665</v>
      </c>
      <c r="AG10" s="22">
        <v>0.90833333333333333</v>
      </c>
      <c r="AH10" s="215">
        <v>0.87083333333333324</v>
      </c>
      <c r="AI10" s="22">
        <v>0.59791666666666665</v>
      </c>
      <c r="AJ10" s="22">
        <v>0.92013888888888884</v>
      </c>
      <c r="AK10" s="22">
        <v>0.99236111111111114</v>
      </c>
      <c r="AL10" s="22">
        <v>0.9145833333333333</v>
      </c>
      <c r="AM10" s="22">
        <v>0.81041666666666667</v>
      </c>
      <c r="AN10" s="22">
        <v>0.98749999999999993</v>
      </c>
      <c r="AO10" s="22">
        <v>0.95972222222222225</v>
      </c>
      <c r="AP10" s="22">
        <v>0.90763888888888899</v>
      </c>
      <c r="AQ10" s="22">
        <v>0.99236111111111114</v>
      </c>
    </row>
    <row r="11" spans="1:43" ht="17.25" customHeight="1" x14ac:dyDescent="0.35">
      <c r="A11" s="169" t="s">
        <v>445</v>
      </c>
      <c r="B11" s="170" t="s">
        <v>9</v>
      </c>
      <c r="C11" s="170" t="s">
        <v>217</v>
      </c>
      <c r="D11" s="169" t="s">
        <v>32</v>
      </c>
      <c r="E11" s="169" t="s">
        <v>457</v>
      </c>
      <c r="F11" s="121">
        <v>0.83333333333333337</v>
      </c>
      <c r="G11" s="195">
        <f>Table436[[#This Row],[Min Daily Hours]]*24</f>
        <v>20</v>
      </c>
      <c r="H11" s="76">
        <v>20.7</v>
      </c>
      <c r="I11" s="22">
        <f>Table4[[#This Row],[Available Hours for Service]]</f>
        <v>-6601869.7423611106</v>
      </c>
      <c r="J11" s="65">
        <v>70200</v>
      </c>
      <c r="K11" s="123">
        <f>Table436[[#This Row],[Min Daily Hours]]*J$199</f>
        <v>25</v>
      </c>
      <c r="L11" s="123">
        <f>SUM(Table436[[#This Row],[1]:[31]])</f>
        <v>14.440277777777776</v>
      </c>
      <c r="M11" s="121">
        <v>0.39027777777777778</v>
      </c>
      <c r="N11" s="121">
        <v>0.18958333333333333</v>
      </c>
      <c r="O11" s="121">
        <v>0.39166666666666666</v>
      </c>
      <c r="P11" s="121">
        <v>0.10694444444444444</v>
      </c>
      <c r="Q11" s="121">
        <v>0.29166666666666669</v>
      </c>
      <c r="R11" s="121">
        <v>0.82638888888888884</v>
      </c>
      <c r="S11" s="121">
        <v>0.17569444444444446</v>
      </c>
      <c r="T11" s="121">
        <v>0.31180555555555556</v>
      </c>
      <c r="U11" s="121">
        <v>0.375</v>
      </c>
      <c r="V11" s="121">
        <v>0.375</v>
      </c>
      <c r="W11" s="121">
        <v>0.875</v>
      </c>
      <c r="X11" s="121">
        <v>0.52222222222222225</v>
      </c>
      <c r="Y11" s="121">
        <v>0.3298611111111111</v>
      </c>
      <c r="Z11" s="121">
        <v>0.67569444444444438</v>
      </c>
      <c r="AA11" s="121">
        <v>0.61249999999999993</v>
      </c>
      <c r="AB11" s="121">
        <v>0.47361111111111115</v>
      </c>
      <c r="AC11" s="121">
        <v>0.5854166666666667</v>
      </c>
      <c r="AD11" s="22">
        <v>0.21736111111111112</v>
      </c>
      <c r="AE11" s="22">
        <v>0.50138888888888888</v>
      </c>
      <c r="AF11" s="22">
        <v>0.35486111111111113</v>
      </c>
      <c r="AG11" s="22">
        <v>0.48333333333333334</v>
      </c>
      <c r="AH11" s="215">
        <v>0.52569444444444446</v>
      </c>
      <c r="AI11" s="22">
        <v>0.11180555555555556</v>
      </c>
      <c r="AJ11" s="22">
        <v>0.65694444444444444</v>
      </c>
      <c r="AK11" s="22">
        <v>0.42222222222222222</v>
      </c>
      <c r="AL11" s="22">
        <v>0.54166666666666663</v>
      </c>
      <c r="AM11" s="22">
        <v>0.5493055555555556</v>
      </c>
      <c r="AN11" s="22">
        <v>0.46249999999999997</v>
      </c>
      <c r="AO11" s="22">
        <v>0.62638888888888888</v>
      </c>
      <c r="AP11" s="22">
        <v>0.7631944444444444</v>
      </c>
      <c r="AQ11" s="22">
        <v>0.71527777777777779</v>
      </c>
    </row>
    <row r="12" spans="1:43" ht="17.25" customHeight="1" x14ac:dyDescent="0.35">
      <c r="A12" s="169" t="s">
        <v>445</v>
      </c>
      <c r="B12" s="170" t="s">
        <v>9</v>
      </c>
      <c r="C12" s="170" t="s">
        <v>222</v>
      </c>
      <c r="D12" s="169" t="s">
        <v>31</v>
      </c>
      <c r="E12" s="169" t="s">
        <v>457</v>
      </c>
      <c r="F12" s="121">
        <v>0.83333333333333337</v>
      </c>
      <c r="G12" s="195">
        <f>Table436[[#This Row],[Min Daily Hours]]*24</f>
        <v>20</v>
      </c>
      <c r="H12" s="76">
        <v>20.399999999999999</v>
      </c>
      <c r="I12" s="22">
        <f>Table4[[#This Row],[Available Hours for Service]]</f>
        <v>44870.622916666645</v>
      </c>
      <c r="J12" s="65">
        <v>126449</v>
      </c>
      <c r="K12" s="123">
        <f>Table436[[#This Row],[Min Daily Hours]]*J$199</f>
        <v>25</v>
      </c>
      <c r="L12" s="123">
        <f>SUM(Table436[[#This Row],[1]:[31]])</f>
        <v>15.597222222222225</v>
      </c>
      <c r="M12" s="121">
        <v>0.56041666666666667</v>
      </c>
      <c r="N12" s="121">
        <v>0.38194444444444442</v>
      </c>
      <c r="O12" s="121">
        <v>0.8569444444444444</v>
      </c>
      <c r="P12" s="121">
        <v>0.3979166666666667</v>
      </c>
      <c r="Q12" s="121">
        <v>0.54166666666666663</v>
      </c>
      <c r="R12" s="121">
        <v>0.51597222222222217</v>
      </c>
      <c r="S12" s="121">
        <v>0.16250000000000001</v>
      </c>
      <c r="T12" s="121">
        <v>0.30555555555555552</v>
      </c>
      <c r="U12" s="121">
        <v>0.3125</v>
      </c>
      <c r="V12" s="121">
        <v>0.38819444444444445</v>
      </c>
      <c r="W12" s="121">
        <v>0.59305555555555556</v>
      </c>
      <c r="X12" s="121">
        <v>0.64166666666666672</v>
      </c>
      <c r="Y12" s="121">
        <v>9.7916666666666666E-2</v>
      </c>
      <c r="Z12" s="121">
        <v>0.33958333333333335</v>
      </c>
      <c r="AA12" s="121">
        <v>0.22083333333333333</v>
      </c>
      <c r="AB12" s="121">
        <v>0.47152777777777777</v>
      </c>
      <c r="AC12" s="121">
        <v>0.79305555555555562</v>
      </c>
      <c r="AD12" s="22">
        <v>0.33888888888888885</v>
      </c>
      <c r="AE12" s="22">
        <v>0.66180555555555554</v>
      </c>
      <c r="AF12" s="22">
        <v>0.22847222222222222</v>
      </c>
      <c r="AG12" s="22">
        <v>0.84375</v>
      </c>
      <c r="AH12" s="215">
        <v>0.73958333333333337</v>
      </c>
      <c r="AI12" s="22">
        <v>0.35416666666666669</v>
      </c>
      <c r="AJ12" s="22">
        <v>0.71527777777777779</v>
      </c>
      <c r="AK12" s="22">
        <v>0.4465277777777778</v>
      </c>
      <c r="AL12" s="22">
        <v>0.8027777777777777</v>
      </c>
      <c r="AM12" s="22">
        <v>0.12847222222222224</v>
      </c>
      <c r="AN12" s="22">
        <v>0.66180555555555554</v>
      </c>
      <c r="AO12" s="22">
        <v>0.48472222222222222</v>
      </c>
      <c r="AP12" s="22">
        <v>0.62638888888888888</v>
      </c>
      <c r="AQ12" s="220">
        <v>0.98333333333333339</v>
      </c>
    </row>
    <row r="13" spans="1:43" ht="17.25" customHeight="1" x14ac:dyDescent="0.35">
      <c r="A13" s="169" t="s">
        <v>445</v>
      </c>
      <c r="B13" s="170" t="s">
        <v>311</v>
      </c>
      <c r="C13" s="170" t="s">
        <v>217</v>
      </c>
      <c r="D13" s="169" t="s">
        <v>35</v>
      </c>
      <c r="E13" s="169" t="s">
        <v>459</v>
      </c>
      <c r="F13" s="121">
        <v>0.16666666666666666</v>
      </c>
      <c r="G13" s="195">
        <f>Table436[[#This Row],[Min Daily Hours]]*24</f>
        <v>4</v>
      </c>
      <c r="H13" s="76">
        <v>4.5</v>
      </c>
      <c r="I13" s="22">
        <f>Table4[[#This Row],[Available Hours for Service]]</f>
        <v>44814.455555555556</v>
      </c>
      <c r="J13" s="65">
        <v>21865</v>
      </c>
      <c r="K13" s="123">
        <f>Table436[[#This Row],[Min Daily Hours]]*J$199</f>
        <v>5</v>
      </c>
      <c r="L13" s="123">
        <f>SUM(Table436[[#This Row],[1]:[31]])</f>
        <v>2.4298611111111112</v>
      </c>
      <c r="M13" s="121">
        <v>0</v>
      </c>
      <c r="N13" s="121">
        <v>0</v>
      </c>
      <c r="O13" s="121">
        <v>0.375</v>
      </c>
      <c r="P13" s="121">
        <v>0</v>
      </c>
      <c r="Q13" s="121">
        <v>4.1666666666666664E-2</v>
      </c>
      <c r="R13" s="121">
        <v>9.0277777777777787E-3</v>
      </c>
      <c r="S13" s="121">
        <v>2.7777777777777776E-2</v>
      </c>
      <c r="T13" s="121">
        <v>0</v>
      </c>
      <c r="U13" s="121">
        <v>0</v>
      </c>
      <c r="V13" s="121">
        <v>8.3333333333333329E-2</v>
      </c>
      <c r="W13" s="121">
        <v>0.125</v>
      </c>
      <c r="X13" s="121">
        <v>0.25</v>
      </c>
      <c r="Y13" s="121">
        <v>0</v>
      </c>
      <c r="Z13" s="121">
        <v>3.2638888888888891E-2</v>
      </c>
      <c r="AA13" s="121">
        <v>0</v>
      </c>
      <c r="AB13" s="121">
        <v>1.3888888888888888E-2</v>
      </c>
      <c r="AC13" s="121">
        <v>2.2222222222222223E-2</v>
      </c>
      <c r="AD13" s="22">
        <v>0.13194444444444445</v>
      </c>
      <c r="AE13" s="22">
        <v>0.33402777777777781</v>
      </c>
      <c r="AF13" s="22">
        <v>0.15972222222222224</v>
      </c>
      <c r="AG13" s="22">
        <v>6.1805555555555558E-2</v>
      </c>
      <c r="AH13" s="215">
        <v>0</v>
      </c>
      <c r="AI13" s="22">
        <v>0</v>
      </c>
      <c r="AJ13" s="22">
        <v>0.4152777777777778</v>
      </c>
      <c r="AK13" s="22">
        <v>2.361111111111111E-2</v>
      </c>
      <c r="AL13" s="22">
        <v>0.18194444444444444</v>
      </c>
      <c r="AM13" s="22">
        <v>0</v>
      </c>
      <c r="AN13" s="22">
        <v>0</v>
      </c>
      <c r="AO13" s="22">
        <v>1.5972222222222224E-2</v>
      </c>
      <c r="AP13" s="22">
        <v>0</v>
      </c>
      <c r="AQ13" s="22">
        <v>0.125</v>
      </c>
    </row>
    <row r="14" spans="1:43" ht="17.25" customHeight="1" x14ac:dyDescent="0.35">
      <c r="A14" s="169" t="s">
        <v>445</v>
      </c>
      <c r="B14" s="170" t="s">
        <v>9</v>
      </c>
      <c r="C14" s="170" t="s">
        <v>222</v>
      </c>
      <c r="D14" s="169" t="s">
        <v>33</v>
      </c>
      <c r="E14" s="169" t="s">
        <v>457</v>
      </c>
      <c r="F14" s="121">
        <v>0.83333333333333337</v>
      </c>
      <c r="G14" s="195">
        <f>Table436[[#This Row],[Min Daily Hours]]*24</f>
        <v>20</v>
      </c>
      <c r="H14" s="76">
        <v>9.8000000000000007</v>
      </c>
      <c r="I14" s="22">
        <f>Table4[[#This Row],[Available Hours for Service]]</f>
        <v>30</v>
      </c>
      <c r="J14" s="65">
        <v>42745</v>
      </c>
      <c r="K14" s="123">
        <f>Table436[[#This Row],[Min Daily Hours]]*J$199</f>
        <v>25</v>
      </c>
      <c r="L14" s="123">
        <f>SUM(Table436[[#This Row],[1]:[31]])</f>
        <v>21.307638888888892</v>
      </c>
      <c r="M14" s="121">
        <v>1</v>
      </c>
      <c r="N14" s="121">
        <v>0.5625</v>
      </c>
      <c r="O14" s="121">
        <v>0.34722222222222227</v>
      </c>
      <c r="P14" s="121">
        <v>0.77500000000000002</v>
      </c>
      <c r="Q14" s="121">
        <v>0.27986111111111112</v>
      </c>
      <c r="R14" s="121">
        <v>0.58333333333333337</v>
      </c>
      <c r="S14" s="121">
        <v>0.92499999999999993</v>
      </c>
      <c r="T14" s="121">
        <v>0.43055555555555558</v>
      </c>
      <c r="U14" s="121">
        <v>0.35069444444444442</v>
      </c>
      <c r="V14" s="121">
        <v>0.93263888888888891</v>
      </c>
      <c r="W14" s="121">
        <v>0.70833333333333337</v>
      </c>
      <c r="X14" s="121">
        <v>1</v>
      </c>
      <c r="Y14" s="121">
        <v>1</v>
      </c>
      <c r="Z14" s="121">
        <v>0.89930555555555547</v>
      </c>
      <c r="AA14" s="121">
        <v>0.85902777777777783</v>
      </c>
      <c r="AB14" s="121">
        <v>0.77500000000000002</v>
      </c>
      <c r="AC14" s="121">
        <v>0.93541666666666667</v>
      </c>
      <c r="AD14" s="22">
        <v>0.47083333333333338</v>
      </c>
      <c r="AE14" s="22">
        <v>0.81805555555555554</v>
      </c>
      <c r="AF14" s="22">
        <v>0.51458333333333328</v>
      </c>
      <c r="AG14" s="22">
        <v>0.46458333333333335</v>
      </c>
      <c r="AH14" s="215">
        <v>0.7993055555555556</v>
      </c>
      <c r="AI14" s="22">
        <v>0.42638888888888887</v>
      </c>
      <c r="AJ14" s="22">
        <v>0.78541666666666676</v>
      </c>
      <c r="AK14" s="22">
        <v>0.56944444444444442</v>
      </c>
      <c r="AL14" s="22">
        <v>0.80763888888888891</v>
      </c>
      <c r="AM14" s="22">
        <v>0.49305555555555558</v>
      </c>
      <c r="AN14" s="22">
        <v>0.6069444444444444</v>
      </c>
      <c r="AO14" s="22">
        <v>0.57222222222222219</v>
      </c>
      <c r="AP14" s="22">
        <v>0.64444444444444449</v>
      </c>
      <c r="AQ14" s="22">
        <v>0.97083333333333333</v>
      </c>
    </row>
    <row r="15" spans="1:43" ht="17.25" customHeight="1" x14ac:dyDescent="0.35">
      <c r="A15" s="169" t="s">
        <v>445</v>
      </c>
      <c r="B15" s="170" t="s">
        <v>9</v>
      </c>
      <c r="C15" s="170" t="s">
        <v>222</v>
      </c>
      <c r="D15" s="169" t="s">
        <v>34</v>
      </c>
      <c r="E15" s="169" t="s">
        <v>458</v>
      </c>
      <c r="F15" s="121">
        <v>0.66666666666666663</v>
      </c>
      <c r="G15" s="195">
        <f>Table436[[#This Row],[Min Daily Hours]]*24</f>
        <v>16</v>
      </c>
      <c r="H15" s="76">
        <v>8</v>
      </c>
      <c r="I15" s="22">
        <f>Table4[[#This Row],[Available Hours for Service]]</f>
        <v>30</v>
      </c>
      <c r="J15" s="65">
        <v>24100</v>
      </c>
      <c r="K15" s="123">
        <f>Table436[[#This Row],[Min Daily Hours]]*J$199</f>
        <v>20</v>
      </c>
      <c r="L15" s="123">
        <f>SUM(Table436[[#This Row],[1]:[31]])</f>
        <v>19.391666666666666</v>
      </c>
      <c r="M15" s="121">
        <v>0.59166666666666667</v>
      </c>
      <c r="N15" s="121">
        <v>0.94930555555555562</v>
      </c>
      <c r="O15" s="121">
        <v>0.40277777777777773</v>
      </c>
      <c r="P15" s="121">
        <v>0.60833333333333328</v>
      </c>
      <c r="Q15" s="121">
        <v>0.39305555555555555</v>
      </c>
      <c r="R15" s="121">
        <v>0.61527777777777781</v>
      </c>
      <c r="S15" s="121">
        <v>0.1673611111111111</v>
      </c>
      <c r="T15" s="121">
        <v>0.65138888888888891</v>
      </c>
      <c r="U15" s="121">
        <v>0.33333333333333331</v>
      </c>
      <c r="V15" s="121">
        <v>0.81458333333333333</v>
      </c>
      <c r="W15" s="121">
        <v>0.65277777777777779</v>
      </c>
      <c r="X15" s="121">
        <v>0.83333333333333337</v>
      </c>
      <c r="Y15" s="121">
        <v>1</v>
      </c>
      <c r="Z15" s="121">
        <v>0.94097222222222221</v>
      </c>
      <c r="AA15" s="121">
        <v>0.76944444444444438</v>
      </c>
      <c r="AB15" s="121">
        <v>0.8881944444444444</v>
      </c>
      <c r="AC15" s="121">
        <v>0.97083333333333333</v>
      </c>
      <c r="AD15" s="22">
        <v>0.3347222222222222</v>
      </c>
      <c r="AE15" s="22">
        <v>0.60833333333333328</v>
      </c>
      <c r="AF15" s="22">
        <v>0.43472222222222223</v>
      </c>
      <c r="AG15" s="22">
        <v>0.40138888888888885</v>
      </c>
      <c r="AH15" s="215">
        <v>0.55694444444444446</v>
      </c>
      <c r="AI15" s="22">
        <v>0.44930555555555557</v>
      </c>
      <c r="AJ15" s="22">
        <v>0.70138888888888884</v>
      </c>
      <c r="AK15" s="22">
        <v>0.58472222222222225</v>
      </c>
      <c r="AL15" s="22">
        <v>0.44513888888888892</v>
      </c>
      <c r="AM15" s="22">
        <v>0.72499999999999998</v>
      </c>
      <c r="AN15" s="22">
        <v>0.86388888888888893</v>
      </c>
      <c r="AO15" s="22">
        <v>0.35138888888888892</v>
      </c>
      <c r="AP15" s="22">
        <v>0.65347222222222223</v>
      </c>
      <c r="AQ15" s="22">
        <v>0.69861111111111107</v>
      </c>
    </row>
    <row r="16" spans="1:43" ht="17.25" customHeight="1" x14ac:dyDescent="0.35">
      <c r="A16" s="169" t="s">
        <v>445</v>
      </c>
      <c r="B16" s="170" t="s">
        <v>6</v>
      </c>
      <c r="C16" s="170" t="s">
        <v>217</v>
      </c>
      <c r="D16" s="169" t="s">
        <v>21</v>
      </c>
      <c r="E16" s="169" t="s">
        <v>457</v>
      </c>
      <c r="F16" s="121">
        <v>0.83333333333333337</v>
      </c>
      <c r="G16" s="195">
        <f>Table436[[#This Row],[Min Daily Hours]]*24</f>
        <v>20</v>
      </c>
      <c r="H16" s="76">
        <v>14.8</v>
      </c>
      <c r="I16" s="22">
        <f>Table4[[#This Row],[Available Hours for Service]]</f>
        <v>28.495833333327028</v>
      </c>
      <c r="J16" s="65">
        <v>31400</v>
      </c>
      <c r="K16" s="123">
        <f>Table436[[#This Row],[Min Daily Hours]]*J$199</f>
        <v>25</v>
      </c>
      <c r="L16" s="123">
        <f>SUM(Table436[[#This Row],[1]:[31]])</f>
        <v>12.729166666666668</v>
      </c>
      <c r="M16" s="121">
        <v>0.60555555555555551</v>
      </c>
      <c r="N16" s="121">
        <v>0.43402777777777773</v>
      </c>
      <c r="O16" s="121">
        <v>0.54166666666666663</v>
      </c>
      <c r="P16" s="121">
        <v>7.3611111111111113E-2</v>
      </c>
      <c r="Q16" s="121">
        <v>0.30763888888888891</v>
      </c>
      <c r="R16" s="121">
        <v>0.78402777777777777</v>
      </c>
      <c r="S16" s="121">
        <v>0.23611111111111113</v>
      </c>
      <c r="T16" s="121">
        <v>0.40069444444444446</v>
      </c>
      <c r="U16" s="121">
        <v>0.95833333333333337</v>
      </c>
      <c r="V16" s="121">
        <v>0.6479166666666667</v>
      </c>
      <c r="W16" s="121">
        <v>0.97916666666666663</v>
      </c>
      <c r="X16" s="121">
        <v>0.51874999999999993</v>
      </c>
      <c r="Y16" s="121">
        <v>0</v>
      </c>
      <c r="Z16" s="121">
        <v>0</v>
      </c>
      <c r="AA16" s="121">
        <v>0.49027777777777781</v>
      </c>
      <c r="AB16" s="121">
        <v>0.4368055555555555</v>
      </c>
      <c r="AC16" s="121">
        <v>0.10833333333333334</v>
      </c>
      <c r="AD16" s="22">
        <v>0.20833333333333334</v>
      </c>
      <c r="AE16" s="22">
        <v>0.56597222222222221</v>
      </c>
      <c r="AF16" s="22">
        <v>0.35138888888888892</v>
      </c>
      <c r="AG16" s="22">
        <v>0.17361111111111113</v>
      </c>
      <c r="AH16" s="220">
        <v>0.58888888888888891</v>
      </c>
      <c r="AI16" s="22">
        <v>0.38472222222222219</v>
      </c>
      <c r="AJ16" s="22">
        <v>0.71666666666666667</v>
      </c>
      <c r="AK16" s="22">
        <v>0.43611111111111112</v>
      </c>
      <c r="AL16" s="22">
        <v>0.36458333333333331</v>
      </c>
      <c r="AM16" s="22">
        <v>0.10833333333333334</v>
      </c>
      <c r="AN16" s="220">
        <v>0</v>
      </c>
      <c r="AO16" s="220">
        <v>0.14097222222222222</v>
      </c>
      <c r="AP16" s="220">
        <v>0.64444444444444449</v>
      </c>
      <c r="AQ16" s="22">
        <v>0.52222222222222225</v>
      </c>
    </row>
    <row r="17" spans="1:43" ht="17.25" customHeight="1" x14ac:dyDescent="0.35">
      <c r="A17" s="169" t="s">
        <v>171</v>
      </c>
      <c r="B17" s="170" t="s">
        <v>10</v>
      </c>
      <c r="C17" s="170" t="s">
        <v>221</v>
      </c>
      <c r="D17" s="169" t="s">
        <v>37</v>
      </c>
      <c r="E17" s="169" t="s">
        <v>457</v>
      </c>
      <c r="F17" s="121">
        <v>0.83333333333333337</v>
      </c>
      <c r="G17" s="195">
        <f>Table436[[#This Row],[Min Daily Hours]]*24</f>
        <v>20</v>
      </c>
      <c r="H17" s="76">
        <v>20.3</v>
      </c>
      <c r="I17" s="22">
        <f>Table4[[#This Row],[Available Hours for Service]]</f>
        <v>28.417361111125501</v>
      </c>
      <c r="J17" s="65">
        <v>67550</v>
      </c>
      <c r="K17" s="123">
        <f>Table436[[#This Row],[Min Daily Hours]]*J$199</f>
        <v>25</v>
      </c>
      <c r="L17" s="123">
        <f>SUM(Table436[[#This Row],[1]:[31]])</f>
        <v>18.643055555555563</v>
      </c>
      <c r="M17" s="121">
        <v>0.61319444444444449</v>
      </c>
      <c r="N17" s="121">
        <v>0.45833333333333331</v>
      </c>
      <c r="O17" s="121">
        <v>0.48749999999999999</v>
      </c>
      <c r="P17" s="121">
        <v>0.5</v>
      </c>
      <c r="Q17" s="121">
        <v>0.41319444444444442</v>
      </c>
      <c r="R17" s="121">
        <v>0.45833333333333331</v>
      </c>
      <c r="S17" s="121">
        <v>0.45833333333333331</v>
      </c>
      <c r="T17" s="121">
        <v>0.65555555555555556</v>
      </c>
      <c r="U17" s="121">
        <v>0.61527777777777781</v>
      </c>
      <c r="V17" s="121">
        <v>0.93055555555555547</v>
      </c>
      <c r="W17" s="121">
        <v>0.6069444444444444</v>
      </c>
      <c r="X17" s="121">
        <v>0.5756944444444444</v>
      </c>
      <c r="Y17" s="121">
        <v>0.32777777777777778</v>
      </c>
      <c r="Z17" s="121">
        <v>0.60763888888888895</v>
      </c>
      <c r="AA17" s="121">
        <v>0.63680555555555551</v>
      </c>
      <c r="AB17" s="121">
        <v>0.81041666666666667</v>
      </c>
      <c r="AC17" s="121">
        <v>0.72916666666666663</v>
      </c>
      <c r="AD17" s="22">
        <v>0.45416666666666666</v>
      </c>
      <c r="AE17" s="22">
        <v>0.83333333333333337</v>
      </c>
      <c r="AF17" s="22">
        <v>0.55694444444444446</v>
      </c>
      <c r="AG17" s="22">
        <v>0.70972222222222225</v>
      </c>
      <c r="AH17" s="215">
        <v>0.6958333333333333</v>
      </c>
      <c r="AI17" s="22">
        <v>0.48680555555555555</v>
      </c>
      <c r="AJ17" s="22">
        <v>0.76458333333333339</v>
      </c>
      <c r="AK17" s="22">
        <v>0.47152777777777777</v>
      </c>
      <c r="AL17" s="220">
        <v>0.60069444444444442</v>
      </c>
      <c r="AM17" s="22">
        <v>0.58124999999999993</v>
      </c>
      <c r="AN17" s="22">
        <v>0.44861111111111113</v>
      </c>
      <c r="AO17" s="22">
        <v>0.69305555555555554</v>
      </c>
      <c r="AP17" s="22">
        <v>0.48680555555555555</v>
      </c>
      <c r="AQ17" s="22">
        <v>0.97499999999999998</v>
      </c>
    </row>
    <row r="18" spans="1:43" ht="17.25" customHeight="1" x14ac:dyDescent="0.35">
      <c r="A18" s="169" t="s">
        <v>171</v>
      </c>
      <c r="B18" s="170" t="s">
        <v>10</v>
      </c>
      <c r="C18" s="170" t="s">
        <v>225</v>
      </c>
      <c r="D18" s="169" t="s">
        <v>38</v>
      </c>
      <c r="E18" s="169" t="s">
        <v>457</v>
      </c>
      <c r="F18" s="121">
        <v>0.83333333333333337</v>
      </c>
      <c r="G18" s="195">
        <f>Table436[[#This Row],[Min Daily Hours]]*24</f>
        <v>20</v>
      </c>
      <c r="H18" s="76">
        <v>14</v>
      </c>
      <c r="I18" s="22">
        <f>Table4[[#This Row],[Available Hours for Service]]</f>
        <v>29.938194444453984</v>
      </c>
      <c r="J18" s="65">
        <v>105575</v>
      </c>
      <c r="K18" s="123">
        <f>Table436[[#This Row],[Min Daily Hours]]*J$199</f>
        <v>25</v>
      </c>
      <c r="L18" s="123">
        <f>SUM(Table436[[#This Row],[1]:[31]])</f>
        <v>25.426388888888884</v>
      </c>
      <c r="M18" s="121">
        <v>0.80555555555555547</v>
      </c>
      <c r="N18" s="121">
        <v>0.79166666666666663</v>
      </c>
      <c r="O18" s="121">
        <v>0.69374999999999998</v>
      </c>
      <c r="P18" s="121">
        <v>0.43541666666666662</v>
      </c>
      <c r="Q18" s="121">
        <v>1</v>
      </c>
      <c r="R18" s="121">
        <v>0.8847222222222223</v>
      </c>
      <c r="S18" s="121">
        <v>0.81597222222222221</v>
      </c>
      <c r="T18" s="121">
        <v>0.58333333333333337</v>
      </c>
      <c r="U18" s="121">
        <v>0.7631944444444444</v>
      </c>
      <c r="V18" s="121">
        <v>1</v>
      </c>
      <c r="W18" s="121">
        <v>0.5</v>
      </c>
      <c r="X18" s="121">
        <v>0.76041666666666663</v>
      </c>
      <c r="Y18" s="121">
        <v>0.76041666666666663</v>
      </c>
      <c r="Z18" s="121">
        <v>0.9916666666666667</v>
      </c>
      <c r="AA18" s="121">
        <v>0.88402777777777775</v>
      </c>
      <c r="AB18" s="121">
        <v>0.99444444444444446</v>
      </c>
      <c r="AC18" s="121">
        <v>0.88888888888888884</v>
      </c>
      <c r="AD18" s="22">
        <v>0.4291666666666667</v>
      </c>
      <c r="AE18" s="22">
        <v>0.9770833333333333</v>
      </c>
      <c r="AF18" s="22">
        <v>0.71250000000000002</v>
      </c>
      <c r="AG18" s="22">
        <v>0.98263888888888884</v>
      </c>
      <c r="AH18" s="215">
        <v>0.83263888888888893</v>
      </c>
      <c r="AI18" s="22">
        <v>0.6069444444444444</v>
      </c>
      <c r="AJ18" s="22">
        <v>1</v>
      </c>
      <c r="AK18" s="22">
        <v>1</v>
      </c>
      <c r="AL18" s="22">
        <v>0.86388888888888893</v>
      </c>
      <c r="AM18" s="22">
        <v>0.82500000000000007</v>
      </c>
      <c r="AN18" s="22">
        <v>1</v>
      </c>
      <c r="AO18" s="22">
        <v>1</v>
      </c>
      <c r="AP18" s="22">
        <v>0.80138888888888893</v>
      </c>
      <c r="AQ18" s="22">
        <v>0.84166666666666667</v>
      </c>
    </row>
    <row r="19" spans="1:43" ht="17.25" customHeight="1" x14ac:dyDescent="0.35">
      <c r="A19" s="169" t="s">
        <v>171</v>
      </c>
      <c r="B19" s="170" t="s">
        <v>10</v>
      </c>
      <c r="C19" s="170" t="s">
        <v>225</v>
      </c>
      <c r="D19" s="169" t="s">
        <v>39</v>
      </c>
      <c r="E19" s="169" t="s">
        <v>457</v>
      </c>
      <c r="F19" s="121">
        <v>0.83333333333333337</v>
      </c>
      <c r="G19" s="195">
        <f>Table436[[#This Row],[Min Daily Hours]]*24</f>
        <v>20</v>
      </c>
      <c r="H19" s="76">
        <v>14</v>
      </c>
      <c r="I19" s="22">
        <f>Table4[[#This Row],[Available Hours for Service]]</f>
        <v>28.460416666668607</v>
      </c>
      <c r="J19" s="65">
        <v>56565</v>
      </c>
      <c r="K19" s="123">
        <f>Table436[[#This Row],[Min Daily Hours]]*J$199</f>
        <v>25</v>
      </c>
      <c r="L19" s="123">
        <f>SUM(Table436[[#This Row],[1]:[31]])</f>
        <v>23.02986111111111</v>
      </c>
      <c r="M19" s="121">
        <v>0.74861111111111101</v>
      </c>
      <c r="N19" s="121">
        <v>0.63958333333333328</v>
      </c>
      <c r="O19" s="121">
        <v>0.5756944444444444</v>
      </c>
      <c r="P19" s="121">
        <v>0.63680555555555551</v>
      </c>
      <c r="Q19" s="121">
        <v>0.57777777777777783</v>
      </c>
      <c r="R19" s="121">
        <v>0.57777777777777783</v>
      </c>
      <c r="S19" s="121">
        <v>0.84722222222222221</v>
      </c>
      <c r="T19" s="121">
        <v>0.5756944444444444</v>
      </c>
      <c r="U19" s="121">
        <v>0.875</v>
      </c>
      <c r="V19" s="121">
        <v>1</v>
      </c>
      <c r="W19" s="121">
        <v>0.77013888888888893</v>
      </c>
      <c r="X19" s="121">
        <v>0.7319444444444444</v>
      </c>
      <c r="Y19" s="121">
        <v>0.4826388888888889</v>
      </c>
      <c r="Z19" s="121">
        <v>0.95347222222222217</v>
      </c>
      <c r="AA19" s="121">
        <v>0.87847222222222221</v>
      </c>
      <c r="AB19" s="121">
        <v>0.84861111111111109</v>
      </c>
      <c r="AC19" s="121">
        <v>0.65902777777777777</v>
      </c>
      <c r="AD19" s="22">
        <v>0.47291666666666665</v>
      </c>
      <c r="AE19" s="22">
        <v>0.90416666666666667</v>
      </c>
      <c r="AF19" s="22">
        <v>0.48472222222222222</v>
      </c>
      <c r="AG19" s="22">
        <v>0.97499999999999998</v>
      </c>
      <c r="AH19" s="215">
        <v>0.91666666666666663</v>
      </c>
      <c r="AI19" s="22">
        <v>0.57986111111111105</v>
      </c>
      <c r="AJ19" s="22">
        <v>0.75416666666666676</v>
      </c>
      <c r="AK19" s="22">
        <v>0.98125000000000007</v>
      </c>
      <c r="AL19" s="22">
        <v>0.71944444444444444</v>
      </c>
      <c r="AM19" s="22">
        <v>0.59652777777777777</v>
      </c>
      <c r="AN19" s="22">
        <v>0.94652777777777775</v>
      </c>
      <c r="AO19" s="22">
        <v>0.62361111111111112</v>
      </c>
      <c r="AP19" s="22">
        <v>0.70416666666666661</v>
      </c>
      <c r="AQ19" s="22">
        <v>0.99236111111111114</v>
      </c>
    </row>
    <row r="20" spans="1:43" ht="17.25" customHeight="1" x14ac:dyDescent="0.35">
      <c r="A20" s="169" t="s">
        <v>171</v>
      </c>
      <c r="B20" s="170" t="s">
        <v>10</v>
      </c>
      <c r="C20" s="170" t="s">
        <v>225</v>
      </c>
      <c r="D20" s="169" t="s">
        <v>354</v>
      </c>
      <c r="E20" s="169" t="s">
        <v>457</v>
      </c>
      <c r="F20" s="121">
        <v>0.83333333333333337</v>
      </c>
      <c r="G20" s="195">
        <f>Table436[[#This Row],[Min Daily Hours]]*24</f>
        <v>20</v>
      </c>
      <c r="H20" s="76">
        <v>9.1</v>
      </c>
      <c r="I20" s="22" t="e">
        <f>Table4[[#This Row],[Available Hours for Service]]</f>
        <v>#VALUE!</v>
      </c>
      <c r="J20" s="65">
        <v>61100</v>
      </c>
      <c r="K20" s="123">
        <f>Table436[[#This Row],[Min Daily Hours]]*J$199</f>
        <v>25</v>
      </c>
      <c r="L20" s="123">
        <f>SUM(Table436[[#This Row],[1]:[31]])</f>
        <v>13.986111111111111</v>
      </c>
      <c r="M20" s="121">
        <v>0.55694444444444446</v>
      </c>
      <c r="N20" s="121">
        <v>0.45069444444444445</v>
      </c>
      <c r="O20" s="121">
        <v>0.24166666666666667</v>
      </c>
      <c r="P20" s="121">
        <v>0.69027777777777777</v>
      </c>
      <c r="Q20" s="121">
        <v>0.24027777777777778</v>
      </c>
      <c r="R20" s="121">
        <v>0.3972222222222222</v>
      </c>
      <c r="S20" s="121">
        <v>0.48958333333333331</v>
      </c>
      <c r="T20" s="121">
        <v>8.3333333333333329E-2</v>
      </c>
      <c r="U20" s="121">
        <v>0.4680555555555555</v>
      </c>
      <c r="V20" s="121">
        <v>0.54166666666666663</v>
      </c>
      <c r="W20" s="121">
        <v>0.51736111111111105</v>
      </c>
      <c r="X20" s="121">
        <v>0.34375</v>
      </c>
      <c r="Y20" s="121">
        <v>0.66666666666666663</v>
      </c>
      <c r="Z20" s="121">
        <v>0.38750000000000001</v>
      </c>
      <c r="AA20" s="121">
        <v>0.37361111111111112</v>
      </c>
      <c r="AB20" s="121">
        <v>0.60486111111111118</v>
      </c>
      <c r="AC20" s="121">
        <v>0.84305555555555556</v>
      </c>
      <c r="AD20" s="22">
        <v>0.55625000000000002</v>
      </c>
      <c r="AE20" s="22">
        <v>0.3</v>
      </c>
      <c r="AF20" s="22">
        <v>0.14027777777777778</v>
      </c>
      <c r="AG20" s="22">
        <v>0.39166666666666666</v>
      </c>
      <c r="AH20" s="215">
        <v>0.56805555555555554</v>
      </c>
      <c r="AI20" s="22">
        <v>0.2638888888888889</v>
      </c>
      <c r="AJ20" s="22">
        <v>0.48472222222222222</v>
      </c>
      <c r="AK20" s="22">
        <v>0.38611111111111113</v>
      </c>
      <c r="AL20" s="22">
        <v>0.29166666666666669</v>
      </c>
      <c r="AM20" s="22">
        <v>0.21944444444444444</v>
      </c>
      <c r="AN20" s="22">
        <v>0.61527777777777781</v>
      </c>
      <c r="AO20" s="22">
        <v>0.41180555555555554</v>
      </c>
      <c r="AP20" s="22">
        <v>0.71527777777777779</v>
      </c>
      <c r="AQ20" s="22">
        <v>0.74513888888888891</v>
      </c>
    </row>
    <row r="21" spans="1:43" s="157" customFormat="1" ht="17.25" customHeight="1" x14ac:dyDescent="0.35">
      <c r="A21" s="169" t="s">
        <v>176</v>
      </c>
      <c r="B21" s="170" t="s">
        <v>355</v>
      </c>
      <c r="C21" s="170" t="s">
        <v>224</v>
      </c>
      <c r="D21" s="169" t="s">
        <v>36</v>
      </c>
      <c r="E21" s="169" t="s">
        <v>459</v>
      </c>
      <c r="F21" s="121">
        <v>0.16666666666666666</v>
      </c>
      <c r="G21" s="195">
        <f>Table436[[#This Row],[Min Daily Hours]]*24</f>
        <v>4</v>
      </c>
      <c r="H21" s="76">
        <v>4.3</v>
      </c>
      <c r="I21" s="121">
        <f>Table4[[#This Row],[Available Hours for Service]]</f>
        <v>27.931944444455439</v>
      </c>
      <c r="J21" s="65">
        <v>46100</v>
      </c>
      <c r="K21" s="123">
        <f>Table436[[#This Row],[Min Daily Hours]]*J$199</f>
        <v>5</v>
      </c>
      <c r="L21" s="123">
        <f>SUM(Table436[[#This Row],[1]:[31]])</f>
        <v>8.9993055555555568</v>
      </c>
      <c r="M21" s="121">
        <v>0.49583333333333335</v>
      </c>
      <c r="N21" s="121">
        <v>2.013888888888889E-2</v>
      </c>
      <c r="O21" s="121">
        <v>0.15486111111111112</v>
      </c>
      <c r="P21" s="121">
        <v>0.42499999999999999</v>
      </c>
      <c r="Q21" s="121">
        <v>0.20833333333333334</v>
      </c>
      <c r="R21" s="121">
        <v>0.27013888888888887</v>
      </c>
      <c r="S21" s="121">
        <v>0.35833333333333334</v>
      </c>
      <c r="T21" s="121">
        <v>8.3333333333333329E-2</v>
      </c>
      <c r="U21" s="121">
        <v>0.29166666666666669</v>
      </c>
      <c r="V21" s="121">
        <v>0.43611111111111112</v>
      </c>
      <c r="W21" s="121">
        <v>0.48333333333333334</v>
      </c>
      <c r="X21" s="121">
        <v>0.27013888888888887</v>
      </c>
      <c r="Y21" s="121">
        <v>0.5</v>
      </c>
      <c r="Z21" s="121">
        <v>0.11944444444444445</v>
      </c>
      <c r="AA21" s="121">
        <v>0.34097222222222223</v>
      </c>
      <c r="AB21" s="121">
        <v>0.54375000000000007</v>
      </c>
      <c r="AC21" s="121">
        <v>0.28958333333333336</v>
      </c>
      <c r="AD21" s="121">
        <v>0.20833333333333334</v>
      </c>
      <c r="AE21" s="121">
        <v>0.29722222222222222</v>
      </c>
      <c r="AF21" s="121">
        <v>4.7916666666666663E-2</v>
      </c>
      <c r="AG21" s="121">
        <v>5.2777777777777778E-2</v>
      </c>
      <c r="AH21" s="215">
        <v>0.32500000000000001</v>
      </c>
      <c r="AI21" s="121">
        <v>0.2638888888888889</v>
      </c>
      <c r="AJ21" s="121">
        <v>0.19722222222222222</v>
      </c>
      <c r="AK21" s="121">
        <v>0.25416666666666665</v>
      </c>
      <c r="AL21" s="121">
        <v>8.3333333333333329E-2</v>
      </c>
      <c r="AM21" s="121">
        <v>0</v>
      </c>
      <c r="AN21" s="121">
        <v>0.16111111111111112</v>
      </c>
      <c r="AO21" s="121">
        <v>0.37986111111111115</v>
      </c>
      <c r="AP21" s="121">
        <v>0.71250000000000002</v>
      </c>
      <c r="AQ21" s="121">
        <v>0.72499999999999998</v>
      </c>
    </row>
    <row r="22" spans="1:43" ht="17.25" customHeight="1" x14ac:dyDescent="0.35">
      <c r="A22" s="169" t="s">
        <v>176</v>
      </c>
      <c r="B22" s="170" t="s">
        <v>10</v>
      </c>
      <c r="C22" s="170" t="s">
        <v>224</v>
      </c>
      <c r="D22" s="169" t="s">
        <v>40</v>
      </c>
      <c r="E22" s="169" t="s">
        <v>457</v>
      </c>
      <c r="F22" s="121">
        <v>0.83333333333333337</v>
      </c>
      <c r="G22" s="195">
        <f>Table436[[#This Row],[Min Daily Hours]]*24</f>
        <v>20</v>
      </c>
      <c r="H22" s="76">
        <v>17</v>
      </c>
      <c r="I22" s="22">
        <f>Table4[[#This Row],[Available Hours for Service]]</f>
        <v>179161.74791666665</v>
      </c>
      <c r="J22" s="65">
        <v>86550</v>
      </c>
      <c r="K22" s="123">
        <f>Table436[[#This Row],[Min Daily Hours]]*J$199</f>
        <v>25</v>
      </c>
      <c r="L22" s="123">
        <f>SUM(Table436[[#This Row],[1]:[31]])</f>
        <v>20.470138888888886</v>
      </c>
      <c r="M22" s="121">
        <v>0.65416666666666667</v>
      </c>
      <c r="N22" s="121">
        <v>0.4055555555555555</v>
      </c>
      <c r="O22" s="121">
        <v>0.54166666666666663</v>
      </c>
      <c r="P22" s="121">
        <v>0.26805555555555555</v>
      </c>
      <c r="Q22" s="121">
        <v>0.70833333333333337</v>
      </c>
      <c r="R22" s="121">
        <v>0.5</v>
      </c>
      <c r="S22" s="121">
        <v>0.58333333333333337</v>
      </c>
      <c r="T22" s="121">
        <v>0.74236111111111114</v>
      </c>
      <c r="U22" s="121">
        <v>0.65902777777777777</v>
      </c>
      <c r="V22" s="121">
        <v>0.89930555555555547</v>
      </c>
      <c r="W22" s="121">
        <v>0.64652777777777781</v>
      </c>
      <c r="X22" s="121">
        <v>0.8208333333333333</v>
      </c>
      <c r="Y22" s="121">
        <v>0.8041666666666667</v>
      </c>
      <c r="Z22" s="121">
        <v>0.93263888888888891</v>
      </c>
      <c r="AA22" s="121">
        <v>0.80069444444444438</v>
      </c>
      <c r="AB22" s="121">
        <v>0.78749999999999998</v>
      </c>
      <c r="AC22" s="121">
        <v>0.75624999999999998</v>
      </c>
      <c r="AD22" s="22">
        <v>0.4597222222222222</v>
      </c>
      <c r="AE22" s="22">
        <v>0.88958333333333339</v>
      </c>
      <c r="AF22" s="22">
        <v>0.57916666666666672</v>
      </c>
      <c r="AG22" s="22">
        <v>0.71944444444444444</v>
      </c>
      <c r="AH22" s="215">
        <v>0.76527777777777783</v>
      </c>
      <c r="AI22" s="22">
        <v>0.51250000000000007</v>
      </c>
      <c r="AJ22" s="22">
        <v>0.83472222222222225</v>
      </c>
      <c r="AK22" s="22">
        <v>0.69513888888888886</v>
      </c>
      <c r="AL22" s="22">
        <v>0.44861111111111113</v>
      </c>
      <c r="AM22" s="22">
        <v>0.47500000000000003</v>
      </c>
      <c r="AN22" s="22">
        <v>0.78541666666666676</v>
      </c>
      <c r="AO22" s="22">
        <v>0.67708333333333337</v>
      </c>
      <c r="AP22" s="22">
        <v>0.47638888888888892</v>
      </c>
      <c r="AQ22" s="22">
        <v>0.64166666666666672</v>
      </c>
    </row>
    <row r="23" spans="1:43" s="157" customFormat="1" ht="17.25" customHeight="1" x14ac:dyDescent="0.35">
      <c r="A23" s="169" t="s">
        <v>176</v>
      </c>
      <c r="B23" s="170" t="s">
        <v>10</v>
      </c>
      <c r="C23" s="170" t="s">
        <v>224</v>
      </c>
      <c r="D23" s="169" t="s">
        <v>500</v>
      </c>
      <c r="E23" s="169" t="s">
        <v>457</v>
      </c>
      <c r="F23" s="121">
        <v>0.83333333333333337</v>
      </c>
      <c r="G23" s="195">
        <f>Table436[[#This Row],[Min Daily Hours]]*24</f>
        <v>20</v>
      </c>
      <c r="H23" s="76"/>
      <c r="I23" s="121">
        <f>Table4[[#This Row],[Available Hours for Service]]</f>
        <v>44810.941666666673</v>
      </c>
      <c r="J23" s="65"/>
      <c r="K23" s="123">
        <f>Table436[[#This Row],[Min Daily Hours]]*J$199</f>
        <v>25</v>
      </c>
      <c r="L23" s="123">
        <f>SUM(Table436[[#This Row],[1]:[31]])</f>
        <v>23.541666666666671</v>
      </c>
      <c r="M23" s="121">
        <v>0.45833333333333331</v>
      </c>
      <c r="N23" s="121">
        <v>1</v>
      </c>
      <c r="O23" s="121">
        <v>1</v>
      </c>
      <c r="P23" s="121">
        <v>1</v>
      </c>
      <c r="Q23" s="121">
        <v>1</v>
      </c>
      <c r="R23" s="121">
        <v>1</v>
      </c>
      <c r="S23" s="121">
        <v>1</v>
      </c>
      <c r="T23" s="121">
        <v>1</v>
      </c>
      <c r="U23" s="121">
        <v>0.95833333333333337</v>
      </c>
      <c r="V23" s="121">
        <v>1</v>
      </c>
      <c r="W23" s="121">
        <v>1</v>
      </c>
      <c r="X23" s="121">
        <v>0.83333333333333337</v>
      </c>
      <c r="Y23" s="121">
        <v>1</v>
      </c>
      <c r="Z23" s="121">
        <v>1</v>
      </c>
      <c r="AA23" s="121">
        <v>0.625</v>
      </c>
      <c r="AB23" s="121">
        <v>0.75</v>
      </c>
      <c r="AC23" s="121">
        <v>1</v>
      </c>
      <c r="AD23" s="121">
        <v>0.33333333333333331</v>
      </c>
      <c r="AE23" s="121">
        <v>1</v>
      </c>
      <c r="AF23" s="121">
        <v>0.66666666666666663</v>
      </c>
      <c r="AG23" s="121">
        <v>1</v>
      </c>
      <c r="AH23" s="215">
        <v>1</v>
      </c>
      <c r="AI23" s="121">
        <v>0.375</v>
      </c>
      <c r="AJ23" s="121">
        <v>0.91666666666666663</v>
      </c>
      <c r="AK23" s="121">
        <v>0.45833333333333331</v>
      </c>
      <c r="AL23" s="121">
        <v>0.91666666666666663</v>
      </c>
      <c r="AM23" s="121">
        <v>0.83333333333333337</v>
      </c>
      <c r="AN23" s="121">
        <v>0.41666666666666669</v>
      </c>
      <c r="AO23" s="121">
        <v>0</v>
      </c>
      <c r="AP23" s="121">
        <v>0</v>
      </c>
      <c r="AQ23" s="121">
        <v>0</v>
      </c>
    </row>
    <row r="24" spans="1:43" ht="17.25" customHeight="1" x14ac:dyDescent="0.35">
      <c r="A24" s="169" t="s">
        <v>176</v>
      </c>
      <c r="B24" s="170" t="s">
        <v>10</v>
      </c>
      <c r="C24" s="170" t="s">
        <v>226</v>
      </c>
      <c r="D24" s="169" t="s">
        <v>41</v>
      </c>
      <c r="E24" s="169" t="s">
        <v>457</v>
      </c>
      <c r="F24" s="121">
        <v>0.83333333333333337</v>
      </c>
      <c r="G24" s="195">
        <f>Table436[[#This Row],[Min Daily Hours]]*24</f>
        <v>20</v>
      </c>
      <c r="H24" s="76">
        <v>20</v>
      </c>
      <c r="I24" s="22">
        <f>Table4[[#This Row],[Available Hours for Service]]</f>
        <v>44812.114583333336</v>
      </c>
      <c r="J24" s="65">
        <v>20200</v>
      </c>
      <c r="K24" s="123">
        <f>Table436[[#This Row],[Min Daily Hours]]*J$199</f>
        <v>25</v>
      </c>
      <c r="L24" s="123">
        <f>SUM(Table436[[#This Row],[1]:[31]])</f>
        <v>18.262500000000003</v>
      </c>
      <c r="M24" s="121">
        <v>0.62013888888888891</v>
      </c>
      <c r="N24" s="121">
        <v>0.5</v>
      </c>
      <c r="O24" s="121">
        <v>0.31666666666666665</v>
      </c>
      <c r="P24" s="121">
        <v>0.625</v>
      </c>
      <c r="Q24" s="121">
        <v>0.25</v>
      </c>
      <c r="R24" s="121">
        <v>0.22569444444444445</v>
      </c>
      <c r="S24" s="121">
        <v>0.57777777777777783</v>
      </c>
      <c r="T24" s="121">
        <v>0.75</v>
      </c>
      <c r="U24" s="121">
        <v>0.68125000000000002</v>
      </c>
      <c r="V24" s="121">
        <v>0.63541666666666663</v>
      </c>
      <c r="W24" s="22">
        <v>0.58333333333333337</v>
      </c>
      <c r="X24" s="22">
        <v>0.54166666666666663</v>
      </c>
      <c r="Y24" s="22">
        <v>0.375</v>
      </c>
      <c r="Z24" s="22">
        <v>0.84583333333333333</v>
      </c>
      <c r="AA24" s="22">
        <v>0.49583333333333335</v>
      </c>
      <c r="AB24" s="22">
        <v>0.66319444444444442</v>
      </c>
      <c r="AC24" s="22">
        <v>0.84027777777777779</v>
      </c>
      <c r="AD24" s="22">
        <v>0.5229166666666667</v>
      </c>
      <c r="AE24" s="22">
        <v>0.70347222222222217</v>
      </c>
      <c r="AF24" s="22">
        <v>0.45833333333333331</v>
      </c>
      <c r="AG24" s="22">
        <v>0.70416666666666661</v>
      </c>
      <c r="AH24" s="215">
        <v>0.74722222222222223</v>
      </c>
      <c r="AI24" s="22">
        <v>0.35069444444444442</v>
      </c>
      <c r="AJ24" s="22">
        <v>0.73611111111111116</v>
      </c>
      <c r="AK24" s="22">
        <v>0.65972222222222221</v>
      </c>
      <c r="AL24" s="220">
        <v>0.6645833333333333</v>
      </c>
      <c r="AM24" s="22">
        <v>0.3444444444444445</v>
      </c>
      <c r="AN24" s="22">
        <v>0.65416666666666667</v>
      </c>
      <c r="AO24" s="22">
        <v>0.7284722222222223</v>
      </c>
      <c r="AP24" s="22">
        <v>0.55763888888888891</v>
      </c>
      <c r="AQ24" s="22">
        <v>0.90347222222222223</v>
      </c>
    </row>
    <row r="25" spans="1:43" s="157" customFormat="1" ht="17.25" customHeight="1" x14ac:dyDescent="0.35">
      <c r="A25" s="169" t="s">
        <v>176</v>
      </c>
      <c r="B25" s="170" t="s">
        <v>10</v>
      </c>
      <c r="C25" s="170" t="s">
        <v>226</v>
      </c>
      <c r="D25" s="169" t="s">
        <v>462</v>
      </c>
      <c r="E25" s="169"/>
      <c r="F25" s="121">
        <v>0.5</v>
      </c>
      <c r="G25" s="195">
        <f>Table436[[#This Row],[Min Daily Hours]]*24</f>
        <v>12</v>
      </c>
      <c r="H25" s="76"/>
      <c r="I25" s="121">
        <f>Table4[[#This Row],[Available Hours for Service]]</f>
        <v>30</v>
      </c>
      <c r="J25" s="65"/>
      <c r="K25" s="123">
        <f>Table436[[#This Row],[Min Daily Hours]]*J$199</f>
        <v>15</v>
      </c>
      <c r="L25" s="123">
        <f>SUM(Table436[[#This Row],[1]:[31]])</f>
        <v>18.314583333333339</v>
      </c>
      <c r="M25" s="121">
        <v>0.62013888888888891</v>
      </c>
      <c r="N25" s="121">
        <v>0.5</v>
      </c>
      <c r="O25" s="121">
        <v>0.31666666666666665</v>
      </c>
      <c r="P25" s="121">
        <v>0.625</v>
      </c>
      <c r="Q25" s="121">
        <v>0.25</v>
      </c>
      <c r="R25" s="121">
        <v>0.22569444444444445</v>
      </c>
      <c r="S25" s="121">
        <v>0.57777777777777783</v>
      </c>
      <c r="T25" s="121">
        <v>0.75</v>
      </c>
      <c r="U25" s="121">
        <v>0.68125000000000002</v>
      </c>
      <c r="V25" s="121">
        <v>0.63541666666666663</v>
      </c>
      <c r="W25" s="121">
        <v>0.58333333333333337</v>
      </c>
      <c r="X25" s="121">
        <v>0.54166666666666663</v>
      </c>
      <c r="Y25" s="121">
        <v>0.375</v>
      </c>
      <c r="Z25" s="121">
        <v>0.84583333333333333</v>
      </c>
      <c r="AA25" s="121">
        <v>0.49583333333333335</v>
      </c>
      <c r="AB25" s="121">
        <v>0.66319444444444442</v>
      </c>
      <c r="AC25" s="121">
        <v>0.84027777777777779</v>
      </c>
      <c r="AD25" s="121">
        <v>0.5229166666666667</v>
      </c>
      <c r="AE25" s="121">
        <v>0.70694444444444438</v>
      </c>
      <c r="AF25" s="121">
        <v>0.45833333333333331</v>
      </c>
      <c r="AG25" s="121">
        <v>0.70416666666666661</v>
      </c>
      <c r="AH25" s="215">
        <v>0.74722222222222223</v>
      </c>
      <c r="AI25" s="121">
        <v>0.35069444444444442</v>
      </c>
      <c r="AJ25" s="121">
        <v>0.73611111111111116</v>
      </c>
      <c r="AK25" s="121">
        <v>0.70833333333333337</v>
      </c>
      <c r="AL25" s="121">
        <v>0.6645833333333333</v>
      </c>
      <c r="AM25" s="121">
        <v>0.3444444444444445</v>
      </c>
      <c r="AN25" s="121">
        <v>0.65416666666666667</v>
      </c>
      <c r="AO25" s="121">
        <v>0.7284722222222223</v>
      </c>
      <c r="AP25" s="121">
        <v>0.55763888888888891</v>
      </c>
      <c r="AQ25" s="121">
        <v>0.90347222222222223</v>
      </c>
    </row>
    <row r="26" spans="1:43" s="157" customFormat="1" ht="17.25" customHeight="1" x14ac:dyDescent="0.35">
      <c r="A26" s="169" t="s">
        <v>176</v>
      </c>
      <c r="B26" s="170" t="s">
        <v>312</v>
      </c>
      <c r="C26" s="170" t="s">
        <v>353</v>
      </c>
      <c r="D26" s="169" t="s">
        <v>362</v>
      </c>
      <c r="E26" s="169" t="s">
        <v>461</v>
      </c>
      <c r="F26" s="121">
        <v>0.5</v>
      </c>
      <c r="G26" s="195">
        <f>Table436[[#This Row],[Min Daily Hours]]*24</f>
        <v>12</v>
      </c>
      <c r="H26" s="76">
        <v>0</v>
      </c>
      <c r="I26" s="121">
        <f>Table4[[#This Row],[Available Hours for Service]]</f>
        <v>30</v>
      </c>
      <c r="J26" s="65">
        <v>8000</v>
      </c>
      <c r="K26" s="123">
        <f>Table436[[#This Row],[Min Daily Hours]]*J$199</f>
        <v>15</v>
      </c>
      <c r="L26" s="123">
        <f>SUM(Table436[[#This Row],[1]:[31]])</f>
        <v>15.309722222222218</v>
      </c>
      <c r="M26" s="121">
        <v>0.48333333333333334</v>
      </c>
      <c r="N26" s="121">
        <v>0</v>
      </c>
      <c r="O26" s="121">
        <v>0.89444444444444438</v>
      </c>
      <c r="P26" s="121">
        <v>0.20833333333333334</v>
      </c>
      <c r="Q26" s="121">
        <v>0.29166666666666669</v>
      </c>
      <c r="R26" s="121">
        <v>0.35902777777777778</v>
      </c>
      <c r="S26" s="121">
        <v>0.64236111111111105</v>
      </c>
      <c r="T26" s="121">
        <v>0.61527777777777781</v>
      </c>
      <c r="U26" s="121">
        <v>0.75</v>
      </c>
      <c r="V26" s="121">
        <v>0.65902777777777777</v>
      </c>
      <c r="W26" s="121">
        <v>0.66666666666666663</v>
      </c>
      <c r="X26" s="121">
        <v>0.68958333333333333</v>
      </c>
      <c r="Y26" s="121">
        <v>0.49236111111111108</v>
      </c>
      <c r="Z26" s="121">
        <v>0.66180555555555554</v>
      </c>
      <c r="AA26" s="121">
        <v>0.76874999999999993</v>
      </c>
      <c r="AB26" s="121">
        <v>0.35416666666666669</v>
      </c>
      <c r="AC26" s="121">
        <v>0.17083333333333331</v>
      </c>
      <c r="AD26" s="121">
        <v>0.2722222222222222</v>
      </c>
      <c r="AE26" s="121">
        <v>1</v>
      </c>
      <c r="AF26" s="121">
        <v>0.12222222222222223</v>
      </c>
      <c r="AG26" s="121">
        <v>0.43541666666666662</v>
      </c>
      <c r="AH26" s="215">
        <v>0.1451388888888889</v>
      </c>
      <c r="AI26" s="121">
        <v>0.35</v>
      </c>
      <c r="AJ26" s="121">
        <v>0.64861111111111114</v>
      </c>
      <c r="AK26" s="121">
        <v>0.45833333333333331</v>
      </c>
      <c r="AL26" s="121">
        <v>0.8881944444444444</v>
      </c>
      <c r="AM26" s="121">
        <v>0.75138888888888899</v>
      </c>
      <c r="AN26" s="121">
        <v>0.44375000000000003</v>
      </c>
      <c r="AO26" s="121">
        <v>0.30972222222222223</v>
      </c>
      <c r="AP26" s="121">
        <v>0.35347222222222219</v>
      </c>
      <c r="AQ26" s="121">
        <v>0.4236111111111111</v>
      </c>
    </row>
    <row r="27" spans="1:43" ht="17.25" customHeight="1" x14ac:dyDescent="0.35">
      <c r="A27" s="169" t="s">
        <v>176</v>
      </c>
      <c r="B27" s="170" t="s">
        <v>372</v>
      </c>
      <c r="C27" s="170" t="s">
        <v>353</v>
      </c>
      <c r="D27" s="169" t="s">
        <v>42</v>
      </c>
      <c r="E27" s="169" t="s">
        <v>457</v>
      </c>
      <c r="F27" s="121">
        <v>0.83333333333333337</v>
      </c>
      <c r="G27" s="195">
        <f>Table436[[#This Row],[Min Daily Hours]]*24</f>
        <v>20</v>
      </c>
      <c r="H27" s="76">
        <v>5.8</v>
      </c>
      <c r="I27" s="22">
        <f>Table4[[#This Row],[Available Hours for Service]]</f>
        <v>44811.270138888896</v>
      </c>
      <c r="J27" s="65">
        <v>18100</v>
      </c>
      <c r="K27" s="123">
        <f>Table436[[#This Row],[Min Daily Hours]]*J$199</f>
        <v>25</v>
      </c>
      <c r="L27" s="123">
        <f>SUM(Table436[[#This Row],[1]:[31]])</f>
        <v>25.497222222222224</v>
      </c>
      <c r="M27" s="121">
        <v>1</v>
      </c>
      <c r="N27" s="121">
        <v>1</v>
      </c>
      <c r="O27" s="121">
        <v>0.91666666666666663</v>
      </c>
      <c r="P27" s="121">
        <v>0.91666666666666663</v>
      </c>
      <c r="Q27" s="121">
        <v>0.91666666666666663</v>
      </c>
      <c r="R27" s="121">
        <v>0.85486111111111107</v>
      </c>
      <c r="S27" s="121">
        <v>0.74583333333333324</v>
      </c>
      <c r="T27" s="121">
        <v>0.91666666666666663</v>
      </c>
      <c r="U27" s="121">
        <v>0.80763888888888891</v>
      </c>
      <c r="V27" s="121">
        <v>0.875</v>
      </c>
      <c r="W27" s="121">
        <v>0.66666666666666663</v>
      </c>
      <c r="X27" s="121">
        <v>0.97916666666666663</v>
      </c>
      <c r="Y27" s="121">
        <v>0.97499999999999998</v>
      </c>
      <c r="Z27" s="121">
        <v>0.98888888888888893</v>
      </c>
      <c r="AA27" s="121">
        <v>0.92708333333333337</v>
      </c>
      <c r="AB27" s="121">
        <v>0.93402777777777779</v>
      </c>
      <c r="AC27" s="121">
        <v>0.69236111111111109</v>
      </c>
      <c r="AD27" s="121">
        <v>0</v>
      </c>
      <c r="AE27" s="121">
        <v>1</v>
      </c>
      <c r="AF27" s="121">
        <v>0.625</v>
      </c>
      <c r="AG27" s="121">
        <v>0.80833333333333324</v>
      </c>
      <c r="AH27" s="215">
        <v>0.87430555555555556</v>
      </c>
      <c r="AI27" s="121">
        <v>0.58819444444444446</v>
      </c>
      <c r="AJ27" s="121">
        <v>0.9159722222222223</v>
      </c>
      <c r="AK27" s="121">
        <v>0.8666666666666667</v>
      </c>
      <c r="AL27" s="121">
        <v>0.9458333333333333</v>
      </c>
      <c r="AM27" s="121">
        <v>0.66666666666666663</v>
      </c>
      <c r="AN27" s="121">
        <v>0.54166666666666663</v>
      </c>
      <c r="AO27" s="121">
        <v>0.8208333333333333</v>
      </c>
      <c r="AP27" s="121">
        <v>0.99097222222222225</v>
      </c>
      <c r="AQ27" s="121">
        <v>0.73958333333333337</v>
      </c>
    </row>
    <row r="28" spans="1:43" s="157" customFormat="1" ht="17.25" customHeight="1" x14ac:dyDescent="0.35">
      <c r="A28" s="169" t="s">
        <v>176</v>
      </c>
      <c r="B28" s="170" t="s">
        <v>372</v>
      </c>
      <c r="C28" s="170" t="s">
        <v>353</v>
      </c>
      <c r="D28" s="169" t="s">
        <v>370</v>
      </c>
      <c r="E28" s="169" t="s">
        <v>461</v>
      </c>
      <c r="F28" s="121">
        <v>0.5</v>
      </c>
      <c r="G28" s="195">
        <f>Table436[[#This Row],[Min Daily Hours]]*24</f>
        <v>12</v>
      </c>
      <c r="H28" s="76">
        <v>17.7</v>
      </c>
      <c r="I28" s="121">
        <f>Table4[[#This Row],[Available Hours for Service]]</f>
        <v>44812.426388888896</v>
      </c>
      <c r="J28" s="65">
        <v>11950</v>
      </c>
      <c r="K28" s="123">
        <f>Table436[[#This Row],[Min Daily Hours]]*J$199</f>
        <v>15</v>
      </c>
      <c r="L28" s="123">
        <f>SUM(Table436[[#This Row],[1]:[31]])</f>
        <v>16.302777777777774</v>
      </c>
      <c r="M28" s="121">
        <v>0.48333333333333334</v>
      </c>
      <c r="N28" s="121">
        <v>1</v>
      </c>
      <c r="O28" s="121">
        <v>0.89444444444444438</v>
      </c>
      <c r="P28" s="121">
        <v>0.20833333333333334</v>
      </c>
      <c r="Q28" s="121">
        <v>0.29166666666666669</v>
      </c>
      <c r="R28" s="121">
        <v>0.35902777777777778</v>
      </c>
      <c r="S28" s="121">
        <v>0.64236111111111105</v>
      </c>
      <c r="T28" s="121">
        <v>0.61527777777777781</v>
      </c>
      <c r="U28" s="121">
        <v>0.75</v>
      </c>
      <c r="V28" s="121">
        <v>0.65902777777777777</v>
      </c>
      <c r="W28" s="121">
        <v>0.66666666666666663</v>
      </c>
      <c r="X28" s="121">
        <v>0.68958333333333333</v>
      </c>
      <c r="Y28" s="121">
        <v>0.49236111111111108</v>
      </c>
      <c r="Z28" s="121">
        <v>0.66180555555555554</v>
      </c>
      <c r="AA28" s="121">
        <v>0.76874999999999993</v>
      </c>
      <c r="AB28" s="121">
        <v>0.35416666666666669</v>
      </c>
      <c r="AC28" s="121">
        <v>0.17083333333333331</v>
      </c>
      <c r="AD28" s="121">
        <v>0.2722222222222222</v>
      </c>
      <c r="AE28" s="121">
        <v>1</v>
      </c>
      <c r="AF28" s="121">
        <v>0.12222222222222223</v>
      </c>
      <c r="AG28" s="121">
        <v>0.43541666666666662</v>
      </c>
      <c r="AH28" s="215">
        <v>0.1451388888888889</v>
      </c>
      <c r="AI28" s="121">
        <v>0.35</v>
      </c>
      <c r="AJ28" s="121">
        <v>0.64861111111111114</v>
      </c>
      <c r="AK28" s="121">
        <v>0.4513888888888889</v>
      </c>
      <c r="AL28" s="121">
        <v>0.8881944444444444</v>
      </c>
      <c r="AM28" s="121">
        <v>0.75138888888888899</v>
      </c>
      <c r="AN28" s="121">
        <v>0.44375000000000003</v>
      </c>
      <c r="AO28" s="121">
        <v>0.30972222222222223</v>
      </c>
      <c r="AP28" s="121">
        <v>0.35347222222222219</v>
      </c>
      <c r="AQ28" s="121">
        <v>0.4236111111111111</v>
      </c>
    </row>
    <row r="29" spans="1:43" s="157" customFormat="1" ht="17.25" customHeight="1" x14ac:dyDescent="0.35">
      <c r="A29" s="169" t="s">
        <v>176</v>
      </c>
      <c r="B29" s="170" t="s">
        <v>372</v>
      </c>
      <c r="C29" s="170" t="s">
        <v>353</v>
      </c>
      <c r="D29" s="169" t="s">
        <v>371</v>
      </c>
      <c r="E29" s="169" t="s">
        <v>459</v>
      </c>
      <c r="F29" s="121">
        <v>0.16666666666666666</v>
      </c>
      <c r="G29" s="195">
        <f>Table436[[#This Row],[Min Daily Hours]]*24</f>
        <v>4</v>
      </c>
      <c r="H29" s="76">
        <v>3.8</v>
      </c>
      <c r="I29" s="121">
        <f>Table4[[#This Row],[Available Hours for Service]]</f>
        <v>44809.95208333333</v>
      </c>
      <c r="J29" s="65"/>
      <c r="K29" s="123">
        <f>Table436[[#This Row],[Min Daily Hours]]*J$199</f>
        <v>5</v>
      </c>
      <c r="L29" s="123">
        <f>SUM(Table436[[#This Row],[1]:[31]])</f>
        <v>8.4583333333333321</v>
      </c>
      <c r="M29" s="121">
        <v>0.29166666666666669</v>
      </c>
      <c r="N29" s="121">
        <v>8.3333333333333329E-2</v>
      </c>
      <c r="O29" s="121">
        <v>0.16666666666666666</v>
      </c>
      <c r="P29" s="121">
        <v>0.54166666666666663</v>
      </c>
      <c r="Q29" s="121">
        <v>0.58333333333333337</v>
      </c>
      <c r="R29" s="121">
        <v>0.33333333333333331</v>
      </c>
      <c r="S29" s="121">
        <v>0.41666666666666669</v>
      </c>
      <c r="T29" s="121">
        <v>0.29166666666666669</v>
      </c>
      <c r="U29" s="121">
        <v>0.25</v>
      </c>
      <c r="V29" s="121">
        <v>0.16666666666666666</v>
      </c>
      <c r="W29" s="121">
        <v>0.33333333333333331</v>
      </c>
      <c r="X29" s="121">
        <v>0.58333333333333337</v>
      </c>
      <c r="Y29" s="121">
        <v>0.54166666666666663</v>
      </c>
      <c r="Z29" s="121">
        <v>0.45833333333333331</v>
      </c>
      <c r="AA29" s="121">
        <v>8.3333333333333329E-2</v>
      </c>
      <c r="AB29" s="121">
        <v>0.25</v>
      </c>
      <c r="AC29" s="121">
        <v>0</v>
      </c>
      <c r="AD29" s="121">
        <v>0.29166666666666669</v>
      </c>
      <c r="AE29" s="121">
        <v>0.29166666666666669</v>
      </c>
      <c r="AF29" s="121">
        <v>0</v>
      </c>
      <c r="AG29" s="121">
        <v>0.33333333333333331</v>
      </c>
      <c r="AH29" s="215">
        <v>0.25</v>
      </c>
      <c r="AI29" s="121">
        <v>0</v>
      </c>
      <c r="AJ29" s="121">
        <v>0.29166666666666669</v>
      </c>
      <c r="AK29" s="121">
        <v>0.29166666666666669</v>
      </c>
      <c r="AL29" s="121">
        <v>0.29166666666666669</v>
      </c>
      <c r="AM29" s="121">
        <v>0.25</v>
      </c>
      <c r="AN29" s="121">
        <v>0.25</v>
      </c>
      <c r="AO29" s="121">
        <v>0.33333333333333331</v>
      </c>
      <c r="AP29" s="121">
        <v>4.1666666666666664E-2</v>
      </c>
      <c r="AQ29" s="121">
        <v>0.16666666666666666</v>
      </c>
    </row>
    <row r="30" spans="1:43" s="157" customFormat="1" ht="17.25" customHeight="1" x14ac:dyDescent="0.35">
      <c r="A30" s="169" t="s">
        <v>176</v>
      </c>
      <c r="B30" s="170" t="s">
        <v>364</v>
      </c>
      <c r="C30" s="170" t="s">
        <v>353</v>
      </c>
      <c r="D30" s="169" t="s">
        <v>363</v>
      </c>
      <c r="E30" s="169" t="s">
        <v>459</v>
      </c>
      <c r="F30" s="121">
        <v>0.16666666666666666</v>
      </c>
      <c r="G30" s="195">
        <f>Table436[[#This Row],[Min Daily Hours]]*24</f>
        <v>4</v>
      </c>
      <c r="H30" s="76">
        <v>2.2999999999999998</v>
      </c>
      <c r="I30" s="121">
        <f>Table4[[#This Row],[Available Hours for Service]]</f>
        <v>24.859027777791198</v>
      </c>
      <c r="J30" s="65">
        <v>11700</v>
      </c>
      <c r="K30" s="123">
        <f>Table436[[#This Row],[Min Daily Hours]]*J$199</f>
        <v>5</v>
      </c>
      <c r="L30" s="123">
        <f>SUM(Table436[[#This Row],[1]:[31]])</f>
        <v>7.3437500000000009</v>
      </c>
      <c r="M30" s="121">
        <v>6.3194444444444442E-2</v>
      </c>
      <c r="N30" s="121">
        <v>0.16666666666666666</v>
      </c>
      <c r="O30" s="121">
        <v>0.16666666666666666</v>
      </c>
      <c r="P30" s="121">
        <v>0.29166666666666669</v>
      </c>
      <c r="Q30" s="121">
        <v>0.34375</v>
      </c>
      <c r="R30" s="121">
        <v>0.33333333333333331</v>
      </c>
      <c r="S30" s="121">
        <v>6.9444444444444441E-3</v>
      </c>
      <c r="T30" s="121">
        <v>0.24097222222222223</v>
      </c>
      <c r="U30" s="121">
        <v>0.2638888888888889</v>
      </c>
      <c r="V30" s="121">
        <v>0.27083333333333331</v>
      </c>
      <c r="W30" s="121">
        <v>0.29166666666666669</v>
      </c>
      <c r="X30" s="121">
        <v>0.16666666666666666</v>
      </c>
      <c r="Y30" s="121">
        <v>0.58333333333333337</v>
      </c>
      <c r="Z30" s="121">
        <v>0.67083333333333339</v>
      </c>
      <c r="AA30" s="121">
        <v>0</v>
      </c>
      <c r="AB30" s="121">
        <v>9.375E-2</v>
      </c>
      <c r="AC30" s="121">
        <v>0.22569444444444445</v>
      </c>
      <c r="AD30" s="121">
        <v>0.38541666666666669</v>
      </c>
      <c r="AE30" s="121">
        <v>0.16666666666666666</v>
      </c>
      <c r="AF30" s="121">
        <v>4.1666666666666664E-2</v>
      </c>
      <c r="AG30" s="121">
        <v>0.51666666666666672</v>
      </c>
      <c r="AH30" s="215">
        <v>0.5625</v>
      </c>
      <c r="AI30" s="121">
        <v>0</v>
      </c>
      <c r="AJ30" s="121">
        <v>0.15347222222222223</v>
      </c>
      <c r="AK30" s="121">
        <v>0</v>
      </c>
      <c r="AL30" s="121">
        <v>0.40972222222222227</v>
      </c>
      <c r="AM30" s="121">
        <v>0.125</v>
      </c>
      <c r="AN30" s="121">
        <v>0.16666666666666666</v>
      </c>
      <c r="AO30" s="121">
        <v>0.1423611111111111</v>
      </c>
      <c r="AP30" s="121">
        <v>0.3611111111111111</v>
      </c>
      <c r="AQ30" s="121">
        <v>0.13263888888888889</v>
      </c>
    </row>
    <row r="31" spans="1:43" ht="17.25" customHeight="1" x14ac:dyDescent="0.35">
      <c r="A31" s="169" t="s">
        <v>177</v>
      </c>
      <c r="B31" s="170" t="s">
        <v>11</v>
      </c>
      <c r="C31" s="170" t="s">
        <v>11</v>
      </c>
      <c r="D31" s="169" t="s">
        <v>43</v>
      </c>
      <c r="E31" s="169" t="s">
        <v>460</v>
      </c>
      <c r="F31" s="121">
        <v>0.33333333333333331</v>
      </c>
      <c r="G31" s="195">
        <f>Table436[[#This Row],[Min Daily Hours]]*24</f>
        <v>8</v>
      </c>
      <c r="H31" s="76">
        <v>2.2999999999999998</v>
      </c>
      <c r="I31" s="22">
        <f>Table4[[#This Row],[Available Hours for Service]]</f>
        <v>89530.240277777761</v>
      </c>
      <c r="J31" s="65">
        <v>20800</v>
      </c>
      <c r="K31" s="123">
        <f>Table436[[#This Row],[Min Daily Hours]]*J$199</f>
        <v>10</v>
      </c>
      <c r="L31" s="123">
        <f>SUM(Table436[[#This Row],[1]:[31]])</f>
        <v>14.205555555555554</v>
      </c>
      <c r="M31" s="121">
        <v>0.66666666666666663</v>
      </c>
      <c r="N31" s="121">
        <v>0.56527777777777777</v>
      </c>
      <c r="O31" s="121">
        <v>0.10694444444444444</v>
      </c>
      <c r="P31" s="121">
        <v>0.5</v>
      </c>
      <c r="Q31" s="121">
        <v>0.18055555555555555</v>
      </c>
      <c r="R31" s="121">
        <v>0.44375000000000003</v>
      </c>
      <c r="S31" s="121">
        <v>0.40763888888888888</v>
      </c>
      <c r="T31" s="121">
        <v>0.54166666666666663</v>
      </c>
      <c r="U31" s="121">
        <v>0.56597222222222221</v>
      </c>
      <c r="V31" s="121">
        <v>0.28194444444444444</v>
      </c>
      <c r="W31" s="22">
        <v>0.38472222222222219</v>
      </c>
      <c r="X31" s="22">
        <v>0.33333333333333331</v>
      </c>
      <c r="Y31" s="22">
        <v>0.4548611111111111</v>
      </c>
      <c r="Z31" s="22">
        <v>0.59652777777777777</v>
      </c>
      <c r="AA31" s="22">
        <v>0.45833333333333331</v>
      </c>
      <c r="AB31" s="22">
        <v>0.8354166666666667</v>
      </c>
      <c r="AC31" s="22">
        <v>0.2298611111111111</v>
      </c>
      <c r="AD31" s="22">
        <v>0.2298611111111111</v>
      </c>
      <c r="AE31" s="22">
        <v>0.4458333333333333</v>
      </c>
      <c r="AF31" s="22">
        <v>0.4770833333333333</v>
      </c>
      <c r="AG31" s="22">
        <v>0.62916666666666665</v>
      </c>
      <c r="AH31" s="215">
        <v>0.32013888888888892</v>
      </c>
      <c r="AI31" s="22">
        <v>0.59166666666666667</v>
      </c>
      <c r="AJ31" s="22">
        <v>0.63124999999999998</v>
      </c>
      <c r="AK31" s="22">
        <v>0.40277777777777773</v>
      </c>
      <c r="AL31" s="22">
        <v>0.50555555555555554</v>
      </c>
      <c r="AM31" s="22">
        <v>0.54652777777777783</v>
      </c>
      <c r="AN31" s="22">
        <v>0.43263888888888885</v>
      </c>
      <c r="AO31" s="22">
        <v>0.5854166666666667</v>
      </c>
      <c r="AP31" s="22">
        <v>0.32222222222222224</v>
      </c>
      <c r="AQ31" s="22">
        <v>0.53194444444444444</v>
      </c>
    </row>
    <row r="32" spans="1:43" ht="17.25" customHeight="1" x14ac:dyDescent="0.35">
      <c r="A32" s="169" t="s">
        <v>172</v>
      </c>
      <c r="B32" s="170" t="s">
        <v>6</v>
      </c>
      <c r="C32" s="170" t="s">
        <v>218</v>
      </c>
      <c r="D32" s="169" t="s">
        <v>23</v>
      </c>
      <c r="E32" s="169" t="s">
        <v>460</v>
      </c>
      <c r="F32" s="121">
        <v>0.33333333333333331</v>
      </c>
      <c r="G32" s="195">
        <f>Table436[[#This Row],[Min Daily Hours]]*24</f>
        <v>8</v>
      </c>
      <c r="H32" s="76">
        <v>11.3</v>
      </c>
      <c r="I32" s="22">
        <f>Table4[[#This Row],[Available Hours for Service]]</f>
        <v>24.172222222216078</v>
      </c>
      <c r="J32" s="65">
        <v>41600</v>
      </c>
      <c r="K32" s="123">
        <f>Table436[[#This Row],[Min Daily Hours]]*J$199</f>
        <v>10</v>
      </c>
      <c r="L32" s="123">
        <f>SUM(Table436[[#This Row],[1]:[31]])</f>
        <v>12.541666666666666</v>
      </c>
      <c r="M32" s="121">
        <v>0.25</v>
      </c>
      <c r="N32" s="121">
        <v>0.375</v>
      </c>
      <c r="O32" s="121">
        <v>0.375</v>
      </c>
      <c r="P32" s="121">
        <v>0.125</v>
      </c>
      <c r="Q32" s="121">
        <v>0.5</v>
      </c>
      <c r="R32" s="121">
        <v>0.375</v>
      </c>
      <c r="S32" s="121">
        <v>0.33333333333333331</v>
      </c>
      <c r="T32" s="121">
        <v>0.45833333333333331</v>
      </c>
      <c r="U32" s="121">
        <v>0.41666666666666669</v>
      </c>
      <c r="V32" s="121">
        <v>0.41666666666666669</v>
      </c>
      <c r="W32" s="22">
        <v>0.54166666666666663</v>
      </c>
      <c r="X32" s="22">
        <v>0.41666666666666669</v>
      </c>
      <c r="Y32" s="22">
        <v>0.54166666666666663</v>
      </c>
      <c r="Z32" s="22">
        <v>0.45833333333333331</v>
      </c>
      <c r="AA32" s="22">
        <v>0.625</v>
      </c>
      <c r="AB32" s="22">
        <v>0.29166666666666669</v>
      </c>
      <c r="AC32" s="22">
        <v>0.41666666666666669</v>
      </c>
      <c r="AD32" s="22">
        <v>0.54166666666666663</v>
      </c>
      <c r="AE32" s="22">
        <v>0.375</v>
      </c>
      <c r="AF32" s="22">
        <v>0.29166666666666669</v>
      </c>
      <c r="AG32" s="220">
        <v>0.54166666666666663</v>
      </c>
      <c r="AH32" s="215">
        <v>0.375</v>
      </c>
      <c r="AI32" s="22">
        <v>4.1666666666666664E-2</v>
      </c>
      <c r="AJ32" s="22">
        <v>0.5</v>
      </c>
      <c r="AK32" s="22">
        <v>0.25</v>
      </c>
      <c r="AL32" s="22">
        <v>0.375</v>
      </c>
      <c r="AM32" s="22">
        <v>0.41666666666666669</v>
      </c>
      <c r="AN32" s="22">
        <v>0.75</v>
      </c>
      <c r="AO32" s="22">
        <v>0.5</v>
      </c>
      <c r="AP32" s="22">
        <v>0.125</v>
      </c>
      <c r="AQ32" s="22">
        <v>0.54166666666666663</v>
      </c>
    </row>
    <row r="33" spans="1:43" s="157" customFormat="1" ht="17.25" customHeight="1" x14ac:dyDescent="0.35">
      <c r="A33" s="169" t="s">
        <v>172</v>
      </c>
      <c r="B33" s="170" t="s">
        <v>452</v>
      </c>
      <c r="C33" s="170" t="s">
        <v>218</v>
      </c>
      <c r="D33" s="169" t="s">
        <v>451</v>
      </c>
      <c r="E33" s="169"/>
      <c r="F33" s="121">
        <v>0.5</v>
      </c>
      <c r="G33" s="195">
        <f>Table436[[#This Row],[Min Daily Hours]]*24</f>
        <v>12</v>
      </c>
      <c r="H33" s="76"/>
      <c r="I33" s="121">
        <f>Table4[[#This Row],[Available Hours for Service]]</f>
        <v>29.659027777779556</v>
      </c>
      <c r="J33" s="65"/>
      <c r="K33" s="123">
        <f>Table436[[#This Row],[Min Daily Hours]]*J$199</f>
        <v>15</v>
      </c>
      <c r="L33" s="123">
        <f>SUM(Table436[[#This Row],[1]:[31]])</f>
        <v>23.318750000000001</v>
      </c>
      <c r="M33" s="121">
        <v>0.625</v>
      </c>
      <c r="N33" s="121">
        <v>0.26666666666666666</v>
      </c>
      <c r="O33" s="121">
        <v>0.70833333333333337</v>
      </c>
      <c r="P33" s="121">
        <v>0.58333333333333337</v>
      </c>
      <c r="Q33" s="121">
        <v>0.69305555555555554</v>
      </c>
      <c r="R33" s="121">
        <v>1</v>
      </c>
      <c r="S33" s="121">
        <v>0.55069444444444449</v>
      </c>
      <c r="T33" s="121">
        <v>0.67361111111111116</v>
      </c>
      <c r="U33" s="121">
        <v>0.47361111111111115</v>
      </c>
      <c r="V33" s="121">
        <v>0.76388888888888884</v>
      </c>
      <c r="W33" s="121">
        <v>0.94652777777777775</v>
      </c>
      <c r="X33" s="121">
        <v>0.875</v>
      </c>
      <c r="Y33" s="121">
        <v>0.96944444444444444</v>
      </c>
      <c r="Z33" s="121">
        <v>0.92638888888888893</v>
      </c>
      <c r="AA33" s="121">
        <v>0.92986111111111114</v>
      </c>
      <c r="AB33" s="121">
        <v>0.8979166666666667</v>
      </c>
      <c r="AC33" s="121">
        <v>0.75555555555555554</v>
      </c>
      <c r="AD33" s="121">
        <v>0.47847222222222219</v>
      </c>
      <c r="AE33" s="121">
        <v>0.85833333333333339</v>
      </c>
      <c r="AF33" s="121">
        <v>0.5625</v>
      </c>
      <c r="AG33" s="121">
        <v>0.94305555555555554</v>
      </c>
      <c r="AH33" s="215">
        <v>0.48055555555555557</v>
      </c>
      <c r="AI33" s="121">
        <v>0.60069444444444442</v>
      </c>
      <c r="AJ33" s="121">
        <v>0.96250000000000002</v>
      </c>
      <c r="AK33" s="121">
        <v>0.95416666666666661</v>
      </c>
      <c r="AL33" s="121">
        <v>0.96180555555555547</v>
      </c>
      <c r="AM33" s="121">
        <v>0.6020833333333333</v>
      </c>
      <c r="AN33" s="121">
        <v>0.44444444444444442</v>
      </c>
      <c r="AO33" s="121">
        <v>0.92013888888888884</v>
      </c>
      <c r="AP33" s="121">
        <v>0.93194444444444446</v>
      </c>
      <c r="AQ33" s="121">
        <v>0.97916666666666663</v>
      </c>
    </row>
    <row r="34" spans="1:43" ht="17.25" customHeight="1" x14ac:dyDescent="0.35">
      <c r="A34" s="169" t="s">
        <v>172</v>
      </c>
      <c r="B34" s="170" t="s">
        <v>7</v>
      </c>
      <c r="C34" s="170" t="s">
        <v>219</v>
      </c>
      <c r="D34" s="169" t="s">
        <v>195</v>
      </c>
      <c r="E34" s="169" t="s">
        <v>460</v>
      </c>
      <c r="F34" s="121">
        <v>0.33333333333333331</v>
      </c>
      <c r="G34" s="195">
        <f>Table436[[#This Row],[Min Daily Hours]]*24</f>
        <v>8</v>
      </c>
      <c r="H34" s="76">
        <v>12.3</v>
      </c>
      <c r="I34" s="22">
        <f>Table4[[#This Row],[Available Hours for Service]]</f>
        <v>28.247222222256823</v>
      </c>
      <c r="J34" s="65">
        <v>18750</v>
      </c>
      <c r="K34" s="123">
        <f>Table436[[#This Row],[Min Daily Hours]]*J$199</f>
        <v>10</v>
      </c>
      <c r="L34" s="123">
        <f>SUM(Table436[[#This Row],[1]:[31]])</f>
        <v>18.999999999999996</v>
      </c>
      <c r="M34" s="121">
        <v>0.79166666666666663</v>
      </c>
      <c r="N34" s="121">
        <v>0.91666666666666663</v>
      </c>
      <c r="O34" s="121">
        <v>0.79166666666666663</v>
      </c>
      <c r="P34" s="121">
        <v>0.54166666666666663</v>
      </c>
      <c r="Q34" s="121">
        <v>0.625</v>
      </c>
      <c r="R34" s="121">
        <v>0.70833333333333337</v>
      </c>
      <c r="S34" s="121">
        <v>0.70833333333333337</v>
      </c>
      <c r="T34" s="121">
        <v>0</v>
      </c>
      <c r="U34" s="121">
        <v>0.16666666666666666</v>
      </c>
      <c r="V34" s="121">
        <v>0.16666666666666666</v>
      </c>
      <c r="W34" s="22">
        <v>0</v>
      </c>
      <c r="X34" s="22">
        <v>0.91666666666666663</v>
      </c>
      <c r="Y34" s="22">
        <v>0.95833333333333337</v>
      </c>
      <c r="Z34" s="22">
        <v>1</v>
      </c>
      <c r="AA34" s="22">
        <v>0.75</v>
      </c>
      <c r="AB34" s="22">
        <v>0.375</v>
      </c>
      <c r="AC34" s="22">
        <v>0.25</v>
      </c>
      <c r="AD34" s="22">
        <v>0.79166666666666663</v>
      </c>
      <c r="AE34" s="22">
        <v>0.875</v>
      </c>
      <c r="AF34" s="22">
        <v>0.45833333333333331</v>
      </c>
      <c r="AG34" s="22">
        <v>0.83333333333333337</v>
      </c>
      <c r="AH34" s="215">
        <v>0.54166666666666663</v>
      </c>
      <c r="AI34" s="22">
        <v>0.54166666666666663</v>
      </c>
      <c r="AJ34" s="22">
        <v>0.66666666666666663</v>
      </c>
      <c r="AK34" s="22">
        <v>0.75</v>
      </c>
      <c r="AL34" s="22">
        <v>0.66666666666666663</v>
      </c>
      <c r="AM34" s="22">
        <v>0.41666666666666669</v>
      </c>
      <c r="AN34" s="22">
        <v>0.54166666666666663</v>
      </c>
      <c r="AO34" s="22">
        <v>0.70833333333333337</v>
      </c>
      <c r="AP34" s="22">
        <v>0.70833333333333337</v>
      </c>
      <c r="AQ34" s="22">
        <v>0.83333333333333337</v>
      </c>
    </row>
    <row r="35" spans="1:43" ht="17.25" customHeight="1" x14ac:dyDescent="0.35">
      <c r="A35" s="169" t="s">
        <v>172</v>
      </c>
      <c r="B35" s="170" t="s">
        <v>7</v>
      </c>
      <c r="C35" s="170" t="s">
        <v>219</v>
      </c>
      <c r="D35" s="169" t="s">
        <v>25</v>
      </c>
      <c r="E35" s="169" t="s">
        <v>459</v>
      </c>
      <c r="F35" s="121">
        <v>0.16666666666666666</v>
      </c>
      <c r="G35" s="195">
        <f>Table436[[#This Row],[Min Daily Hours]]*24</f>
        <v>4</v>
      </c>
      <c r="H35" s="76">
        <v>6.3</v>
      </c>
      <c r="I35" s="22">
        <f>Table4[[#This Row],[Available Hours for Service]]</f>
        <v>29.227777777778101</v>
      </c>
      <c r="J35" s="65">
        <v>36400</v>
      </c>
      <c r="K35" s="123">
        <f>Table436[[#This Row],[Min Daily Hours]]*J$199</f>
        <v>5</v>
      </c>
      <c r="L35" s="123">
        <f>SUM(Table436[[#This Row],[1]:[31]])</f>
        <v>22.791666666666664</v>
      </c>
      <c r="M35" s="121">
        <v>0.66666666666666663</v>
      </c>
      <c r="N35" s="121">
        <v>0.875</v>
      </c>
      <c r="O35" s="121">
        <v>0.625</v>
      </c>
      <c r="P35" s="121">
        <v>1</v>
      </c>
      <c r="Q35" s="121">
        <v>0.70833333333333337</v>
      </c>
      <c r="R35" s="121">
        <v>0.75</v>
      </c>
      <c r="S35" s="121">
        <v>0.75</v>
      </c>
      <c r="T35" s="121">
        <v>1</v>
      </c>
      <c r="U35" s="121">
        <v>0.375</v>
      </c>
      <c r="V35" s="121">
        <v>0.375</v>
      </c>
      <c r="W35" s="22">
        <v>0.91666666666666663</v>
      </c>
      <c r="X35" s="22">
        <v>0.91666666666666663</v>
      </c>
      <c r="Y35" s="22">
        <v>0.58333333333333337</v>
      </c>
      <c r="Z35" s="22">
        <v>0.70833333333333337</v>
      </c>
      <c r="AA35" s="22">
        <v>0.70833333333333337</v>
      </c>
      <c r="AB35" s="22">
        <v>0.95833333333333337</v>
      </c>
      <c r="AC35" s="22">
        <v>0.83333333333333337</v>
      </c>
      <c r="AD35" s="22">
        <v>0.875</v>
      </c>
      <c r="AE35" s="22">
        <v>1</v>
      </c>
      <c r="AF35" s="22">
        <v>0.45833333333333331</v>
      </c>
      <c r="AG35" s="22">
        <v>0.54166666666666663</v>
      </c>
      <c r="AH35" s="215">
        <v>0.66666666666666663</v>
      </c>
      <c r="AI35" s="22">
        <v>0.54166666666666663</v>
      </c>
      <c r="AJ35" s="22">
        <v>0.875</v>
      </c>
      <c r="AK35" s="22">
        <v>1</v>
      </c>
      <c r="AL35" s="22">
        <v>0.45833333333333331</v>
      </c>
      <c r="AM35" s="22">
        <v>0.70833333333333337</v>
      </c>
      <c r="AN35" s="22">
        <v>0.875</v>
      </c>
      <c r="AO35" s="22">
        <v>0.70833333333333337</v>
      </c>
      <c r="AP35" s="22">
        <v>0.70833333333333337</v>
      </c>
      <c r="AQ35" s="22">
        <v>0.625</v>
      </c>
    </row>
    <row r="36" spans="1:43" ht="17.25" customHeight="1" x14ac:dyDescent="0.35">
      <c r="A36" s="169" t="s">
        <v>172</v>
      </c>
      <c r="B36" s="170" t="s">
        <v>7</v>
      </c>
      <c r="C36" s="170" t="s">
        <v>219</v>
      </c>
      <c r="D36" s="169" t="s">
        <v>26</v>
      </c>
      <c r="E36" s="169" t="s">
        <v>459</v>
      </c>
      <c r="F36" s="121">
        <v>0.16666666666666666</v>
      </c>
      <c r="G36" s="195">
        <f>Table436[[#This Row],[Min Daily Hours]]*24</f>
        <v>4</v>
      </c>
      <c r="H36" s="76">
        <v>5.0999999999999996</v>
      </c>
      <c r="I36" s="22">
        <f>Table4[[#This Row],[Available Hours for Service]]</f>
        <v>27.190972222226264</v>
      </c>
      <c r="J36" s="65">
        <v>20300</v>
      </c>
      <c r="K36" s="123">
        <f>Table436[[#This Row],[Min Daily Hours]]*J$199</f>
        <v>5</v>
      </c>
      <c r="L36" s="123">
        <f>SUM(Table436[[#This Row],[1]:[31]])</f>
        <v>22.583333333333332</v>
      </c>
      <c r="M36" s="121">
        <v>1</v>
      </c>
      <c r="N36" s="121">
        <v>0.875</v>
      </c>
      <c r="O36" s="121">
        <v>8.3333333333333329E-2</v>
      </c>
      <c r="P36" s="121">
        <v>0.54166666666666663</v>
      </c>
      <c r="Q36" s="121">
        <v>1</v>
      </c>
      <c r="R36" s="121">
        <v>0.70833333333333337</v>
      </c>
      <c r="S36" s="121">
        <v>0.70833333333333337</v>
      </c>
      <c r="T36" s="121">
        <v>0.33333333333333331</v>
      </c>
      <c r="U36" s="121">
        <v>0.375</v>
      </c>
      <c r="V36" s="121">
        <v>0.375</v>
      </c>
      <c r="W36" s="22">
        <v>1</v>
      </c>
      <c r="X36" s="22">
        <v>0.625</v>
      </c>
      <c r="Y36" s="22">
        <v>0.95833333333333337</v>
      </c>
      <c r="Z36" s="22">
        <v>0.91666666666666663</v>
      </c>
      <c r="AA36" s="22">
        <v>1</v>
      </c>
      <c r="AB36" s="22">
        <v>0.79166666666666663</v>
      </c>
      <c r="AC36" s="22">
        <v>0.91666666666666663</v>
      </c>
      <c r="AD36" s="22">
        <v>0.875</v>
      </c>
      <c r="AE36" s="22">
        <v>1</v>
      </c>
      <c r="AF36" s="22">
        <v>0.375</v>
      </c>
      <c r="AG36" s="22">
        <v>0.91666666666666663</v>
      </c>
      <c r="AH36" s="215">
        <v>0.75</v>
      </c>
      <c r="AI36" s="22">
        <v>0.54166666666666663</v>
      </c>
      <c r="AJ36" s="121">
        <v>0.66666666666666663</v>
      </c>
      <c r="AK36" s="22">
        <v>0.91666666666666663</v>
      </c>
      <c r="AL36" s="22">
        <v>0.58333333333333337</v>
      </c>
      <c r="AM36" s="22">
        <v>0.41666666666666669</v>
      </c>
      <c r="AN36" s="22">
        <v>0.625</v>
      </c>
      <c r="AO36" s="22">
        <v>0.875</v>
      </c>
      <c r="AP36" s="22">
        <v>0.83333333333333337</v>
      </c>
      <c r="AQ36" s="22">
        <v>1</v>
      </c>
    </row>
    <row r="37" spans="1:43" ht="17.25" customHeight="1" x14ac:dyDescent="0.35">
      <c r="A37" s="169" t="s">
        <v>172</v>
      </c>
      <c r="B37" s="170" t="s">
        <v>8</v>
      </c>
      <c r="C37" s="170" t="s">
        <v>220</v>
      </c>
      <c r="D37" s="169" t="s">
        <v>27</v>
      </c>
      <c r="E37" s="169" t="s">
        <v>459</v>
      </c>
      <c r="F37" s="121">
        <v>0.16666666666666666</v>
      </c>
      <c r="G37" s="195">
        <f>Table436[[#This Row],[Min Daily Hours]]*24</f>
        <v>4</v>
      </c>
      <c r="H37" s="76">
        <v>8.6999999999999993</v>
      </c>
      <c r="I37" s="22">
        <f>Table4[[#This Row],[Available Hours for Service]]</f>
        <v>25.916666666664241</v>
      </c>
      <c r="J37" s="65">
        <v>23850</v>
      </c>
      <c r="K37" s="123">
        <f>Table436[[#This Row],[Min Daily Hours]]*J$199</f>
        <v>5</v>
      </c>
      <c r="L37" s="123">
        <f>SUM(Table436[[#This Row],[1]:[31]])</f>
        <v>12.027083333333334</v>
      </c>
      <c r="M37" s="121">
        <v>0.875</v>
      </c>
      <c r="N37" s="121">
        <v>0.33333333333333331</v>
      </c>
      <c r="O37" s="121">
        <v>0.41666666666666669</v>
      </c>
      <c r="P37" s="121">
        <v>0.5</v>
      </c>
      <c r="Q37" s="121">
        <v>0.30555555555555552</v>
      </c>
      <c r="R37" s="121">
        <v>0.47430555555555554</v>
      </c>
      <c r="S37" s="121">
        <v>0.47430555555555554</v>
      </c>
      <c r="T37" s="121">
        <v>0.3979166666666667</v>
      </c>
      <c r="U37" s="121">
        <v>0.5</v>
      </c>
      <c r="V37" s="121">
        <v>0.375</v>
      </c>
      <c r="W37" s="22">
        <v>0.625</v>
      </c>
      <c r="X37" s="22">
        <v>0.31944444444444448</v>
      </c>
      <c r="Y37" s="22">
        <v>0.58333333333333337</v>
      </c>
      <c r="Z37" s="22">
        <v>0.3979166666666667</v>
      </c>
      <c r="AA37" s="22">
        <v>0.35625000000000001</v>
      </c>
      <c r="AB37" s="22">
        <v>0.41666666666666669</v>
      </c>
      <c r="AC37" s="22">
        <v>0.37708333333333338</v>
      </c>
      <c r="AD37" s="22">
        <v>0.16666666666666666</v>
      </c>
      <c r="AE37" s="22">
        <v>0.38263888888888892</v>
      </c>
      <c r="AF37" s="22">
        <v>0.125</v>
      </c>
      <c r="AG37" s="22">
        <v>0.29166666666666669</v>
      </c>
      <c r="AH37" s="215">
        <v>0.45833333333333331</v>
      </c>
      <c r="AI37" s="22">
        <v>0.41666666666666669</v>
      </c>
      <c r="AJ37" s="22">
        <v>0.25</v>
      </c>
      <c r="AK37" s="22">
        <v>0.45833333333333331</v>
      </c>
      <c r="AL37" s="22">
        <v>0.45833333333333331</v>
      </c>
      <c r="AM37" s="22">
        <v>0.29166666666666669</v>
      </c>
      <c r="AN37" s="22">
        <v>0.25</v>
      </c>
      <c r="AO37" s="22">
        <v>0.20833333333333334</v>
      </c>
      <c r="AP37" s="22">
        <v>0.54166666666666663</v>
      </c>
      <c r="AQ37" s="22">
        <v>0</v>
      </c>
    </row>
    <row r="38" spans="1:43" ht="17.25" customHeight="1" x14ac:dyDescent="0.35">
      <c r="A38" s="169" t="s">
        <v>170</v>
      </c>
      <c r="B38" s="170" t="s">
        <v>8</v>
      </c>
      <c r="C38" s="170" t="s">
        <v>215</v>
      </c>
      <c r="D38" s="169" t="s">
        <v>309</v>
      </c>
      <c r="E38" s="169" t="s">
        <v>457</v>
      </c>
      <c r="F38" s="121">
        <v>0.83333333333333337</v>
      </c>
      <c r="G38" s="195">
        <f>Table436[[#This Row],[Min Daily Hours]]*24</f>
        <v>20</v>
      </c>
      <c r="H38" s="76">
        <v>20.7</v>
      </c>
      <c r="I38" s="22">
        <f>Table4[[#This Row],[Available Hours for Service]]</f>
        <v>29.909722222218988</v>
      </c>
      <c r="J38" s="65">
        <v>66550</v>
      </c>
      <c r="K38" s="123">
        <f>Table436[[#This Row],[Min Daily Hours]]*J$199</f>
        <v>25</v>
      </c>
      <c r="L38" s="123">
        <f>SUM(Table436[[#This Row],[1]:[31]])</f>
        <v>27.048611111111114</v>
      </c>
      <c r="M38" s="121">
        <v>0.45833333333333331</v>
      </c>
      <c r="N38" s="121">
        <v>0.91666666666666663</v>
      </c>
      <c r="O38" s="121">
        <v>1</v>
      </c>
      <c r="P38" s="121">
        <v>0.91666666666666663</v>
      </c>
      <c r="Q38" s="121">
        <v>1</v>
      </c>
      <c r="R38" s="121">
        <v>0.77777777777777779</v>
      </c>
      <c r="S38" s="121">
        <v>0.77777777777777779</v>
      </c>
      <c r="T38" s="121">
        <v>1</v>
      </c>
      <c r="U38" s="121">
        <v>1</v>
      </c>
      <c r="V38" s="121">
        <v>1</v>
      </c>
      <c r="W38" s="22">
        <v>1</v>
      </c>
      <c r="X38" s="22">
        <v>0.9291666666666667</v>
      </c>
      <c r="Y38" s="22">
        <v>1</v>
      </c>
      <c r="Z38" s="22">
        <v>1</v>
      </c>
      <c r="AA38" s="22">
        <v>0.85763888888888884</v>
      </c>
      <c r="AB38" s="22">
        <v>1</v>
      </c>
      <c r="AC38" s="22">
        <v>0.83333333333333337</v>
      </c>
      <c r="AD38" s="22">
        <v>0.43263888888888885</v>
      </c>
      <c r="AE38" s="22">
        <v>0.69027777777777777</v>
      </c>
      <c r="AF38" s="22">
        <v>0.58333333333333337</v>
      </c>
      <c r="AG38" s="22">
        <v>1</v>
      </c>
      <c r="AH38" s="215">
        <v>0.91666666666666663</v>
      </c>
      <c r="AI38" s="22">
        <v>0.625</v>
      </c>
      <c r="AJ38" s="22">
        <v>0.91666666666666663</v>
      </c>
      <c r="AK38" s="22">
        <v>0.83333333333333337</v>
      </c>
      <c r="AL38" s="22">
        <v>0.83333333333333337</v>
      </c>
      <c r="AM38" s="22">
        <v>1</v>
      </c>
      <c r="AN38" s="22">
        <v>1</v>
      </c>
      <c r="AO38" s="22">
        <v>0.91666666666666663</v>
      </c>
      <c r="AP38" s="22">
        <v>0.91666666666666663</v>
      </c>
      <c r="AQ38" s="22">
        <v>0.91666666666666663</v>
      </c>
    </row>
    <row r="39" spans="1:43" ht="17.25" customHeight="1" x14ac:dyDescent="0.35">
      <c r="A39" s="169" t="s">
        <v>172</v>
      </c>
      <c r="B39" s="170" t="s">
        <v>8</v>
      </c>
      <c r="C39" s="170" t="s">
        <v>220</v>
      </c>
      <c r="D39" s="169" t="s">
        <v>493</v>
      </c>
      <c r="E39" s="169"/>
      <c r="F39" s="121">
        <v>0.5</v>
      </c>
      <c r="G39" s="195">
        <f>Table436[[#This Row],[Min Daily Hours]]*24</f>
        <v>12</v>
      </c>
      <c r="H39" s="76">
        <v>6.2</v>
      </c>
      <c r="I39" s="22">
        <f>Table4[[#This Row],[Available Hours for Service]]</f>
        <v>30</v>
      </c>
      <c r="J39" s="65">
        <v>11300</v>
      </c>
      <c r="K39" s="123">
        <f>Table436[[#This Row],[Min Daily Hours]]*J$199</f>
        <v>15</v>
      </c>
      <c r="L39" s="123">
        <f>SUM(Table436[[#This Row],[1]:[31]])</f>
        <v>27.453472222222228</v>
      </c>
      <c r="M39" s="215">
        <v>0.92638888888888893</v>
      </c>
      <c r="N39" s="121">
        <v>0.78125</v>
      </c>
      <c r="O39" s="121">
        <v>1</v>
      </c>
      <c r="P39" s="121">
        <v>0.5</v>
      </c>
      <c r="Q39" s="121">
        <v>1</v>
      </c>
      <c r="R39" s="121">
        <v>1</v>
      </c>
      <c r="S39" s="121">
        <v>0.56597222222222221</v>
      </c>
      <c r="T39" s="121">
        <v>1</v>
      </c>
      <c r="U39" s="121">
        <v>1</v>
      </c>
      <c r="V39" s="121">
        <v>1</v>
      </c>
      <c r="W39" s="22">
        <v>0.98819444444444438</v>
      </c>
      <c r="X39" s="22">
        <v>0.875</v>
      </c>
      <c r="Y39" s="22">
        <v>1</v>
      </c>
      <c r="Z39" s="22">
        <v>0.96805555555555556</v>
      </c>
      <c r="AA39" s="22">
        <v>0.85416666666666663</v>
      </c>
      <c r="AB39" s="22">
        <v>1</v>
      </c>
      <c r="AC39" s="22">
        <v>0.85625000000000007</v>
      </c>
      <c r="AD39" s="22">
        <v>0.875</v>
      </c>
      <c r="AE39" s="22">
        <v>0.92152777777777783</v>
      </c>
      <c r="AF39" s="22">
        <v>0.54305555555555551</v>
      </c>
      <c r="AG39" s="22">
        <v>0.9375</v>
      </c>
      <c r="AH39" s="215">
        <v>0.57708333333333328</v>
      </c>
      <c r="AI39" s="22">
        <v>0.5854166666666667</v>
      </c>
      <c r="AJ39" s="22">
        <v>1</v>
      </c>
      <c r="AK39" s="22">
        <v>0.92013888888888884</v>
      </c>
      <c r="AL39" s="22">
        <v>0.98888888888888893</v>
      </c>
      <c r="AM39" s="22">
        <v>0.99097222222222225</v>
      </c>
      <c r="AN39" s="22">
        <v>1</v>
      </c>
      <c r="AO39" s="22">
        <v>0.89930555555555547</v>
      </c>
      <c r="AP39" s="22">
        <v>0.89930555555555547</v>
      </c>
      <c r="AQ39" s="22">
        <v>1</v>
      </c>
    </row>
    <row r="40" spans="1:43" ht="17.25" customHeight="1" x14ac:dyDescent="0.35">
      <c r="A40" s="169" t="s">
        <v>172</v>
      </c>
      <c r="B40" s="170" t="s">
        <v>8</v>
      </c>
      <c r="C40" s="170" t="s">
        <v>218</v>
      </c>
      <c r="D40" s="169" t="s">
        <v>472</v>
      </c>
      <c r="E40" s="169" t="s">
        <v>457</v>
      </c>
      <c r="F40" s="121">
        <v>0.83333333333333337</v>
      </c>
      <c r="G40" s="195">
        <f>Table436[[#This Row],[Min Daily Hours]]*24</f>
        <v>20</v>
      </c>
      <c r="H40" s="76">
        <v>4.8</v>
      </c>
      <c r="I40" s="22">
        <f>Table4[[#This Row],[Available Hours for Service]]</f>
        <v>30</v>
      </c>
      <c r="J40" s="65">
        <v>23400</v>
      </c>
      <c r="K40" s="123">
        <f>Table436[[#This Row],[Min Daily Hours]]*J$199</f>
        <v>25</v>
      </c>
      <c r="L40" s="123">
        <f>SUM(Table436[[#This Row],[1]:[31]])</f>
        <v>23.870138888888885</v>
      </c>
      <c r="M40" s="121">
        <v>0.4916666666666667</v>
      </c>
      <c r="N40" s="121">
        <v>0.64583333333333337</v>
      </c>
      <c r="O40" s="121">
        <v>0.7993055555555556</v>
      </c>
      <c r="P40" s="121">
        <v>0.85416666666666663</v>
      </c>
      <c r="Q40" s="121">
        <v>0.63194444444444442</v>
      </c>
      <c r="R40" s="121">
        <v>0.98958333333333337</v>
      </c>
      <c r="S40" s="121">
        <v>0.98958333333333337</v>
      </c>
      <c r="T40" s="121">
        <v>0.94444444444444453</v>
      </c>
      <c r="U40" s="121">
        <v>0.875</v>
      </c>
      <c r="V40" s="121">
        <v>0.86388888888888893</v>
      </c>
      <c r="W40" s="22">
        <v>0.93888888888888899</v>
      </c>
      <c r="X40" s="22">
        <v>0.85416666666666663</v>
      </c>
      <c r="Y40" s="22">
        <v>0.9902777777777777</v>
      </c>
      <c r="Z40" s="22">
        <v>0.94444444444444453</v>
      </c>
      <c r="AA40" s="22">
        <v>0.85277777777777775</v>
      </c>
      <c r="AB40" s="22">
        <v>0.9868055555555556</v>
      </c>
      <c r="AC40" s="22">
        <v>0.69097222222222221</v>
      </c>
      <c r="AD40" s="22">
        <v>0.38750000000000001</v>
      </c>
      <c r="AE40" s="22">
        <v>0.89930555555555547</v>
      </c>
      <c r="AF40" s="22">
        <v>0.51666666666666672</v>
      </c>
      <c r="AG40" s="22">
        <v>0.95833333333333337</v>
      </c>
      <c r="AH40" s="215">
        <v>0.30763888888888891</v>
      </c>
      <c r="AI40" s="22">
        <v>0.21527777777777779</v>
      </c>
      <c r="AJ40" s="22">
        <v>0.92361111111111116</v>
      </c>
      <c r="AK40" s="22">
        <v>0.65277777777777779</v>
      </c>
      <c r="AL40" s="22">
        <v>0.77708333333333324</v>
      </c>
      <c r="AM40" s="22">
        <v>0.73333333333333339</v>
      </c>
      <c r="AN40" s="22">
        <v>0.61319444444444449</v>
      </c>
      <c r="AO40" s="22">
        <v>0.94861111111111107</v>
      </c>
      <c r="AP40" s="22">
        <v>0.84305555555555556</v>
      </c>
      <c r="AQ40" s="22">
        <v>0.75</v>
      </c>
    </row>
    <row r="41" spans="1:43" ht="17.25" customHeight="1" x14ac:dyDescent="0.35">
      <c r="A41" s="169" t="s">
        <v>172</v>
      </c>
      <c r="B41" s="170" t="s">
        <v>313</v>
      </c>
      <c r="C41" s="170" t="s">
        <v>218</v>
      </c>
      <c r="D41" s="169" t="s">
        <v>468</v>
      </c>
      <c r="E41" s="169" t="s">
        <v>457</v>
      </c>
      <c r="F41" s="121">
        <v>0.83333333333333337</v>
      </c>
      <c r="G41" s="195">
        <f>Table436[[#This Row],[Min Daily Hours]]*24</f>
        <v>20</v>
      </c>
      <c r="H41" s="76">
        <v>2.7</v>
      </c>
      <c r="I41" s="22">
        <f>Table4[[#This Row],[Available Hours for Service]]</f>
        <v>30</v>
      </c>
      <c r="J41" s="65">
        <v>16400</v>
      </c>
      <c r="K41" s="123">
        <f>Table436[[#This Row],[Min Daily Hours]]*J$199</f>
        <v>25</v>
      </c>
      <c r="L41" s="123">
        <f>SUM(Table436[[#This Row],[1]:[31]])</f>
        <v>22.231944444444444</v>
      </c>
      <c r="M41" s="121">
        <v>0.4916666666666667</v>
      </c>
      <c r="N41" s="121">
        <v>0.64583333333333337</v>
      </c>
      <c r="O41" s="121">
        <v>0.59722222222222221</v>
      </c>
      <c r="P41" s="121">
        <v>0.85416666666666663</v>
      </c>
      <c r="Q41" s="121">
        <v>0.63194444444444442</v>
      </c>
      <c r="R41" s="121">
        <v>0.98958333333333337</v>
      </c>
      <c r="S41" s="121">
        <v>0.98958333333333337</v>
      </c>
      <c r="T41" s="121">
        <v>0.94097222222222221</v>
      </c>
      <c r="U41" s="121">
        <v>0.875</v>
      </c>
      <c r="V41" s="121">
        <v>0.86388888888888893</v>
      </c>
      <c r="W41" s="22">
        <v>0.93888888888888899</v>
      </c>
      <c r="X41" s="22">
        <v>0.85416666666666663</v>
      </c>
      <c r="Y41" s="22">
        <v>0.9902777777777777</v>
      </c>
      <c r="Z41" s="22">
        <v>0.94097222222222221</v>
      </c>
      <c r="AA41" s="22">
        <v>0.85069444444444453</v>
      </c>
      <c r="AB41" s="22">
        <v>0.79166666666666663</v>
      </c>
      <c r="AC41" s="22">
        <v>0.23750000000000002</v>
      </c>
      <c r="AD41" s="22">
        <v>0.22222222222222221</v>
      </c>
      <c r="AE41" s="22">
        <v>0.89583333333333337</v>
      </c>
      <c r="AF41" s="22">
        <v>0.51388888888888895</v>
      </c>
      <c r="AG41" s="22">
        <v>0.95833333333333337</v>
      </c>
      <c r="AH41" s="215">
        <v>0.28333333333333333</v>
      </c>
      <c r="AI41" s="22">
        <v>0.21527777777777779</v>
      </c>
      <c r="AJ41" s="22">
        <v>0.71527777777777779</v>
      </c>
      <c r="AK41" s="22">
        <v>0.63888888888888895</v>
      </c>
      <c r="AL41" s="22">
        <v>0.77083333333333337</v>
      </c>
      <c r="AM41" s="22">
        <v>0.65694444444444444</v>
      </c>
      <c r="AN41" s="22">
        <v>0.34375</v>
      </c>
      <c r="AO41" s="121">
        <v>0.94444444444444453</v>
      </c>
      <c r="AP41" s="121">
        <v>0.83888888888888891</v>
      </c>
      <c r="AQ41" s="121">
        <v>0.75</v>
      </c>
    </row>
    <row r="42" spans="1:43" ht="17.25" customHeight="1" x14ac:dyDescent="0.35">
      <c r="A42" s="169" t="s">
        <v>173</v>
      </c>
      <c r="B42" s="170" t="s">
        <v>12</v>
      </c>
      <c r="C42" s="170" t="s">
        <v>12</v>
      </c>
      <c r="D42" s="169" t="s">
        <v>47</v>
      </c>
      <c r="E42" s="169" t="s">
        <v>457</v>
      </c>
      <c r="F42" s="121">
        <v>0.83333333333333337</v>
      </c>
      <c r="G42" s="195">
        <f>Table436[[#This Row],[Min Daily Hours]]*24</f>
        <v>20</v>
      </c>
      <c r="H42" s="76">
        <v>5.5</v>
      </c>
      <c r="I42" s="22">
        <f>Table4[[#This Row],[Available Hours for Service]]</f>
        <v>28.539583333338669</v>
      </c>
      <c r="J42" s="65">
        <v>24850</v>
      </c>
      <c r="K42" s="123">
        <f>Table436[[#This Row],[Min Daily Hours]]*J$199</f>
        <v>25</v>
      </c>
      <c r="L42" s="123">
        <f>SUM(Table436[[#This Row],[1]:[31]])</f>
        <v>25.225000000000001</v>
      </c>
      <c r="M42" s="121">
        <v>0.83333333333333337</v>
      </c>
      <c r="N42" s="121">
        <v>0.95833333333333337</v>
      </c>
      <c r="O42" s="121">
        <v>1</v>
      </c>
      <c r="P42" s="121">
        <v>0.93541666666666667</v>
      </c>
      <c r="Q42" s="121">
        <v>0.99305555555555547</v>
      </c>
      <c r="R42" s="121">
        <v>0.97222222222222221</v>
      </c>
      <c r="S42" s="121">
        <v>0.39583333333333331</v>
      </c>
      <c r="T42" s="220">
        <v>0.66666666666666663</v>
      </c>
      <c r="U42" s="220">
        <v>0.66666666666666663</v>
      </c>
      <c r="V42" s="121">
        <v>0.98402777777777783</v>
      </c>
      <c r="W42" s="22">
        <v>0.98402777777777783</v>
      </c>
      <c r="X42" s="22">
        <v>0.81527777777777777</v>
      </c>
      <c r="Y42" s="22">
        <v>0.85555555555555562</v>
      </c>
      <c r="Z42" s="22">
        <v>0.875</v>
      </c>
      <c r="AA42" s="22">
        <v>0.75</v>
      </c>
      <c r="AB42" s="22">
        <v>1</v>
      </c>
      <c r="AC42" s="22">
        <v>1</v>
      </c>
      <c r="AD42" s="22">
        <v>0.10902777777777778</v>
      </c>
      <c r="AE42" s="22">
        <v>1</v>
      </c>
      <c r="AF42" s="22">
        <v>0.64930555555555558</v>
      </c>
      <c r="AG42" s="22">
        <v>0.97916666666666663</v>
      </c>
      <c r="AH42" s="215">
        <v>1</v>
      </c>
      <c r="AI42" s="22">
        <v>0.42499999999999999</v>
      </c>
      <c r="AJ42" s="22">
        <v>0.58333333333333337</v>
      </c>
      <c r="AK42" s="22">
        <v>1</v>
      </c>
      <c r="AL42" s="22">
        <v>1</v>
      </c>
      <c r="AM42" s="22">
        <v>0.76180555555555562</v>
      </c>
      <c r="AN42" s="22">
        <v>1</v>
      </c>
      <c r="AO42" s="22">
        <v>0.79166666666666663</v>
      </c>
      <c r="AP42" s="22">
        <v>0.55763888888888891</v>
      </c>
      <c r="AQ42" s="22">
        <v>0.68263888888888891</v>
      </c>
    </row>
    <row r="43" spans="1:43" ht="17.25" customHeight="1" x14ac:dyDescent="0.35">
      <c r="A43" s="169" t="s">
        <v>173</v>
      </c>
      <c r="B43" s="170" t="s">
        <v>12</v>
      </c>
      <c r="C43" s="170" t="s">
        <v>12</v>
      </c>
      <c r="D43" s="169" t="s">
        <v>308</v>
      </c>
      <c r="E43" s="169" t="s">
        <v>460</v>
      </c>
      <c r="F43" s="121">
        <v>0.33333333333333331</v>
      </c>
      <c r="G43" s="195">
        <f>Table436[[#This Row],[Min Daily Hours]]*24</f>
        <v>8</v>
      </c>
      <c r="H43" s="76">
        <v>1.7</v>
      </c>
      <c r="I43" s="22">
        <f>Table4[[#This Row],[Available Hours for Service]]</f>
        <v>85.536805555559113</v>
      </c>
      <c r="J43" s="65">
        <v>10525</v>
      </c>
      <c r="K43" s="123">
        <f>Table436[[#This Row],[Min Daily Hours]]*J$199</f>
        <v>10</v>
      </c>
      <c r="L43" s="123">
        <f>SUM(Table436[[#This Row],[1]:[31]])</f>
        <v>16.833333333333332</v>
      </c>
      <c r="M43" s="121">
        <v>0.83333333333333337</v>
      </c>
      <c r="N43" s="121">
        <v>0.58333333333333337</v>
      </c>
      <c r="O43" s="121">
        <v>0.625</v>
      </c>
      <c r="P43" s="121">
        <v>0.625</v>
      </c>
      <c r="Q43" s="121">
        <v>0.5</v>
      </c>
      <c r="R43" s="121">
        <v>0.41666666666666669</v>
      </c>
      <c r="S43" s="121">
        <v>0.5</v>
      </c>
      <c r="T43" s="220">
        <v>0.95833333333333337</v>
      </c>
      <c r="U43" s="220">
        <v>0.95833333333333337</v>
      </c>
      <c r="V43" s="121">
        <v>0.79166666666666663</v>
      </c>
      <c r="W43" s="22">
        <v>0.79166666666666663</v>
      </c>
      <c r="X43" s="22">
        <v>0.16666666666666666</v>
      </c>
      <c r="Y43" s="22">
        <v>0.33333333333333331</v>
      </c>
      <c r="Z43" s="22">
        <v>0.375</v>
      </c>
      <c r="AA43" s="22">
        <v>0.33333333333333331</v>
      </c>
      <c r="AB43" s="22">
        <v>1</v>
      </c>
      <c r="AC43" s="22">
        <v>0.79166666666666663</v>
      </c>
      <c r="AD43" s="22">
        <v>8.3333333333333329E-2</v>
      </c>
      <c r="AE43" s="22">
        <v>0.33333333333333331</v>
      </c>
      <c r="AF43" s="22">
        <v>0</v>
      </c>
      <c r="AG43" s="22">
        <v>0.41666666666666669</v>
      </c>
      <c r="AH43" s="215">
        <v>0.54166666666666663</v>
      </c>
      <c r="AI43" s="22">
        <v>0.29166666666666669</v>
      </c>
      <c r="AJ43" s="22">
        <v>0.54166666666666663</v>
      </c>
      <c r="AK43" s="22">
        <v>0.625</v>
      </c>
      <c r="AL43" s="22">
        <v>0.54166666666666663</v>
      </c>
      <c r="AM43" s="22">
        <v>0.25</v>
      </c>
      <c r="AN43" s="22">
        <v>0.41666666666666669</v>
      </c>
      <c r="AO43" s="22">
        <v>0.875</v>
      </c>
      <c r="AP43" s="22">
        <v>0.375</v>
      </c>
      <c r="AQ43" s="22">
        <v>0.95833333333333337</v>
      </c>
    </row>
    <row r="44" spans="1:43" ht="17.25" customHeight="1" x14ac:dyDescent="0.35">
      <c r="A44" s="169" t="s">
        <v>173</v>
      </c>
      <c r="B44" s="170" t="s">
        <v>12</v>
      </c>
      <c r="C44" s="170" t="s">
        <v>228</v>
      </c>
      <c r="D44" s="169" t="s">
        <v>48</v>
      </c>
      <c r="E44" s="169" t="s">
        <v>460</v>
      </c>
      <c r="F44" s="121">
        <v>0.33333333333333331</v>
      </c>
      <c r="G44" s="195">
        <f>Table436[[#This Row],[Min Daily Hours]]*24</f>
        <v>8</v>
      </c>
      <c r="H44" s="76">
        <v>4.9000000000000004</v>
      </c>
      <c r="I44" s="22">
        <f>Table4[[#This Row],[Available Hours for Service]]</f>
        <v>87.360416666662786</v>
      </c>
      <c r="J44" s="65">
        <v>33050</v>
      </c>
      <c r="K44" s="123">
        <f>Table436[[#This Row],[Min Daily Hours]]*J$199</f>
        <v>10</v>
      </c>
      <c r="L44" s="123">
        <f>SUM(Table436[[#This Row],[1]:[31]])</f>
        <v>10.015972222222222</v>
      </c>
      <c r="M44" s="121">
        <v>0.77361111111111114</v>
      </c>
      <c r="N44" s="121">
        <v>0.80347222222222225</v>
      </c>
      <c r="O44" s="121">
        <v>0.58333333333333337</v>
      </c>
      <c r="P44" s="121">
        <v>0.69097222222222221</v>
      </c>
      <c r="Q44" s="121">
        <v>0.73958333333333337</v>
      </c>
      <c r="R44" s="121">
        <v>0.58333333333333337</v>
      </c>
      <c r="S44" s="121">
        <v>0.33333333333333331</v>
      </c>
      <c r="T44" s="121">
        <v>0.80347222222222225</v>
      </c>
      <c r="U44" s="121">
        <v>0.94166666666666676</v>
      </c>
      <c r="V44" s="121">
        <v>0.60763888888888895</v>
      </c>
      <c r="W44" s="22">
        <v>0.64097222222222217</v>
      </c>
      <c r="X44" s="22">
        <v>0.34930555555555554</v>
      </c>
      <c r="Y44" s="22">
        <v>0</v>
      </c>
      <c r="Z44" s="22">
        <v>0</v>
      </c>
      <c r="AA44" s="22">
        <v>0</v>
      </c>
      <c r="AB44" s="22">
        <v>0</v>
      </c>
      <c r="AC44" s="22">
        <v>0</v>
      </c>
      <c r="AD44" s="22">
        <v>0</v>
      </c>
      <c r="AE44" s="22">
        <v>0</v>
      </c>
      <c r="AF44" s="22">
        <v>0</v>
      </c>
      <c r="AG44" s="22">
        <v>0</v>
      </c>
      <c r="AH44" s="215">
        <v>0</v>
      </c>
      <c r="AI44" s="22">
        <v>0</v>
      </c>
      <c r="AJ44" s="22">
        <v>0</v>
      </c>
      <c r="AK44" s="22">
        <v>0</v>
      </c>
      <c r="AL44" s="22">
        <v>0</v>
      </c>
      <c r="AM44" s="22">
        <v>0</v>
      </c>
      <c r="AN44" s="22">
        <v>0</v>
      </c>
      <c r="AO44" s="22">
        <v>0.44861111111111113</v>
      </c>
      <c r="AP44" s="22">
        <v>0.73749999999999993</v>
      </c>
      <c r="AQ44" s="22">
        <v>0.97916666666666663</v>
      </c>
    </row>
    <row r="45" spans="1:43" ht="17.25" customHeight="1" x14ac:dyDescent="0.35">
      <c r="A45" s="169" t="s">
        <v>173</v>
      </c>
      <c r="B45" s="170" t="s">
        <v>12</v>
      </c>
      <c r="C45" s="170" t="s">
        <v>12</v>
      </c>
      <c r="D45" s="169" t="s">
        <v>49</v>
      </c>
      <c r="E45" s="169" t="s">
        <v>457</v>
      </c>
      <c r="F45" s="121">
        <v>0.83333333333333337</v>
      </c>
      <c r="G45" s="195">
        <f>Table436[[#This Row],[Min Daily Hours]]*24</f>
        <v>20</v>
      </c>
      <c r="H45" s="76">
        <v>5.9</v>
      </c>
      <c r="I45" s="22">
        <f>Table4[[#This Row],[Available Hours for Service]]</f>
        <v>30.277083333327028</v>
      </c>
      <c r="J45" s="65">
        <v>21300</v>
      </c>
      <c r="K45" s="123">
        <f>Table436[[#This Row],[Min Daily Hours]]*J$199</f>
        <v>25</v>
      </c>
      <c r="L45" s="123">
        <f>SUM(Table436[[#This Row],[1]:[31]])</f>
        <v>26.022222222222219</v>
      </c>
      <c r="M45" s="121">
        <v>0.8979166666666667</v>
      </c>
      <c r="N45" s="121">
        <v>0.98888888888888893</v>
      </c>
      <c r="O45" s="121">
        <v>1</v>
      </c>
      <c r="P45" s="121">
        <v>0.95833333333333337</v>
      </c>
      <c r="Q45" s="121">
        <v>0.88402777777777775</v>
      </c>
      <c r="R45" s="121">
        <v>0.71527777777777779</v>
      </c>
      <c r="S45" s="121">
        <v>0.58333333333333337</v>
      </c>
      <c r="T45" s="121">
        <v>0.82013888888888886</v>
      </c>
      <c r="U45" s="121">
        <v>0.375</v>
      </c>
      <c r="V45" s="121">
        <v>0.33333333333333331</v>
      </c>
      <c r="W45" s="22">
        <v>0.82361111111111107</v>
      </c>
      <c r="X45" s="22">
        <v>0.97916666666666663</v>
      </c>
      <c r="Y45" s="22">
        <v>0.97916666666666663</v>
      </c>
      <c r="Z45" s="22">
        <v>0.77569444444444446</v>
      </c>
      <c r="AA45" s="22">
        <v>1</v>
      </c>
      <c r="AB45" s="22">
        <v>1</v>
      </c>
      <c r="AC45" s="22">
        <v>1</v>
      </c>
      <c r="AD45" s="22">
        <v>0.27152777777777776</v>
      </c>
      <c r="AE45" s="22">
        <v>0.92361111111111116</v>
      </c>
      <c r="AF45" s="22">
        <v>0.59513888888888888</v>
      </c>
      <c r="AG45" s="22">
        <v>0.84027777777777779</v>
      </c>
      <c r="AH45" s="215">
        <v>1</v>
      </c>
      <c r="AI45" s="22">
        <v>0.625</v>
      </c>
      <c r="AJ45" s="22">
        <v>1</v>
      </c>
      <c r="AK45" s="22">
        <v>1</v>
      </c>
      <c r="AL45" s="22">
        <v>0.93402777777777779</v>
      </c>
      <c r="AM45" s="22">
        <v>0.80208333333333337</v>
      </c>
      <c r="AN45" s="22">
        <v>1</v>
      </c>
      <c r="AO45" s="22">
        <v>0.91666666666666663</v>
      </c>
      <c r="AP45" s="22">
        <v>1</v>
      </c>
      <c r="AQ45" s="22">
        <v>1</v>
      </c>
    </row>
    <row r="46" spans="1:43" s="157" customFormat="1" ht="17.25" customHeight="1" x14ac:dyDescent="0.35">
      <c r="A46" s="169" t="s">
        <v>173</v>
      </c>
      <c r="B46" s="170" t="s">
        <v>12</v>
      </c>
      <c r="C46" s="170" t="s">
        <v>12</v>
      </c>
      <c r="D46" s="169" t="s">
        <v>463</v>
      </c>
      <c r="E46" s="169" t="s">
        <v>460</v>
      </c>
      <c r="F46" s="121">
        <v>0.33333333333333331</v>
      </c>
      <c r="G46" s="195">
        <f>Table436[[#This Row],[Min Daily Hours]]*24</f>
        <v>8</v>
      </c>
      <c r="H46" s="76"/>
      <c r="I46" s="121">
        <f>Table4[[#This Row],[Available Hours for Service]]</f>
        <v>30</v>
      </c>
      <c r="J46" s="65"/>
      <c r="K46" s="123">
        <f>Table436[[#This Row],[Min Daily Hours]]*J$199</f>
        <v>10</v>
      </c>
      <c r="L46" s="123">
        <f>SUM(Table436[[#This Row],[1]:[31]])</f>
        <v>25.77708333333333</v>
      </c>
      <c r="M46" s="121">
        <v>0.8979166666666667</v>
      </c>
      <c r="N46" s="121">
        <v>0.98888888888888893</v>
      </c>
      <c r="O46" s="121">
        <v>1</v>
      </c>
      <c r="P46" s="121">
        <v>0.95833333333333337</v>
      </c>
      <c r="Q46" s="121">
        <v>0.88402777777777775</v>
      </c>
      <c r="R46" s="121">
        <v>0.71527777777777779</v>
      </c>
      <c r="S46" s="121">
        <v>0.58333333333333337</v>
      </c>
      <c r="T46" s="121">
        <v>0.82013888888888886</v>
      </c>
      <c r="U46" s="121">
        <v>0.375</v>
      </c>
      <c r="V46" s="121">
        <v>0.33333333333333331</v>
      </c>
      <c r="W46" s="121">
        <v>0.82361111111111107</v>
      </c>
      <c r="X46" s="121">
        <v>0.97916666666666663</v>
      </c>
      <c r="Y46" s="121">
        <v>0.97916666666666663</v>
      </c>
      <c r="Z46" s="121">
        <v>0.77569444444444446</v>
      </c>
      <c r="AA46" s="121">
        <v>1</v>
      </c>
      <c r="AB46" s="121">
        <v>1</v>
      </c>
      <c r="AC46" s="121">
        <v>1</v>
      </c>
      <c r="AD46" s="121">
        <v>0.27152777777777776</v>
      </c>
      <c r="AE46" s="121">
        <v>0.92361111111111116</v>
      </c>
      <c r="AF46" s="121">
        <v>0.59513888888888888</v>
      </c>
      <c r="AG46" s="121">
        <v>0.59513888888888888</v>
      </c>
      <c r="AH46" s="215">
        <v>1</v>
      </c>
      <c r="AI46" s="121">
        <v>0.625</v>
      </c>
      <c r="AJ46" s="121">
        <v>1</v>
      </c>
      <c r="AK46" s="121">
        <v>1</v>
      </c>
      <c r="AL46" s="121">
        <v>0.93402777777777779</v>
      </c>
      <c r="AM46" s="121">
        <v>0.80208333333333337</v>
      </c>
      <c r="AN46" s="121">
        <v>1</v>
      </c>
      <c r="AO46" s="121">
        <v>0.91666666666666663</v>
      </c>
      <c r="AP46" s="121">
        <v>1</v>
      </c>
      <c r="AQ46" s="121">
        <v>1</v>
      </c>
    </row>
    <row r="47" spans="1:43" s="157" customFormat="1" ht="17.25" customHeight="1" x14ac:dyDescent="0.35">
      <c r="A47" s="169" t="s">
        <v>173</v>
      </c>
      <c r="B47" s="170" t="s">
        <v>12</v>
      </c>
      <c r="C47" s="170" t="s">
        <v>12</v>
      </c>
      <c r="D47" s="169" t="s">
        <v>480</v>
      </c>
      <c r="E47" s="169" t="s">
        <v>457</v>
      </c>
      <c r="F47" s="121">
        <v>0.83333333333333337</v>
      </c>
      <c r="G47" s="195">
        <f>Table436[[#This Row],[Min Daily Hours]]*24</f>
        <v>20</v>
      </c>
      <c r="H47" s="76"/>
      <c r="I47" s="121">
        <f>Table4[[#This Row],[Available Hours for Service]]</f>
        <v>30</v>
      </c>
      <c r="J47" s="65"/>
      <c r="K47" s="123">
        <f>Table436[[#This Row],[Min Daily Hours]]*J$199</f>
        <v>25</v>
      </c>
      <c r="L47" s="123">
        <f>SUM(Table436[[#This Row],[1]:[31]])</f>
        <v>22.125</v>
      </c>
      <c r="M47" s="121">
        <v>1</v>
      </c>
      <c r="N47" s="121">
        <v>1</v>
      </c>
      <c r="O47" s="121">
        <v>1</v>
      </c>
      <c r="P47" s="121">
        <v>1</v>
      </c>
      <c r="Q47" s="121">
        <v>1</v>
      </c>
      <c r="R47" s="121">
        <v>1</v>
      </c>
      <c r="S47" s="121">
        <v>1</v>
      </c>
      <c r="T47" s="220">
        <v>1</v>
      </c>
      <c r="U47" s="220">
        <v>1</v>
      </c>
      <c r="V47" s="121">
        <v>0.41666666666666669</v>
      </c>
      <c r="W47" s="121">
        <v>0.41666666666666669</v>
      </c>
      <c r="X47" s="121">
        <v>0.70833333333333337</v>
      </c>
      <c r="Y47" s="121">
        <v>0</v>
      </c>
      <c r="Z47" s="121">
        <v>1</v>
      </c>
      <c r="AA47" s="121">
        <v>1</v>
      </c>
      <c r="AB47" s="121">
        <v>1</v>
      </c>
      <c r="AC47" s="121">
        <v>0</v>
      </c>
      <c r="AD47" s="121">
        <v>0.25</v>
      </c>
      <c r="AE47" s="121">
        <v>1</v>
      </c>
      <c r="AF47" s="121">
        <v>0</v>
      </c>
      <c r="AG47" s="121">
        <v>0.58333333333333337</v>
      </c>
      <c r="AH47" s="215">
        <v>0.625</v>
      </c>
      <c r="AI47" s="121">
        <v>0</v>
      </c>
      <c r="AJ47" s="121">
        <v>0.375</v>
      </c>
      <c r="AK47" s="121">
        <v>1</v>
      </c>
      <c r="AL47" s="121">
        <v>1</v>
      </c>
      <c r="AM47" s="121">
        <v>0.79166666666666663</v>
      </c>
      <c r="AN47" s="121">
        <v>0.25</v>
      </c>
      <c r="AO47" s="121">
        <v>0.83333333333333337</v>
      </c>
      <c r="AP47" s="121">
        <v>1</v>
      </c>
      <c r="AQ47" s="121">
        <v>0.875</v>
      </c>
    </row>
    <row r="48" spans="1:43" s="157" customFormat="1" ht="17.25" customHeight="1" x14ac:dyDescent="0.35">
      <c r="A48" s="169" t="s">
        <v>173</v>
      </c>
      <c r="B48" s="170" t="s">
        <v>454</v>
      </c>
      <c r="C48" s="170" t="s">
        <v>228</v>
      </c>
      <c r="D48" s="169" t="s">
        <v>479</v>
      </c>
      <c r="E48" s="169" t="s">
        <v>457</v>
      </c>
      <c r="F48" s="121">
        <v>0.83333333333333337</v>
      </c>
      <c r="G48" s="195">
        <f>Table436[[#This Row],[Min Daily Hours]]*24</f>
        <v>20</v>
      </c>
      <c r="H48" s="76"/>
      <c r="I48" s="121">
        <f>Table4[[#This Row],[Available Hours for Service]]</f>
        <v>30</v>
      </c>
      <c r="J48" s="65"/>
      <c r="K48" s="123">
        <f>Table436[[#This Row],[Min Daily Hours]]*J$199</f>
        <v>25</v>
      </c>
      <c r="L48" s="123">
        <f>SUM(Table436[[#This Row],[1]:[31]])</f>
        <v>29.62222222222222</v>
      </c>
      <c r="M48" s="121">
        <v>1</v>
      </c>
      <c r="N48" s="121">
        <v>0.98472222222222217</v>
      </c>
      <c r="O48" s="121">
        <v>1</v>
      </c>
      <c r="P48" s="121">
        <v>0.81805555555555554</v>
      </c>
      <c r="Q48" s="121">
        <v>1</v>
      </c>
      <c r="R48" s="121">
        <v>0.89444444444444438</v>
      </c>
      <c r="S48" s="121">
        <v>1</v>
      </c>
      <c r="T48" s="121">
        <v>1</v>
      </c>
      <c r="U48" s="121">
        <v>0.9819444444444444</v>
      </c>
      <c r="V48" s="121">
        <v>0.9819444444444444</v>
      </c>
      <c r="W48" s="121">
        <v>1</v>
      </c>
      <c r="X48" s="121">
        <v>1</v>
      </c>
      <c r="Y48" s="121">
        <v>0.98333333333333339</v>
      </c>
      <c r="Z48" s="121">
        <v>0.98472222222222217</v>
      </c>
      <c r="AA48" s="121">
        <v>1</v>
      </c>
      <c r="AB48" s="121">
        <v>1</v>
      </c>
      <c r="AC48" s="121">
        <v>1</v>
      </c>
      <c r="AD48" s="121">
        <v>0.36805555555555558</v>
      </c>
      <c r="AE48" s="121">
        <v>1</v>
      </c>
      <c r="AF48" s="121">
        <v>0.625</v>
      </c>
      <c r="AG48" s="121">
        <v>1</v>
      </c>
      <c r="AH48" s="215">
        <v>1</v>
      </c>
      <c r="AI48" s="121">
        <v>1</v>
      </c>
      <c r="AJ48" s="121">
        <v>1</v>
      </c>
      <c r="AK48" s="121">
        <v>1</v>
      </c>
      <c r="AL48" s="121">
        <v>1</v>
      </c>
      <c r="AM48" s="121">
        <v>1</v>
      </c>
      <c r="AN48" s="121">
        <v>1</v>
      </c>
      <c r="AO48" s="121">
        <v>1</v>
      </c>
      <c r="AP48" s="121">
        <v>1</v>
      </c>
      <c r="AQ48" s="121">
        <v>1</v>
      </c>
    </row>
    <row r="49" spans="1:43" s="157" customFormat="1" ht="17.25" customHeight="1" x14ac:dyDescent="0.35">
      <c r="A49" s="169" t="s">
        <v>173</v>
      </c>
      <c r="B49" s="170" t="s">
        <v>454</v>
      </c>
      <c r="C49" s="170" t="s">
        <v>228</v>
      </c>
      <c r="D49" s="169" t="s">
        <v>464</v>
      </c>
      <c r="E49" s="169" t="s">
        <v>458</v>
      </c>
      <c r="F49" s="121">
        <v>0.66666666666666663</v>
      </c>
      <c r="G49" s="195">
        <f>Table436[[#This Row],[Min Daily Hours]]*24</f>
        <v>16</v>
      </c>
      <c r="H49" s="76"/>
      <c r="I49" s="121">
        <f>Table4[[#This Row],[Available Hours for Service]]</f>
        <v>29.652777777781012</v>
      </c>
      <c r="J49" s="65"/>
      <c r="K49" s="123">
        <f>Table436[[#This Row],[Min Daily Hours]]*J$199</f>
        <v>20</v>
      </c>
      <c r="L49" s="123">
        <f>SUM(Table436[[#This Row],[1]:[31]])</f>
        <v>29.564583333333335</v>
      </c>
      <c r="M49" s="121">
        <v>0.95833333333333337</v>
      </c>
      <c r="N49" s="121">
        <v>0.98472222222222217</v>
      </c>
      <c r="O49" s="121">
        <v>0.83333333333333337</v>
      </c>
      <c r="P49" s="121">
        <v>0.95833333333333337</v>
      </c>
      <c r="Q49" s="121">
        <v>1</v>
      </c>
      <c r="R49" s="121">
        <v>1</v>
      </c>
      <c r="S49" s="121">
        <v>1</v>
      </c>
      <c r="T49" s="121">
        <v>1</v>
      </c>
      <c r="U49" s="121">
        <v>0.9819444444444444</v>
      </c>
      <c r="V49" s="121">
        <v>0.95833333333333337</v>
      </c>
      <c r="W49" s="121">
        <v>1</v>
      </c>
      <c r="X49" s="121">
        <v>1</v>
      </c>
      <c r="Y49" s="121">
        <v>0.98333333333333339</v>
      </c>
      <c r="Z49" s="121">
        <v>0.98472222222222217</v>
      </c>
      <c r="AA49" s="121">
        <v>0.97013888888888899</v>
      </c>
      <c r="AB49" s="121">
        <v>1</v>
      </c>
      <c r="AC49" s="121">
        <v>1</v>
      </c>
      <c r="AD49" s="121">
        <v>0.36805555555555558</v>
      </c>
      <c r="AE49" s="121">
        <v>1</v>
      </c>
      <c r="AF49" s="121">
        <v>0.625</v>
      </c>
      <c r="AG49" s="121">
        <v>1</v>
      </c>
      <c r="AH49" s="215">
        <v>1</v>
      </c>
      <c r="AI49" s="121">
        <v>1</v>
      </c>
      <c r="AJ49" s="121">
        <v>1</v>
      </c>
      <c r="AK49" s="121">
        <v>1</v>
      </c>
      <c r="AL49" s="121">
        <v>1</v>
      </c>
      <c r="AM49" s="121">
        <v>1</v>
      </c>
      <c r="AN49" s="121">
        <v>0.95833333333333337</v>
      </c>
      <c r="AO49" s="121">
        <v>1</v>
      </c>
      <c r="AP49" s="121">
        <v>1</v>
      </c>
      <c r="AQ49" s="121">
        <v>1</v>
      </c>
    </row>
    <row r="50" spans="1:43" s="157" customFormat="1" ht="17.25" customHeight="1" x14ac:dyDescent="0.35">
      <c r="A50" s="169" t="s">
        <v>173</v>
      </c>
      <c r="B50" s="170" t="s">
        <v>454</v>
      </c>
      <c r="C50" s="170" t="s">
        <v>228</v>
      </c>
      <c r="D50" s="169" t="s">
        <v>498</v>
      </c>
      <c r="E50" s="169" t="s">
        <v>460</v>
      </c>
      <c r="F50" s="121">
        <v>0.33333333333333331</v>
      </c>
      <c r="G50" s="195">
        <f>Table436[[#This Row],[Min Daily Hours]]*24</f>
        <v>8</v>
      </c>
      <c r="H50" s="76"/>
      <c r="I50" s="121">
        <f>Table4[[#This Row],[Available Hours for Service]]</f>
        <v>29.513194444451074</v>
      </c>
      <c r="J50" s="65"/>
      <c r="K50" s="123">
        <f>Table436[[#This Row],[Min Daily Hours]]*J$199</f>
        <v>10</v>
      </c>
      <c r="L50" s="123">
        <f>SUM(Table436[[#This Row],[1]:[31]])</f>
        <v>29.62222222222222</v>
      </c>
      <c r="M50" s="121">
        <v>1</v>
      </c>
      <c r="N50" s="121">
        <v>0.98472222222222217</v>
      </c>
      <c r="O50" s="121">
        <v>1</v>
      </c>
      <c r="P50" s="121">
        <v>0.81805555555555554</v>
      </c>
      <c r="Q50" s="121">
        <v>1</v>
      </c>
      <c r="R50" s="121">
        <v>0.89444444444444438</v>
      </c>
      <c r="S50" s="121">
        <v>1</v>
      </c>
      <c r="T50" s="121">
        <v>1</v>
      </c>
      <c r="U50" s="121">
        <v>0.9819444444444444</v>
      </c>
      <c r="V50" s="121">
        <v>0.9819444444444444</v>
      </c>
      <c r="W50" s="121">
        <v>1</v>
      </c>
      <c r="X50" s="121">
        <v>1</v>
      </c>
      <c r="Y50" s="121">
        <v>0.98333333333333339</v>
      </c>
      <c r="Z50" s="121">
        <v>0.98472222222222217</v>
      </c>
      <c r="AA50" s="121">
        <v>1</v>
      </c>
      <c r="AB50" s="121">
        <v>1</v>
      </c>
      <c r="AC50" s="121">
        <v>1</v>
      </c>
      <c r="AD50" s="121">
        <v>0.36805555555555558</v>
      </c>
      <c r="AE50" s="121">
        <v>1</v>
      </c>
      <c r="AF50" s="121">
        <v>0.625</v>
      </c>
      <c r="AG50" s="121">
        <v>1</v>
      </c>
      <c r="AH50" s="215">
        <v>1</v>
      </c>
      <c r="AI50" s="121">
        <v>1</v>
      </c>
      <c r="AJ50" s="121">
        <v>1</v>
      </c>
      <c r="AK50" s="121">
        <v>1</v>
      </c>
      <c r="AL50" s="121">
        <v>1</v>
      </c>
      <c r="AM50" s="121">
        <v>1</v>
      </c>
      <c r="AN50" s="121">
        <v>1</v>
      </c>
      <c r="AO50" s="121">
        <v>1</v>
      </c>
      <c r="AP50" s="121">
        <v>1</v>
      </c>
      <c r="AQ50" s="121">
        <v>1</v>
      </c>
    </row>
    <row r="51" spans="1:43" ht="17.25" customHeight="1" x14ac:dyDescent="0.35">
      <c r="A51" s="169" t="s">
        <v>177</v>
      </c>
      <c r="B51" s="170" t="s">
        <v>11</v>
      </c>
      <c r="C51" s="170" t="s">
        <v>227</v>
      </c>
      <c r="D51" s="169" t="s">
        <v>44</v>
      </c>
      <c r="E51" s="169" t="s">
        <v>458</v>
      </c>
      <c r="F51" s="121">
        <v>0.66666666666666663</v>
      </c>
      <c r="G51" s="195">
        <f>Table436[[#This Row],[Min Daily Hours]]*24</f>
        <v>16</v>
      </c>
      <c r="H51" s="76">
        <v>7.7</v>
      </c>
      <c r="I51" s="22">
        <f>Table4[[#This Row],[Available Hours for Service]]</f>
        <v>27.613194444442343</v>
      </c>
      <c r="J51" s="65">
        <v>24450</v>
      </c>
      <c r="K51" s="123">
        <f>Table436[[#This Row],[Min Daily Hours]]*J$199</f>
        <v>20</v>
      </c>
      <c r="L51" s="123">
        <f>SUM(Table436[[#This Row],[1]:[31]])</f>
        <v>15.864583333333336</v>
      </c>
      <c r="M51" s="121">
        <v>0.81319444444444444</v>
      </c>
      <c r="N51" s="121">
        <v>0.30277777777777776</v>
      </c>
      <c r="O51" s="121">
        <v>0.72916666666666663</v>
      </c>
      <c r="P51" s="121">
        <v>0.20833333333333334</v>
      </c>
      <c r="Q51" s="121">
        <v>0.29166666666666669</v>
      </c>
      <c r="R51" s="121">
        <v>0.33333333333333331</v>
      </c>
      <c r="S51" s="121">
        <v>0.39583333333333331</v>
      </c>
      <c r="T51" s="121">
        <v>0.75</v>
      </c>
      <c r="U51" s="121">
        <v>0.61111111111111105</v>
      </c>
      <c r="V51" s="121">
        <v>0.60069444444444442</v>
      </c>
      <c r="W51" s="22">
        <v>0.26111111111111113</v>
      </c>
      <c r="X51" s="22">
        <v>0.47986111111111113</v>
      </c>
      <c r="Y51" s="22">
        <v>0.46875</v>
      </c>
      <c r="Z51" s="22">
        <v>0.23541666666666669</v>
      </c>
      <c r="AA51" s="22">
        <v>0.46666666666666662</v>
      </c>
      <c r="AB51" s="22">
        <v>0.3756944444444445</v>
      </c>
      <c r="AC51" s="22">
        <v>0.83888888888888891</v>
      </c>
      <c r="AD51" s="22">
        <v>0.83888888888888891</v>
      </c>
      <c r="AE51" s="22">
        <v>0.30902777777777779</v>
      </c>
      <c r="AF51" s="22">
        <v>0.4770833333333333</v>
      </c>
      <c r="AG51" s="220">
        <v>0.44513888888888892</v>
      </c>
      <c r="AH51" s="215">
        <v>0.25694444444444448</v>
      </c>
      <c r="AI51" s="22">
        <v>0.56041666666666667</v>
      </c>
      <c r="AJ51" s="22">
        <v>0.59305555555555556</v>
      </c>
      <c r="AK51" s="22">
        <v>0.53402777777777777</v>
      </c>
      <c r="AL51" s="22">
        <v>0.44513888888888892</v>
      </c>
      <c r="AM51" s="22">
        <v>0.7680555555555556</v>
      </c>
      <c r="AN51" s="22">
        <v>0.92361111111111116</v>
      </c>
      <c r="AO51" s="22">
        <v>0.3756944444444445</v>
      </c>
      <c r="AP51" s="22">
        <v>0.32916666666666666</v>
      </c>
      <c r="AQ51" s="22">
        <v>0.84583333333333333</v>
      </c>
    </row>
    <row r="52" spans="1:43" ht="17.25" customHeight="1" x14ac:dyDescent="0.35">
      <c r="A52" s="169" t="s">
        <v>177</v>
      </c>
      <c r="B52" s="170" t="s">
        <v>11</v>
      </c>
      <c r="C52" s="170" t="s">
        <v>11</v>
      </c>
      <c r="D52" s="169" t="s">
        <v>45</v>
      </c>
      <c r="E52" s="169" t="s">
        <v>460</v>
      </c>
      <c r="F52" s="121">
        <v>0.33333333333333331</v>
      </c>
      <c r="G52" s="195">
        <f>Table436[[#This Row],[Min Daily Hours]]*24</f>
        <v>8</v>
      </c>
      <c r="H52" s="76">
        <v>5.7</v>
      </c>
      <c r="I52" s="22">
        <f>Table4[[#This Row],[Available Hours for Service]]</f>
        <v>134307.44236111111</v>
      </c>
      <c r="J52" s="65">
        <v>16700</v>
      </c>
      <c r="K52" s="123">
        <f>Table436[[#This Row],[Min Daily Hours]]*J$199</f>
        <v>10</v>
      </c>
      <c r="L52" s="123">
        <f>SUM(Table436[[#This Row],[1]:[31]])</f>
        <v>11.593055555555557</v>
      </c>
      <c r="M52" s="121">
        <v>0.58333333333333337</v>
      </c>
      <c r="N52" s="121">
        <v>0.27777777777777779</v>
      </c>
      <c r="O52" s="121">
        <v>0.25</v>
      </c>
      <c r="P52" s="121">
        <v>0.38750000000000001</v>
      </c>
      <c r="Q52" s="121">
        <v>0.3527777777777778</v>
      </c>
      <c r="R52" s="121">
        <v>0.23680555555555557</v>
      </c>
      <c r="S52" s="121">
        <v>0.25</v>
      </c>
      <c r="T52" s="121">
        <v>0.625</v>
      </c>
      <c r="U52" s="121">
        <v>0.51874999999999993</v>
      </c>
      <c r="V52" s="121">
        <v>0.51666666666666672</v>
      </c>
      <c r="W52" s="22">
        <v>0.29166666666666669</v>
      </c>
      <c r="X52" s="22">
        <v>0.15763888888888888</v>
      </c>
      <c r="Y52" s="22">
        <v>0.3576388888888889</v>
      </c>
      <c r="Z52" s="22">
        <v>0.29791666666666666</v>
      </c>
      <c r="AA52" s="22">
        <v>0.21875</v>
      </c>
      <c r="AB52" s="22">
        <v>0.17847222222222223</v>
      </c>
      <c r="AC52" s="22">
        <v>0.82291666666666663</v>
      </c>
      <c r="AD52" s="22">
        <v>0.82291666666666663</v>
      </c>
      <c r="AE52" s="22">
        <v>0.43611111111111112</v>
      </c>
      <c r="AF52" s="22">
        <v>0.13472222222222222</v>
      </c>
      <c r="AG52" s="22">
        <v>0.48749999999999999</v>
      </c>
      <c r="AH52" s="215">
        <v>0.14375000000000002</v>
      </c>
      <c r="AI52" s="22">
        <v>0.57430555555555551</v>
      </c>
      <c r="AJ52" s="22">
        <v>0.59305555555555556</v>
      </c>
      <c r="AK52" s="22">
        <v>0.12430555555555556</v>
      </c>
      <c r="AL52" s="22">
        <v>0.20208333333333331</v>
      </c>
      <c r="AM52" s="22">
        <v>0.24861111111111112</v>
      </c>
      <c r="AN52" s="22">
        <v>0.40486111111111112</v>
      </c>
      <c r="AO52" s="22">
        <v>0.43472222222222223</v>
      </c>
      <c r="AP52" s="22">
        <v>0.18055555555555555</v>
      </c>
      <c r="AQ52" s="22">
        <v>0.48194444444444445</v>
      </c>
    </row>
    <row r="53" spans="1:43" ht="17.25" customHeight="1" x14ac:dyDescent="0.35">
      <c r="A53" s="169" t="s">
        <v>177</v>
      </c>
      <c r="B53" s="170" t="s">
        <v>11</v>
      </c>
      <c r="C53" s="170" t="s">
        <v>11</v>
      </c>
      <c r="D53" s="169" t="s">
        <v>46</v>
      </c>
      <c r="E53" s="169" t="s">
        <v>457</v>
      </c>
      <c r="F53" s="121">
        <v>0.83333333333333337</v>
      </c>
      <c r="G53" s="195">
        <f>Table436[[#This Row],[Min Daily Hours]]*24</f>
        <v>20</v>
      </c>
      <c r="H53" s="76">
        <v>7.8</v>
      </c>
      <c r="I53" s="22">
        <f>Table4[[#This Row],[Available Hours for Service]]</f>
        <v>29.249305555567844</v>
      </c>
      <c r="J53" s="65">
        <v>38900</v>
      </c>
      <c r="K53" s="123">
        <f>Table436[[#This Row],[Min Daily Hours]]*J$199</f>
        <v>25</v>
      </c>
      <c r="L53" s="123">
        <f>SUM(Table436[[#This Row],[1]:[31]])</f>
        <v>26.844444444444441</v>
      </c>
      <c r="M53" s="121">
        <v>0.83333333333333337</v>
      </c>
      <c r="N53" s="121">
        <v>1</v>
      </c>
      <c r="O53" s="121">
        <v>1</v>
      </c>
      <c r="P53" s="121">
        <v>0.83333333333333337</v>
      </c>
      <c r="Q53" s="121">
        <v>1</v>
      </c>
      <c r="R53" s="121">
        <v>0.75</v>
      </c>
      <c r="S53" s="121">
        <v>0.83333333333333337</v>
      </c>
      <c r="T53" s="121">
        <v>0.80972222222222223</v>
      </c>
      <c r="U53" s="121">
        <v>0.92847222222222225</v>
      </c>
      <c r="V53" s="121">
        <v>0.5</v>
      </c>
      <c r="W53" s="22">
        <v>0.92847222222222225</v>
      </c>
      <c r="X53" s="22">
        <v>0.9506944444444444</v>
      </c>
      <c r="Y53" s="22">
        <v>0.83333333333333337</v>
      </c>
      <c r="Z53" s="22">
        <v>0.91111111111111109</v>
      </c>
      <c r="AA53" s="22">
        <v>0.79652777777777783</v>
      </c>
      <c r="AB53" s="22">
        <v>1</v>
      </c>
      <c r="AC53" s="22">
        <v>0.64166666666666672</v>
      </c>
      <c r="AD53" s="22">
        <v>0.64166666666666672</v>
      </c>
      <c r="AE53" s="22">
        <v>0.8930555555555556</v>
      </c>
      <c r="AF53" s="22">
        <v>0.62430555555555556</v>
      </c>
      <c r="AG53" s="22">
        <v>1</v>
      </c>
      <c r="AH53" s="215">
        <v>0.85555555555555562</v>
      </c>
      <c r="AI53" s="22">
        <v>0.59166666666666667</v>
      </c>
      <c r="AJ53" s="22">
        <v>1</v>
      </c>
      <c r="AK53" s="22">
        <v>0.7715277777777777</v>
      </c>
      <c r="AL53" s="22">
        <v>0.91666666666666663</v>
      </c>
      <c r="AM53" s="22">
        <v>1</v>
      </c>
      <c r="AN53" s="22">
        <v>1</v>
      </c>
      <c r="AO53" s="22">
        <v>1</v>
      </c>
      <c r="AP53" s="22">
        <v>1</v>
      </c>
      <c r="AQ53" s="22">
        <v>1</v>
      </c>
    </row>
    <row r="54" spans="1:43" ht="17.25" customHeight="1" x14ac:dyDescent="0.35">
      <c r="A54" s="169" t="s">
        <v>174</v>
      </c>
      <c r="B54" s="170" t="s">
        <v>14</v>
      </c>
      <c r="C54" s="170" t="s">
        <v>231</v>
      </c>
      <c r="D54" s="169" t="s">
        <v>179</v>
      </c>
      <c r="E54" s="169" t="s">
        <v>457</v>
      </c>
      <c r="F54" s="121">
        <v>0.83333333333333337</v>
      </c>
      <c r="G54" s="195">
        <f>Table436[[#This Row],[Min Daily Hours]]*24</f>
        <v>20</v>
      </c>
      <c r="H54" s="76">
        <v>7.1</v>
      </c>
      <c r="I54" s="22">
        <f>Table4[[#This Row],[Available Hours for Service]]</f>
        <v>42614.719444444454</v>
      </c>
      <c r="J54" s="65">
        <v>47800</v>
      </c>
      <c r="K54" s="123">
        <f>Table436[[#This Row],[Min Daily Hours]]*J$199</f>
        <v>25</v>
      </c>
      <c r="L54" s="123">
        <f>SUM(Table436[[#This Row],[1]:[31]])</f>
        <v>26.462500000000002</v>
      </c>
      <c r="M54" s="121">
        <v>0.875</v>
      </c>
      <c r="N54" s="121">
        <v>0.58333333333333337</v>
      </c>
      <c r="O54" s="121">
        <v>0.625</v>
      </c>
      <c r="P54" s="121">
        <v>0.21875</v>
      </c>
      <c r="Q54" s="121">
        <v>1</v>
      </c>
      <c r="R54" s="121">
        <v>0.875</v>
      </c>
      <c r="S54" s="121">
        <v>0.70833333333333337</v>
      </c>
      <c r="T54" s="121">
        <v>1</v>
      </c>
      <c r="U54" s="121">
        <v>0.79166666666666663</v>
      </c>
      <c r="V54" s="121">
        <v>1</v>
      </c>
      <c r="W54" s="22">
        <v>0.83333333333333337</v>
      </c>
      <c r="X54" s="22">
        <v>0.875</v>
      </c>
      <c r="Y54" s="22">
        <v>0.95833333333333337</v>
      </c>
      <c r="Z54" s="22">
        <v>0.95833333333333337</v>
      </c>
      <c r="AA54" s="22">
        <v>0.95833333333333337</v>
      </c>
      <c r="AB54" s="22">
        <v>1</v>
      </c>
      <c r="AC54" s="22">
        <v>1</v>
      </c>
      <c r="AD54" s="22">
        <v>0.83333333333333337</v>
      </c>
      <c r="AE54" s="22">
        <v>1</v>
      </c>
      <c r="AF54" s="22">
        <v>0.64374999999999993</v>
      </c>
      <c r="AG54" s="22">
        <v>0.79166666666666663</v>
      </c>
      <c r="AH54" s="215">
        <v>0.91666666666666663</v>
      </c>
      <c r="AI54" s="22">
        <v>0.6</v>
      </c>
      <c r="AJ54" s="22">
        <v>0.95833333333333337</v>
      </c>
      <c r="AK54" s="22">
        <v>1</v>
      </c>
      <c r="AL54" s="22">
        <v>0.95833333333333337</v>
      </c>
      <c r="AM54" s="22">
        <v>0.83333333333333337</v>
      </c>
      <c r="AN54" s="22">
        <v>0.83333333333333337</v>
      </c>
      <c r="AO54" s="22">
        <v>1</v>
      </c>
      <c r="AP54" s="22">
        <v>1</v>
      </c>
      <c r="AQ54" s="22">
        <v>0.83333333333333337</v>
      </c>
    </row>
    <row r="55" spans="1:43" ht="17.25" customHeight="1" x14ac:dyDescent="0.35">
      <c r="A55" s="169" t="s">
        <v>174</v>
      </c>
      <c r="B55" s="170" t="s">
        <v>14</v>
      </c>
      <c r="C55" s="170" t="s">
        <v>231</v>
      </c>
      <c r="D55" s="169" t="s">
        <v>54</v>
      </c>
      <c r="E55" s="169" t="s">
        <v>457</v>
      </c>
      <c r="F55" s="121">
        <v>0.83333333333333337</v>
      </c>
      <c r="G55" s="195">
        <f>Table436[[#This Row],[Min Daily Hours]]*24</f>
        <v>20</v>
      </c>
      <c r="H55" s="76">
        <v>24.9</v>
      </c>
      <c r="I55" s="22">
        <f>Table4[[#This Row],[Available Hours for Service]]</f>
        <v>30</v>
      </c>
      <c r="J55" s="65">
        <v>94600</v>
      </c>
      <c r="K55" s="123">
        <f>Table436[[#This Row],[Min Daily Hours]]*J$199</f>
        <v>25</v>
      </c>
      <c r="L55" s="123">
        <f>SUM(Table436[[#This Row],[1]:[31]])</f>
        <v>29.667361111111116</v>
      </c>
      <c r="M55" s="121">
        <v>0.95833333333333337</v>
      </c>
      <c r="N55" s="121">
        <v>1</v>
      </c>
      <c r="O55" s="121">
        <v>0.91666666666666663</v>
      </c>
      <c r="P55" s="121">
        <v>1</v>
      </c>
      <c r="Q55" s="121">
        <v>1</v>
      </c>
      <c r="R55" s="121">
        <v>1</v>
      </c>
      <c r="S55" s="121">
        <v>1</v>
      </c>
      <c r="T55" s="121">
        <v>1</v>
      </c>
      <c r="U55" s="121">
        <v>0.95833333333333337</v>
      </c>
      <c r="V55" s="121">
        <v>1</v>
      </c>
      <c r="W55" s="22">
        <v>1</v>
      </c>
      <c r="X55" s="22">
        <v>0.875</v>
      </c>
      <c r="Y55" s="22">
        <v>1</v>
      </c>
      <c r="Z55" s="22">
        <v>1</v>
      </c>
      <c r="AA55" s="22">
        <v>1</v>
      </c>
      <c r="AB55" s="22">
        <v>1</v>
      </c>
      <c r="AC55" s="22">
        <v>1</v>
      </c>
      <c r="AD55" s="22">
        <v>0.79166666666666663</v>
      </c>
      <c r="AE55" s="22">
        <v>1</v>
      </c>
      <c r="AF55" s="22">
        <v>0.54236111111111118</v>
      </c>
      <c r="AG55" s="22">
        <v>1</v>
      </c>
      <c r="AH55" s="215">
        <v>1</v>
      </c>
      <c r="AI55" s="22">
        <v>0.625</v>
      </c>
      <c r="AJ55" s="22">
        <v>1</v>
      </c>
      <c r="AK55" s="22">
        <v>1</v>
      </c>
      <c r="AL55" s="22">
        <v>1</v>
      </c>
      <c r="AM55" s="22">
        <v>1</v>
      </c>
      <c r="AN55" s="22">
        <v>1</v>
      </c>
      <c r="AO55" s="22">
        <v>1</v>
      </c>
      <c r="AP55" s="22">
        <v>1</v>
      </c>
      <c r="AQ55" s="22">
        <v>1</v>
      </c>
    </row>
    <row r="56" spans="1:43" ht="17.25" customHeight="1" x14ac:dyDescent="0.35">
      <c r="A56" s="169" t="s">
        <v>174</v>
      </c>
      <c r="B56" s="170" t="s">
        <v>14</v>
      </c>
      <c r="C56" s="170" t="s">
        <v>231</v>
      </c>
      <c r="D56" s="169" t="s">
        <v>55</v>
      </c>
      <c r="E56" s="169" t="s">
        <v>460</v>
      </c>
      <c r="F56" s="121">
        <v>0.33333333333333331</v>
      </c>
      <c r="G56" s="195">
        <f>Table436[[#This Row],[Min Daily Hours]]*24</f>
        <v>8</v>
      </c>
      <c r="H56" s="76">
        <v>5.2</v>
      </c>
      <c r="I56" s="22">
        <f>Table4[[#This Row],[Available Hours for Service]]</f>
        <v>30</v>
      </c>
      <c r="J56" s="65">
        <v>55500</v>
      </c>
      <c r="K56" s="123">
        <f>Table436[[#This Row],[Min Daily Hours]]*J$199</f>
        <v>10</v>
      </c>
      <c r="L56" s="123">
        <f>SUM(Table436[[#This Row],[1]:[31]])</f>
        <v>22.834722222222222</v>
      </c>
      <c r="M56" s="121">
        <v>0.79166666666666663</v>
      </c>
      <c r="N56" s="121">
        <v>0.54166666666666663</v>
      </c>
      <c r="O56" s="121">
        <v>0.875</v>
      </c>
      <c r="P56" s="121">
        <v>0.75</v>
      </c>
      <c r="Q56" s="121">
        <v>0.70833333333333337</v>
      </c>
      <c r="R56" s="121">
        <v>0.41666666666666669</v>
      </c>
      <c r="S56" s="121">
        <v>0.70833333333333337</v>
      </c>
      <c r="T56" s="121">
        <v>1</v>
      </c>
      <c r="U56" s="121">
        <v>1</v>
      </c>
      <c r="V56" s="121">
        <v>0.91666666666666663</v>
      </c>
      <c r="W56" s="22">
        <v>0.91666666666666663</v>
      </c>
      <c r="X56" s="22">
        <v>0.91666666666666663</v>
      </c>
      <c r="Y56" s="22">
        <v>0.875</v>
      </c>
      <c r="Z56" s="22">
        <v>0.91666666666666663</v>
      </c>
      <c r="AA56" s="22">
        <v>0.91666666666666663</v>
      </c>
      <c r="AB56" s="22">
        <v>1</v>
      </c>
      <c r="AC56" s="22">
        <v>0.875</v>
      </c>
      <c r="AD56" s="22">
        <v>0.58333333333333337</v>
      </c>
      <c r="AE56" s="22">
        <v>0.83333333333333337</v>
      </c>
      <c r="AF56" s="22">
        <v>0.20833333333333334</v>
      </c>
      <c r="AG56" s="22">
        <v>0.70833333333333337</v>
      </c>
      <c r="AH56" s="215">
        <v>1</v>
      </c>
      <c r="AI56" s="22">
        <v>0.5</v>
      </c>
      <c r="AJ56" s="22">
        <v>0.5</v>
      </c>
      <c r="AK56" s="22">
        <v>0.45833333333333331</v>
      </c>
      <c r="AL56" s="22">
        <v>0.29236111111111113</v>
      </c>
      <c r="AM56" s="22">
        <v>0.83333333333333337</v>
      </c>
      <c r="AN56" s="22">
        <v>0.83333333333333337</v>
      </c>
      <c r="AO56" s="22">
        <v>0.54236111111111118</v>
      </c>
      <c r="AP56" s="22">
        <v>0.625</v>
      </c>
      <c r="AQ56" s="22">
        <v>0.79166666666666663</v>
      </c>
    </row>
    <row r="57" spans="1:43" ht="17.25" customHeight="1" x14ac:dyDescent="0.35">
      <c r="A57" s="169" t="s">
        <v>174</v>
      </c>
      <c r="B57" s="170" t="s">
        <v>14</v>
      </c>
      <c r="C57" s="170" t="s">
        <v>232</v>
      </c>
      <c r="D57" s="169" t="s">
        <v>314</v>
      </c>
      <c r="E57" s="169" t="s">
        <v>460</v>
      </c>
      <c r="F57" s="121">
        <v>0.33333333333333331</v>
      </c>
      <c r="G57" s="195">
        <f>Table436[[#This Row],[Min Daily Hours]]*24</f>
        <v>8</v>
      </c>
      <c r="H57" s="76">
        <v>5.8</v>
      </c>
      <c r="I57" s="22">
        <f>Table4[[#This Row],[Available Hours for Service]]</f>
        <v>29.76736111111677</v>
      </c>
      <c r="J57" s="65">
        <v>29250</v>
      </c>
      <c r="K57" s="123">
        <f>Table436[[#This Row],[Min Daily Hours]]*J$199</f>
        <v>10</v>
      </c>
      <c r="L57" s="123">
        <f>SUM(Table436[[#This Row],[1]:[31]])</f>
        <v>24.477083333333326</v>
      </c>
      <c r="M57" s="121">
        <v>0.75</v>
      </c>
      <c r="N57" s="121">
        <v>0.875</v>
      </c>
      <c r="O57" s="121">
        <v>0.625</v>
      </c>
      <c r="P57" s="121">
        <v>0.97916666666666663</v>
      </c>
      <c r="Q57" s="121">
        <v>0.54166666666666663</v>
      </c>
      <c r="R57" s="121">
        <v>0.66666666666666663</v>
      </c>
      <c r="S57" s="121">
        <v>0.70833333333333337</v>
      </c>
      <c r="T57" s="121">
        <v>0.9458333333333333</v>
      </c>
      <c r="U57" s="121">
        <v>1</v>
      </c>
      <c r="V57" s="121">
        <v>0.875</v>
      </c>
      <c r="W57" s="22">
        <v>0.875</v>
      </c>
      <c r="X57" s="22">
        <v>0.73333333333333339</v>
      </c>
      <c r="Y57" s="22">
        <v>0.79166666666666663</v>
      </c>
      <c r="Z57" s="22">
        <v>0.83333333333333337</v>
      </c>
      <c r="AA57" s="22">
        <v>0.45833333333333331</v>
      </c>
      <c r="AB57" s="22">
        <v>0.94791666666666663</v>
      </c>
      <c r="AC57" s="22">
        <v>1</v>
      </c>
      <c r="AD57" s="22">
        <v>0.54166666666666663</v>
      </c>
      <c r="AE57" s="22">
        <v>0.75</v>
      </c>
      <c r="AF57" s="22">
        <v>0.3972222222222222</v>
      </c>
      <c r="AG57" s="22">
        <v>0.86805555555555547</v>
      </c>
      <c r="AH57" s="215">
        <v>0.95833333333333337</v>
      </c>
      <c r="AI57" s="22">
        <v>0.625</v>
      </c>
      <c r="AJ57" s="22">
        <v>1</v>
      </c>
      <c r="AK57" s="22">
        <v>0.67291666666666661</v>
      </c>
      <c r="AL57" s="22">
        <v>0.95833333333333337</v>
      </c>
      <c r="AM57" s="22">
        <v>0.875</v>
      </c>
      <c r="AN57" s="22">
        <v>0.75</v>
      </c>
      <c r="AO57" s="22">
        <v>0.76597222222222217</v>
      </c>
      <c r="AP57" s="22">
        <v>0.95833333333333337</v>
      </c>
      <c r="AQ57" s="22">
        <v>0.75</v>
      </c>
    </row>
    <row r="58" spans="1:43" ht="17.25" customHeight="1" x14ac:dyDescent="0.35">
      <c r="A58" s="169" t="s">
        <v>174</v>
      </c>
      <c r="B58" s="170" t="s">
        <v>14</v>
      </c>
      <c r="C58" s="170" t="s">
        <v>231</v>
      </c>
      <c r="D58" s="169" t="s">
        <v>441</v>
      </c>
      <c r="E58" s="169" t="s">
        <v>457</v>
      </c>
      <c r="F58" s="121">
        <v>0.83333333333333337</v>
      </c>
      <c r="G58" s="195">
        <f>Table436[[#This Row],[Min Daily Hours]]*24</f>
        <v>20</v>
      </c>
      <c r="H58" s="76">
        <v>0</v>
      </c>
      <c r="I58" s="22">
        <f>Table4[[#This Row],[Available Hours for Service]]</f>
        <v>30</v>
      </c>
      <c r="J58" s="65">
        <v>2500</v>
      </c>
      <c r="K58" s="123">
        <f>Table436[[#This Row],[Min Daily Hours]]*J$199</f>
        <v>25</v>
      </c>
      <c r="L58" s="123">
        <f>SUM(Table436[[#This Row],[1]:[31]])</f>
        <v>0</v>
      </c>
      <c r="M58" s="121"/>
      <c r="N58" s="121"/>
      <c r="O58" s="121"/>
      <c r="P58" s="121"/>
      <c r="Q58" s="121"/>
      <c r="R58" s="121"/>
      <c r="S58" s="121"/>
      <c r="T58" s="121"/>
      <c r="U58" s="121"/>
      <c r="V58" s="121"/>
      <c r="W58" s="22"/>
      <c r="X58" s="22"/>
      <c r="Y58" s="22"/>
      <c r="Z58" s="22"/>
      <c r="AA58" s="22"/>
      <c r="AB58" s="22"/>
      <c r="AC58" s="22"/>
      <c r="AD58" s="22"/>
      <c r="AE58" s="22"/>
      <c r="AF58" s="22"/>
      <c r="AG58" s="22"/>
      <c r="AH58" s="215"/>
      <c r="AI58" s="22"/>
      <c r="AJ58" s="22"/>
      <c r="AK58" s="22"/>
      <c r="AL58" s="22"/>
      <c r="AM58" s="22"/>
      <c r="AN58" s="22"/>
      <c r="AO58" s="22"/>
      <c r="AP58" s="22"/>
      <c r="AQ58" s="22"/>
    </row>
    <row r="59" spans="1:43" ht="17.25" customHeight="1" x14ac:dyDescent="0.35">
      <c r="A59" s="169" t="s">
        <v>174</v>
      </c>
      <c r="B59" s="170" t="s">
        <v>14</v>
      </c>
      <c r="C59" s="170" t="s">
        <v>232</v>
      </c>
      <c r="D59" s="169" t="s">
        <v>56</v>
      </c>
      <c r="E59" s="169" t="s">
        <v>457</v>
      </c>
      <c r="F59" s="121">
        <v>0.83333333333333337</v>
      </c>
      <c r="G59" s="195">
        <f>Table436[[#This Row],[Min Daily Hours]]*24</f>
        <v>20</v>
      </c>
      <c r="H59" s="76">
        <v>11</v>
      </c>
      <c r="I59" s="22">
        <f>Table4[[#This Row],[Available Hours for Service]]</f>
        <v>29.545138888890506</v>
      </c>
      <c r="J59" s="65">
        <v>46650</v>
      </c>
      <c r="K59" s="123">
        <f>Table436[[#This Row],[Min Daily Hours]]*J$199</f>
        <v>25</v>
      </c>
      <c r="L59" s="123">
        <f>SUM(Table436[[#This Row],[1]:[31]])</f>
        <v>23.828472222222221</v>
      </c>
      <c r="M59" s="121">
        <v>0.97916666666666663</v>
      </c>
      <c r="N59" s="121">
        <v>0.375</v>
      </c>
      <c r="O59" s="121">
        <v>0.41666666666666669</v>
      </c>
      <c r="P59" s="121">
        <v>0.375</v>
      </c>
      <c r="Q59" s="121">
        <v>0.875</v>
      </c>
      <c r="R59" s="121">
        <v>0.95833333333333337</v>
      </c>
      <c r="S59" s="121">
        <v>0.45833333333333331</v>
      </c>
      <c r="T59" s="121">
        <v>0.625</v>
      </c>
      <c r="U59" s="121">
        <v>0.95833333333333337</v>
      </c>
      <c r="V59" s="121">
        <v>0.83333333333333337</v>
      </c>
      <c r="W59" s="22">
        <v>0.875</v>
      </c>
      <c r="X59" s="22">
        <v>0.875</v>
      </c>
      <c r="Y59" s="22">
        <v>1</v>
      </c>
      <c r="Z59" s="22">
        <v>0.95833333333333337</v>
      </c>
      <c r="AA59" s="22">
        <v>0.375</v>
      </c>
      <c r="AB59" s="22">
        <v>0.375</v>
      </c>
      <c r="AC59" s="22">
        <v>1</v>
      </c>
      <c r="AD59" s="22">
        <v>0.625</v>
      </c>
      <c r="AE59" s="22">
        <v>0.95833333333333337</v>
      </c>
      <c r="AF59" s="22">
        <v>0.625</v>
      </c>
      <c r="AG59" s="22">
        <v>0.88541666666666663</v>
      </c>
      <c r="AH59" s="215">
        <v>1</v>
      </c>
      <c r="AI59" s="22">
        <v>0.625</v>
      </c>
      <c r="AJ59" s="22">
        <v>0.51597222222222217</v>
      </c>
      <c r="AK59" s="22">
        <v>0.875</v>
      </c>
      <c r="AL59" s="22">
        <v>0.875</v>
      </c>
      <c r="AM59" s="22">
        <v>0.98958333333333337</v>
      </c>
      <c r="AN59" s="22">
        <v>0.875</v>
      </c>
      <c r="AO59" s="22">
        <v>1</v>
      </c>
      <c r="AP59" s="22">
        <v>1</v>
      </c>
      <c r="AQ59" s="22">
        <v>0.66666666666666663</v>
      </c>
    </row>
    <row r="60" spans="1:43" ht="17.25" customHeight="1" x14ac:dyDescent="0.35">
      <c r="A60" s="169" t="s">
        <v>174</v>
      </c>
      <c r="B60" s="170" t="s">
        <v>230</v>
      </c>
      <c r="C60" s="170" t="s">
        <v>230</v>
      </c>
      <c r="D60" s="169" t="s">
        <v>53</v>
      </c>
      <c r="E60" s="169" t="s">
        <v>457</v>
      </c>
      <c r="F60" s="121">
        <v>0.83333333333333337</v>
      </c>
      <c r="G60" s="195">
        <f>Table436[[#This Row],[Min Daily Hours]]*24</f>
        <v>20</v>
      </c>
      <c r="H60" s="76">
        <v>8</v>
      </c>
      <c r="I60" s="22">
        <f>Table4[[#This Row],[Available Hours for Service]]</f>
        <v>30</v>
      </c>
      <c r="J60" s="65">
        <v>22700</v>
      </c>
      <c r="K60" s="123">
        <f>Table436[[#This Row],[Min Daily Hours]]*J$199</f>
        <v>25</v>
      </c>
      <c r="L60" s="123">
        <f>SUM(Table436[[#This Row],[1]:[31]])</f>
        <v>29.791666666666664</v>
      </c>
      <c r="M60" s="121">
        <v>0.95833333333333337</v>
      </c>
      <c r="N60" s="121">
        <v>1</v>
      </c>
      <c r="O60" s="121">
        <v>1</v>
      </c>
      <c r="P60" s="121">
        <v>1</v>
      </c>
      <c r="Q60" s="121">
        <v>1</v>
      </c>
      <c r="R60" s="121">
        <v>0.875</v>
      </c>
      <c r="S60" s="121">
        <v>0.91666666666666663</v>
      </c>
      <c r="T60" s="121">
        <v>1</v>
      </c>
      <c r="U60" s="121">
        <v>1</v>
      </c>
      <c r="V60" s="121">
        <v>1</v>
      </c>
      <c r="W60" s="22">
        <v>1</v>
      </c>
      <c r="X60" s="22">
        <v>1</v>
      </c>
      <c r="Y60" s="22">
        <v>1</v>
      </c>
      <c r="Z60" s="22">
        <v>1</v>
      </c>
      <c r="AA60" s="22">
        <v>1</v>
      </c>
      <c r="AB60" s="22">
        <v>1</v>
      </c>
      <c r="AC60" s="22">
        <v>1</v>
      </c>
      <c r="AD60" s="22">
        <v>0.95833333333333337</v>
      </c>
      <c r="AE60" s="22">
        <v>0.875</v>
      </c>
      <c r="AF60" s="22">
        <v>0.625</v>
      </c>
      <c r="AG60" s="22">
        <v>1</v>
      </c>
      <c r="AH60" s="215">
        <v>1</v>
      </c>
      <c r="AI60" s="22">
        <v>0.58333333333333337</v>
      </c>
      <c r="AJ60" s="22">
        <v>1</v>
      </c>
      <c r="AK60" s="22">
        <v>1</v>
      </c>
      <c r="AL60" s="22">
        <v>1</v>
      </c>
      <c r="AM60" s="22">
        <v>1</v>
      </c>
      <c r="AN60" s="22">
        <v>1</v>
      </c>
      <c r="AO60" s="22">
        <v>1</v>
      </c>
      <c r="AP60" s="22">
        <v>1</v>
      </c>
      <c r="AQ60" s="22">
        <v>1</v>
      </c>
    </row>
    <row r="61" spans="1:43" ht="17.25" customHeight="1" x14ac:dyDescent="0.35">
      <c r="A61" s="169" t="s">
        <v>174</v>
      </c>
      <c r="B61" s="170" t="s">
        <v>230</v>
      </c>
      <c r="C61" s="170" t="s">
        <v>230</v>
      </c>
      <c r="D61" s="169" t="s">
        <v>315</v>
      </c>
      <c r="E61" s="169" t="s">
        <v>461</v>
      </c>
      <c r="F61" s="121">
        <v>0.5</v>
      </c>
      <c r="G61" s="195">
        <f>Table436[[#This Row],[Min Daily Hours]]*24</f>
        <v>12</v>
      </c>
      <c r="H61" s="76">
        <v>2.8</v>
      </c>
      <c r="I61" s="22">
        <f>Table4[[#This Row],[Available Hours for Service]]</f>
        <v>27.428472222229175</v>
      </c>
      <c r="J61" s="65">
        <v>16050</v>
      </c>
      <c r="K61" s="123">
        <f>Table436[[#This Row],[Min Daily Hours]]*J$199</f>
        <v>15</v>
      </c>
      <c r="L61" s="123">
        <f>SUM(Table436[[#This Row],[1]:[31]])</f>
        <v>15.583333333333336</v>
      </c>
      <c r="M61" s="121">
        <v>0.95833333333333337</v>
      </c>
      <c r="N61" s="121">
        <v>0.54166666666666663</v>
      </c>
      <c r="O61" s="121">
        <v>0.625</v>
      </c>
      <c r="P61" s="121">
        <v>0.58333333333333337</v>
      </c>
      <c r="Q61" s="121">
        <v>0.5</v>
      </c>
      <c r="R61" s="121">
        <v>0.375</v>
      </c>
      <c r="S61" s="121">
        <v>0.29166666666666669</v>
      </c>
      <c r="T61" s="121">
        <v>0.41666666666666669</v>
      </c>
      <c r="U61" s="121">
        <v>0.75</v>
      </c>
      <c r="V61" s="121">
        <v>0.66666666666666663</v>
      </c>
      <c r="W61" s="22">
        <v>0.70833333333333337</v>
      </c>
      <c r="X61" s="22">
        <v>0.625</v>
      </c>
      <c r="Y61" s="22">
        <v>0.875</v>
      </c>
      <c r="Z61" s="22">
        <v>8.3333333333333329E-2</v>
      </c>
      <c r="AA61" s="22">
        <v>8.3333333333333329E-2</v>
      </c>
      <c r="AB61" s="22">
        <v>0.375</v>
      </c>
      <c r="AC61" s="22">
        <v>0.5</v>
      </c>
      <c r="AD61" s="22">
        <v>0.54166666666666663</v>
      </c>
      <c r="AE61" s="22">
        <v>0.70833333333333337</v>
      </c>
      <c r="AF61" s="22">
        <v>0.20833333333333334</v>
      </c>
      <c r="AG61" s="22">
        <v>0.375</v>
      </c>
      <c r="AH61" s="215">
        <v>8.3333333333333329E-2</v>
      </c>
      <c r="AI61" s="22">
        <v>0.125</v>
      </c>
      <c r="AJ61" s="22">
        <v>0</v>
      </c>
      <c r="AK61" s="22">
        <v>0.95833333333333337</v>
      </c>
      <c r="AL61" s="22">
        <v>0.41666666666666669</v>
      </c>
      <c r="AM61" s="22">
        <v>0.33333333333333331</v>
      </c>
      <c r="AN61" s="22">
        <v>0.625</v>
      </c>
      <c r="AO61" s="22">
        <v>0.5</v>
      </c>
      <c r="AP61" s="22">
        <v>0.95833333333333337</v>
      </c>
      <c r="AQ61" s="22">
        <v>0.79166666666666663</v>
      </c>
    </row>
    <row r="62" spans="1:43" ht="17.25" customHeight="1" x14ac:dyDescent="0.35">
      <c r="A62" s="169" t="s">
        <v>174</v>
      </c>
      <c r="B62" s="170" t="s">
        <v>230</v>
      </c>
      <c r="C62" s="170" t="s">
        <v>230</v>
      </c>
      <c r="D62" s="169" t="s">
        <v>316</v>
      </c>
      <c r="E62" s="169" t="s">
        <v>459</v>
      </c>
      <c r="F62" s="121">
        <v>0.16666666666666666</v>
      </c>
      <c r="G62" s="195">
        <f>Table436[[#This Row],[Min Daily Hours]]*24</f>
        <v>4</v>
      </c>
      <c r="H62" s="76">
        <v>5.4</v>
      </c>
      <c r="I62" s="22">
        <f>Table4[[#This Row],[Available Hours for Service]]</f>
        <v>44809.360416666656</v>
      </c>
      <c r="J62" s="65">
        <v>18300</v>
      </c>
      <c r="K62" s="123">
        <f>Table436[[#This Row],[Min Daily Hours]]*J$199</f>
        <v>5</v>
      </c>
      <c r="L62" s="123">
        <f>SUM(Table436[[#This Row],[1]:[31]])</f>
        <v>18.666666666666668</v>
      </c>
      <c r="M62" s="121">
        <v>0.41666666666666669</v>
      </c>
      <c r="N62" s="121">
        <v>0.875</v>
      </c>
      <c r="O62" s="121">
        <v>0.5</v>
      </c>
      <c r="P62" s="121">
        <v>0.625</v>
      </c>
      <c r="Q62" s="121">
        <v>0.91666666666666663</v>
      </c>
      <c r="R62" s="121">
        <v>0.375</v>
      </c>
      <c r="S62" s="121">
        <v>0.29166666666666669</v>
      </c>
      <c r="T62" s="121">
        <v>0.625</v>
      </c>
      <c r="U62" s="121">
        <v>0.70833333333333337</v>
      </c>
      <c r="V62" s="121">
        <v>0.75</v>
      </c>
      <c r="W62" s="22">
        <v>0.79166666666666663</v>
      </c>
      <c r="X62" s="22">
        <v>0.66666666666666663</v>
      </c>
      <c r="Y62" s="22">
        <v>0.5</v>
      </c>
      <c r="Z62" s="22">
        <v>0.625</v>
      </c>
      <c r="AA62" s="22">
        <v>0.5</v>
      </c>
      <c r="AB62" s="22">
        <v>0.875</v>
      </c>
      <c r="AC62" s="22">
        <v>0.75</v>
      </c>
      <c r="AD62" s="22">
        <v>0.54166666666666663</v>
      </c>
      <c r="AE62" s="22">
        <v>0.70833333333333337</v>
      </c>
      <c r="AF62" s="22">
        <v>0.25</v>
      </c>
      <c r="AG62" s="22">
        <v>0.58333333333333337</v>
      </c>
      <c r="AH62" s="215">
        <v>0.875</v>
      </c>
      <c r="AI62" s="22">
        <v>0.16666666666666666</v>
      </c>
      <c r="AJ62" s="22">
        <v>0.41666666666666669</v>
      </c>
      <c r="AK62" s="22">
        <v>0.41666666666666669</v>
      </c>
      <c r="AL62" s="22">
        <v>0.66666666666666663</v>
      </c>
      <c r="AM62" s="22">
        <v>0.45833333333333331</v>
      </c>
      <c r="AN62" s="22">
        <v>0.58333333333333337</v>
      </c>
      <c r="AO62" s="22">
        <v>0.91666666666666663</v>
      </c>
      <c r="AP62" s="22">
        <v>0.79166666666666663</v>
      </c>
      <c r="AQ62" s="22">
        <v>0.5</v>
      </c>
    </row>
    <row r="63" spans="1:43" ht="17.25" customHeight="1" x14ac:dyDescent="0.35">
      <c r="A63" s="169" t="s">
        <v>178</v>
      </c>
      <c r="B63" s="170" t="s">
        <v>230</v>
      </c>
      <c r="C63" s="170" t="s">
        <v>13</v>
      </c>
      <c r="D63" s="169" t="s">
        <v>50</v>
      </c>
      <c r="E63" s="169" t="s">
        <v>461</v>
      </c>
      <c r="F63" s="121">
        <v>0.5</v>
      </c>
      <c r="G63" s="195">
        <f>Table436[[#This Row],[Min Daily Hours]]*24</f>
        <v>12</v>
      </c>
      <c r="H63" s="76">
        <v>3.4</v>
      </c>
      <c r="I63" s="22">
        <f>Table4[[#This Row],[Available Hours for Service]]</f>
        <v>29.411111111112405</v>
      </c>
      <c r="J63" s="65">
        <v>21810</v>
      </c>
      <c r="K63" s="123">
        <f>Table436[[#This Row],[Min Daily Hours]]*J$199</f>
        <v>15</v>
      </c>
      <c r="L63" s="123">
        <f>SUM(Table436[[#This Row],[1]:[31]])</f>
        <v>20.042361111111109</v>
      </c>
      <c r="M63" s="121">
        <v>0.80486111111111114</v>
      </c>
      <c r="N63" s="121">
        <v>0.38750000000000001</v>
      </c>
      <c r="O63" s="121">
        <v>0.7284722222222223</v>
      </c>
      <c r="P63" s="121">
        <v>0.71875</v>
      </c>
      <c r="Q63" s="121">
        <v>0.59444444444444444</v>
      </c>
      <c r="R63" s="121">
        <v>0.55833333333333335</v>
      </c>
      <c r="S63" s="121">
        <v>0.51736111111111105</v>
      </c>
      <c r="T63" s="121">
        <v>0.41666666666666669</v>
      </c>
      <c r="U63" s="121">
        <v>0.66666666666666663</v>
      </c>
      <c r="V63" s="121">
        <v>0.5</v>
      </c>
      <c r="W63" s="22">
        <v>0.93402777777777779</v>
      </c>
      <c r="X63" s="22">
        <v>0.41666666666666669</v>
      </c>
      <c r="Y63" s="22">
        <v>0.4770833333333333</v>
      </c>
      <c r="Z63" s="22">
        <v>0.32777777777777778</v>
      </c>
      <c r="AA63" s="22">
        <v>0.64513888888888882</v>
      </c>
      <c r="AB63" s="22">
        <v>0.58194444444444449</v>
      </c>
      <c r="AC63" s="22">
        <v>0.83333333333333337</v>
      </c>
      <c r="AD63" s="22">
        <v>0.73958333333333337</v>
      </c>
      <c r="AE63" s="22">
        <v>0.70972222222222225</v>
      </c>
      <c r="AF63" s="22">
        <v>0.50902777777777775</v>
      </c>
      <c r="AG63" s="22">
        <v>1</v>
      </c>
      <c r="AH63" s="215">
        <v>0.75</v>
      </c>
      <c r="AI63" s="22">
        <v>5.486111111111111E-2</v>
      </c>
      <c r="AJ63" s="22">
        <v>0.9506944444444444</v>
      </c>
      <c r="AK63" s="22">
        <v>0.77222222222222225</v>
      </c>
      <c r="AL63" s="22">
        <v>0.48194444444444445</v>
      </c>
      <c r="AM63" s="22">
        <v>0.6381944444444444</v>
      </c>
      <c r="AN63" s="22">
        <v>0.98472222222222217</v>
      </c>
      <c r="AO63" s="22">
        <v>1</v>
      </c>
      <c r="AP63" s="22">
        <v>0.8041666666666667</v>
      </c>
      <c r="AQ63" s="22">
        <v>0.53819444444444442</v>
      </c>
    </row>
    <row r="64" spans="1:43" s="157" customFormat="1" ht="17.25" customHeight="1" x14ac:dyDescent="0.35">
      <c r="A64" s="169" t="s">
        <v>178</v>
      </c>
      <c r="B64" s="170" t="s">
        <v>13</v>
      </c>
      <c r="C64" s="170" t="s">
        <v>13</v>
      </c>
      <c r="D64" s="169" t="s">
        <v>444</v>
      </c>
      <c r="E64" s="169" t="s">
        <v>459</v>
      </c>
      <c r="F64" s="121">
        <v>0.16666666666666666</v>
      </c>
      <c r="G64" s="195">
        <f>Table436[[#This Row],[Min Daily Hours]]*24</f>
        <v>4</v>
      </c>
      <c r="H64" s="76">
        <v>7.7</v>
      </c>
      <c r="I64" s="121">
        <f>Table4[[#This Row],[Available Hours for Service]]</f>
        <v>44805.999305555553</v>
      </c>
      <c r="J64" s="65"/>
      <c r="K64" s="123">
        <f>Table436[[#This Row],[Min Daily Hours]]*J$199</f>
        <v>5</v>
      </c>
      <c r="L64" s="123">
        <f>SUM(Table436[[#This Row],[1]:[31]])</f>
        <v>9.8375000000000004</v>
      </c>
      <c r="M64" s="121">
        <v>4.1666666666666664E-2</v>
      </c>
      <c r="N64" s="121">
        <v>0.25</v>
      </c>
      <c r="O64" s="121">
        <v>4.1666666666666664E-2</v>
      </c>
      <c r="P64" s="121">
        <v>4.1666666666666664E-2</v>
      </c>
      <c r="Q64" s="121">
        <v>0.33333333333333331</v>
      </c>
      <c r="R64" s="121">
        <v>8.3333333333333329E-2</v>
      </c>
      <c r="S64" s="121">
        <v>0.45833333333333331</v>
      </c>
      <c r="T64" s="121">
        <v>0.58333333333333337</v>
      </c>
      <c r="U64" s="121">
        <v>0.875</v>
      </c>
      <c r="V64" s="121">
        <v>0.29166666666666669</v>
      </c>
      <c r="W64" s="121">
        <v>0.54166666666666663</v>
      </c>
      <c r="X64" s="121">
        <v>0.29166666666666669</v>
      </c>
      <c r="Y64" s="121">
        <v>0.41666666666666669</v>
      </c>
      <c r="Z64" s="121">
        <v>0.45833333333333331</v>
      </c>
      <c r="AA64" s="121">
        <v>0.5</v>
      </c>
      <c r="AB64" s="121">
        <v>0.375</v>
      </c>
      <c r="AC64" s="121">
        <v>0.25</v>
      </c>
      <c r="AD64" s="121">
        <v>0.25</v>
      </c>
      <c r="AE64" s="121">
        <v>0.25</v>
      </c>
      <c r="AF64" s="121">
        <v>0.125</v>
      </c>
      <c r="AG64" s="121">
        <v>0.20833333333333334</v>
      </c>
      <c r="AH64" s="215">
        <v>0.125</v>
      </c>
      <c r="AI64" s="121">
        <v>0.16666666666666666</v>
      </c>
      <c r="AJ64" s="121">
        <v>0.33333333333333331</v>
      </c>
      <c r="AK64" s="121">
        <v>0.29166666666666669</v>
      </c>
      <c r="AL64" s="121">
        <v>0.41666666666666669</v>
      </c>
      <c r="AM64" s="220">
        <v>0.62916666666666665</v>
      </c>
      <c r="AN64" s="121">
        <v>0.25</v>
      </c>
      <c r="AO64" s="121">
        <v>0.25</v>
      </c>
      <c r="AP64" s="121">
        <v>0.33333333333333331</v>
      </c>
      <c r="AQ64" s="121">
        <v>0.375</v>
      </c>
    </row>
    <row r="65" spans="1:43" ht="17.25" customHeight="1" x14ac:dyDescent="0.35">
      <c r="A65" s="169" t="s">
        <v>178</v>
      </c>
      <c r="B65" s="170" t="s">
        <v>13</v>
      </c>
      <c r="C65" s="170" t="s">
        <v>13</v>
      </c>
      <c r="D65" s="169" t="s">
        <v>343</v>
      </c>
      <c r="E65" s="169" t="s">
        <v>457</v>
      </c>
      <c r="F65" s="121">
        <v>0.83333333333333337</v>
      </c>
      <c r="G65" s="195">
        <f>Table436[[#This Row],[Min Daily Hours]]*24</f>
        <v>20</v>
      </c>
      <c r="H65" s="76">
        <v>0</v>
      </c>
      <c r="I65" s="22">
        <f>Table4[[#This Row],[Available Hours for Service]]</f>
        <v>30</v>
      </c>
      <c r="J65" s="77">
        <v>500</v>
      </c>
      <c r="K65" s="123">
        <f>Table436[[#This Row],[Min Daily Hours]]*J$199</f>
        <v>25</v>
      </c>
      <c r="L65" s="123">
        <f>SUM(Table436[[#This Row],[1]:[31]])</f>
        <v>28.333333333333332</v>
      </c>
      <c r="M65" s="121">
        <v>0.875</v>
      </c>
      <c r="N65" s="121">
        <v>1</v>
      </c>
      <c r="O65" s="121">
        <v>0.95833333333333337</v>
      </c>
      <c r="P65" s="121">
        <v>0.95833333333333337</v>
      </c>
      <c r="Q65" s="121">
        <v>1</v>
      </c>
      <c r="R65" s="121">
        <v>1</v>
      </c>
      <c r="S65" s="121">
        <v>0.70833333333333337</v>
      </c>
      <c r="T65" s="121">
        <v>1</v>
      </c>
      <c r="U65" s="121">
        <v>1</v>
      </c>
      <c r="V65" s="121">
        <v>1</v>
      </c>
      <c r="W65" s="22">
        <v>1</v>
      </c>
      <c r="X65" s="22">
        <v>1</v>
      </c>
      <c r="Y65" s="22">
        <v>1</v>
      </c>
      <c r="Z65" s="22">
        <v>0.95833333333333337</v>
      </c>
      <c r="AA65" s="22">
        <v>1</v>
      </c>
      <c r="AB65" s="22">
        <v>1</v>
      </c>
      <c r="AC65" s="22">
        <v>0.95833333333333337</v>
      </c>
      <c r="AD65" s="22">
        <v>0.5</v>
      </c>
      <c r="AE65" s="22">
        <v>1</v>
      </c>
      <c r="AF65" s="22">
        <v>0.58333333333333337</v>
      </c>
      <c r="AG65" s="22">
        <v>1</v>
      </c>
      <c r="AH65" s="215">
        <v>1</v>
      </c>
      <c r="AI65" s="22">
        <v>0.58333333333333337</v>
      </c>
      <c r="AJ65" s="22">
        <v>1</v>
      </c>
      <c r="AK65" s="22">
        <v>1</v>
      </c>
      <c r="AL65" s="22">
        <v>1</v>
      </c>
      <c r="AM65" s="22">
        <v>0.70833333333333337</v>
      </c>
      <c r="AN65" s="22">
        <v>1</v>
      </c>
      <c r="AO65" s="22">
        <v>1</v>
      </c>
      <c r="AP65" s="22">
        <v>0.54166666666666663</v>
      </c>
      <c r="AQ65" s="22">
        <v>1</v>
      </c>
    </row>
    <row r="66" spans="1:43" ht="17.25" customHeight="1" x14ac:dyDescent="0.35">
      <c r="A66" s="169" t="s">
        <v>178</v>
      </c>
      <c r="B66" s="170" t="s">
        <v>13</v>
      </c>
      <c r="C66" s="170" t="s">
        <v>13</v>
      </c>
      <c r="D66" s="169" t="s">
        <v>51</v>
      </c>
      <c r="E66" s="169" t="s">
        <v>460</v>
      </c>
      <c r="F66" s="121">
        <v>0.33333333333333331</v>
      </c>
      <c r="G66" s="195">
        <f>Table436[[#This Row],[Min Daily Hours]]*24</f>
        <v>8</v>
      </c>
      <c r="H66" s="76">
        <v>13.8</v>
      </c>
      <c r="I66" s="22">
        <f>Table4[[#This Row],[Available Hours for Service]]</f>
        <v>179134.68611111114</v>
      </c>
      <c r="J66" s="65">
        <v>46350</v>
      </c>
      <c r="K66" s="123">
        <f>Table436[[#This Row],[Min Daily Hours]]*J$199</f>
        <v>10</v>
      </c>
      <c r="L66" s="123">
        <f>SUM(Table436[[#This Row],[1]:[31]])</f>
        <v>15.333333333333334</v>
      </c>
      <c r="M66" s="121">
        <v>0.91666666666666663</v>
      </c>
      <c r="N66" s="121">
        <v>0.70833333333333337</v>
      </c>
      <c r="O66" s="121">
        <v>1</v>
      </c>
      <c r="P66" s="121">
        <v>0.625</v>
      </c>
      <c r="Q66" s="121">
        <v>0.41666666666666669</v>
      </c>
      <c r="R66" s="121">
        <v>0.29166666666666669</v>
      </c>
      <c r="S66" s="121">
        <v>0.45833333333333331</v>
      </c>
      <c r="T66" s="121">
        <v>0.75</v>
      </c>
      <c r="U66" s="121">
        <v>0.54166666666666663</v>
      </c>
      <c r="V66" s="121">
        <v>0.41666666666666669</v>
      </c>
      <c r="W66" s="22">
        <v>0.75</v>
      </c>
      <c r="X66" s="22">
        <v>0.66666666666666663</v>
      </c>
      <c r="Y66" s="22">
        <v>0.45833333333333331</v>
      </c>
      <c r="Z66" s="22">
        <v>0.70833333333333337</v>
      </c>
      <c r="AA66" s="22">
        <v>0.33333333333333331</v>
      </c>
      <c r="AB66" s="22">
        <v>0.45833333333333331</v>
      </c>
      <c r="AC66" s="22">
        <v>0.54166666666666663</v>
      </c>
      <c r="AD66" s="22">
        <v>0.16666666666666666</v>
      </c>
      <c r="AE66" s="22">
        <v>0.66666666666666663</v>
      </c>
      <c r="AF66" s="22">
        <v>0.29166666666666669</v>
      </c>
      <c r="AG66" s="22">
        <v>0.58333333333333337</v>
      </c>
      <c r="AH66" s="215">
        <v>0.41666666666666669</v>
      </c>
      <c r="AI66" s="22">
        <v>0.16666666666666666</v>
      </c>
      <c r="AJ66" s="22">
        <v>0.375</v>
      </c>
      <c r="AK66" s="22">
        <v>0.41666666666666669</v>
      </c>
      <c r="AL66" s="22">
        <v>0.45833333333333331</v>
      </c>
      <c r="AM66" s="22">
        <v>0.20833333333333334</v>
      </c>
      <c r="AN66" s="22">
        <v>0.5</v>
      </c>
      <c r="AO66" s="22">
        <v>0.375</v>
      </c>
      <c r="AP66" s="22">
        <v>0.33333333333333331</v>
      </c>
      <c r="AQ66" s="22">
        <v>0.33333333333333331</v>
      </c>
    </row>
    <row r="67" spans="1:43" ht="17.25" customHeight="1" x14ac:dyDescent="0.35">
      <c r="A67" s="169" t="s">
        <v>178</v>
      </c>
      <c r="B67" s="170" t="s">
        <v>13</v>
      </c>
      <c r="C67" s="170" t="s">
        <v>229</v>
      </c>
      <c r="D67" s="169" t="s">
        <v>52</v>
      </c>
      <c r="E67" s="169" t="s">
        <v>461</v>
      </c>
      <c r="F67" s="121">
        <v>0.5</v>
      </c>
      <c r="G67" s="195">
        <f>Table436[[#This Row],[Min Daily Hours]]*24</f>
        <v>12</v>
      </c>
      <c r="H67" s="76">
        <v>11.5</v>
      </c>
      <c r="I67" s="22">
        <f>Table4[[#This Row],[Available Hours for Service]]</f>
        <v>44805.96875</v>
      </c>
      <c r="J67" s="65">
        <v>39850</v>
      </c>
      <c r="K67" s="123">
        <f>Table436[[#This Row],[Min Daily Hours]]*J$199</f>
        <v>15</v>
      </c>
      <c r="L67" s="123">
        <f>SUM(Table436[[#This Row],[1]:[31]])</f>
        <v>25.208333333333336</v>
      </c>
      <c r="M67" s="121">
        <v>0.75</v>
      </c>
      <c r="N67" s="121">
        <v>0.83333333333333337</v>
      </c>
      <c r="O67" s="121">
        <v>1</v>
      </c>
      <c r="P67" s="121">
        <v>1</v>
      </c>
      <c r="Q67" s="121">
        <v>0.83333333333333337</v>
      </c>
      <c r="R67" s="121">
        <v>0.91666666666666663</v>
      </c>
      <c r="S67" s="121">
        <v>0.5</v>
      </c>
      <c r="T67" s="121">
        <v>0.66666666666666663</v>
      </c>
      <c r="U67" s="121">
        <v>0.75</v>
      </c>
      <c r="V67" s="121">
        <v>0.875</v>
      </c>
      <c r="W67" s="22">
        <v>0.70833333333333337</v>
      </c>
      <c r="X67" s="22">
        <v>0.29166666666666669</v>
      </c>
      <c r="Y67" s="22">
        <v>0.95833333333333337</v>
      </c>
      <c r="Z67" s="22">
        <v>0.95833333333333337</v>
      </c>
      <c r="AA67" s="22">
        <v>0.79166666666666663</v>
      </c>
      <c r="AB67" s="22">
        <v>1</v>
      </c>
      <c r="AC67" s="22">
        <v>1</v>
      </c>
      <c r="AD67" s="22">
        <v>0.75</v>
      </c>
      <c r="AE67" s="22">
        <v>1</v>
      </c>
      <c r="AF67" s="22">
        <v>0.66666666666666663</v>
      </c>
      <c r="AG67" s="22">
        <v>1</v>
      </c>
      <c r="AH67" s="215">
        <v>0.91666666666666663</v>
      </c>
      <c r="AI67" s="22">
        <v>0.54166666666666663</v>
      </c>
      <c r="AJ67" s="22">
        <v>0.83333333333333337</v>
      </c>
      <c r="AK67" s="22">
        <v>0.70833333333333337</v>
      </c>
      <c r="AL67" s="22">
        <v>0.875</v>
      </c>
      <c r="AM67" s="22">
        <v>1</v>
      </c>
      <c r="AN67" s="22">
        <v>0.54166666666666663</v>
      </c>
      <c r="AO67" s="22">
        <v>0.75</v>
      </c>
      <c r="AP67" s="22">
        <v>0.91666666666666663</v>
      </c>
      <c r="AQ67" s="22">
        <v>0.875</v>
      </c>
    </row>
    <row r="68" spans="1:43" s="157" customFormat="1" ht="17.25" customHeight="1" x14ac:dyDescent="0.35">
      <c r="A68" s="169" t="s">
        <v>178</v>
      </c>
      <c r="B68" s="170" t="s">
        <v>13</v>
      </c>
      <c r="C68" s="170" t="s">
        <v>229</v>
      </c>
      <c r="D68" s="169" t="s">
        <v>499</v>
      </c>
      <c r="E68" s="169" t="s">
        <v>457</v>
      </c>
      <c r="F68" s="121">
        <v>0.83333333333333337</v>
      </c>
      <c r="G68" s="195">
        <f>Table436[[#This Row],[Min Daily Hours]]*24</f>
        <v>20</v>
      </c>
      <c r="H68" s="76"/>
      <c r="I68" s="121">
        <f>Table4[[#This Row],[Available Hours for Service]]</f>
        <v>44809.715277777774</v>
      </c>
      <c r="J68" s="65"/>
      <c r="K68" s="123">
        <f>Table436[[#This Row],[Min Daily Hours]]*J$199</f>
        <v>25</v>
      </c>
      <c r="L68" s="123">
        <f>SUM(Table436[[#This Row],[1]:[31]])</f>
        <v>24.875</v>
      </c>
      <c r="M68" s="121">
        <v>0.91666666666666663</v>
      </c>
      <c r="N68" s="121">
        <v>1</v>
      </c>
      <c r="O68" s="121">
        <v>1</v>
      </c>
      <c r="P68" s="121">
        <v>1</v>
      </c>
      <c r="Q68" s="121">
        <v>1</v>
      </c>
      <c r="R68" s="121">
        <v>1</v>
      </c>
      <c r="S68" s="121">
        <v>0.95833333333333337</v>
      </c>
      <c r="T68" s="121">
        <v>1</v>
      </c>
      <c r="U68" s="121">
        <v>1</v>
      </c>
      <c r="V68" s="121">
        <v>0.875</v>
      </c>
      <c r="W68" s="121">
        <v>1</v>
      </c>
      <c r="X68" s="121">
        <v>0.70833333333333337</v>
      </c>
      <c r="Y68" s="121">
        <v>0.79166666666666663</v>
      </c>
      <c r="Z68" s="121">
        <v>0.79166666666666663</v>
      </c>
      <c r="AA68" s="121">
        <v>0.58333333333333337</v>
      </c>
      <c r="AB68" s="121">
        <v>0.5</v>
      </c>
      <c r="AC68" s="121">
        <v>0.875</v>
      </c>
      <c r="AD68" s="121">
        <v>0.79166666666666663</v>
      </c>
      <c r="AE68" s="121">
        <v>0.79166666666666663</v>
      </c>
      <c r="AF68" s="121">
        <v>0.20833333333333334</v>
      </c>
      <c r="AG68" s="121">
        <v>0.66666666666666663</v>
      </c>
      <c r="AH68" s="215">
        <v>0.45833333333333331</v>
      </c>
      <c r="AI68" s="121">
        <v>0.625</v>
      </c>
      <c r="AJ68" s="121">
        <v>1</v>
      </c>
      <c r="AK68" s="121">
        <v>0.91666666666666663</v>
      </c>
      <c r="AL68" s="121">
        <v>1</v>
      </c>
      <c r="AM68" s="121">
        <v>0.79166666666666663</v>
      </c>
      <c r="AN68" s="121">
        <v>0.29166666666666669</v>
      </c>
      <c r="AO68" s="121">
        <v>1</v>
      </c>
      <c r="AP68" s="121">
        <v>0.33333333333333331</v>
      </c>
      <c r="AQ68" s="121">
        <v>1</v>
      </c>
    </row>
    <row r="69" spans="1:43" ht="17.25" customHeight="1" x14ac:dyDescent="0.35">
      <c r="A69" s="169" t="s">
        <v>175</v>
      </c>
      <c r="B69" s="170" t="s">
        <v>15</v>
      </c>
      <c r="C69" s="170" t="s">
        <v>233</v>
      </c>
      <c r="D69" s="169" t="s">
        <v>57</v>
      </c>
      <c r="E69" s="169" t="s">
        <v>460</v>
      </c>
      <c r="F69" s="121">
        <v>0.33333333333333331</v>
      </c>
      <c r="G69" s="195">
        <f>Table436[[#This Row],[Min Daily Hours]]*24</f>
        <v>8</v>
      </c>
      <c r="H69" s="76">
        <v>10.5</v>
      </c>
      <c r="I69" s="22">
        <f>Table4[[#This Row],[Available Hours for Service]]</f>
        <v>44808.665277777771</v>
      </c>
      <c r="J69" s="65">
        <v>82115</v>
      </c>
      <c r="K69" s="123">
        <f>Table436[[#This Row],[Min Daily Hours]]*J$199</f>
        <v>10</v>
      </c>
      <c r="L69" s="123">
        <f>SUM(Table436[[#This Row],[1]:[31]])</f>
        <v>10.673611111111114</v>
      </c>
      <c r="M69" s="121">
        <v>0.5</v>
      </c>
      <c r="N69" s="121">
        <v>0.33333333333333331</v>
      </c>
      <c r="O69" s="121">
        <v>0.33333333333333331</v>
      </c>
      <c r="P69" s="121">
        <v>0.41666666666666669</v>
      </c>
      <c r="Q69" s="121">
        <v>0.66666666666666663</v>
      </c>
      <c r="R69" s="121">
        <v>0.33333333333333331</v>
      </c>
      <c r="S69" s="121">
        <v>0.33333333333333331</v>
      </c>
      <c r="T69" s="121">
        <v>0.66666666666666663</v>
      </c>
      <c r="U69" s="121">
        <v>0.625</v>
      </c>
      <c r="V69" s="121">
        <v>0.54166666666666663</v>
      </c>
      <c r="W69" s="22">
        <v>0.25</v>
      </c>
      <c r="X69" s="22">
        <v>0.625</v>
      </c>
      <c r="Y69" s="22">
        <v>0.13194444444444445</v>
      </c>
      <c r="Z69" s="22">
        <v>0.375</v>
      </c>
      <c r="AA69" s="22">
        <v>0.16666666666666666</v>
      </c>
      <c r="AB69" s="22">
        <v>0.29166666666666669</v>
      </c>
      <c r="AC69" s="22">
        <v>0.45833333333333331</v>
      </c>
      <c r="AD69" s="22">
        <v>0.25</v>
      </c>
      <c r="AE69" s="22">
        <v>0.16666666666666666</v>
      </c>
      <c r="AF69" s="22">
        <v>0.375</v>
      </c>
      <c r="AG69" s="22">
        <v>0.33333333333333331</v>
      </c>
      <c r="AH69" s="215">
        <v>0.375</v>
      </c>
      <c r="AI69" s="22">
        <v>4.1666666666666664E-2</v>
      </c>
      <c r="AJ69" s="22">
        <v>0.20833333333333334</v>
      </c>
      <c r="AK69" s="22">
        <v>0.33333333333333331</v>
      </c>
      <c r="AL69" s="22">
        <v>0.25</v>
      </c>
      <c r="AM69" s="22">
        <v>0.16666666666666666</v>
      </c>
      <c r="AN69" s="22">
        <v>0.33333333333333331</v>
      </c>
      <c r="AO69" s="22">
        <v>0.20833333333333334</v>
      </c>
      <c r="AP69" s="22">
        <v>0.125</v>
      </c>
      <c r="AQ69" s="22">
        <v>0.45833333333333331</v>
      </c>
    </row>
    <row r="70" spans="1:43" s="157" customFormat="1" ht="17.25" customHeight="1" x14ac:dyDescent="0.35">
      <c r="A70" s="169" t="s">
        <v>175</v>
      </c>
      <c r="B70" s="170" t="s">
        <v>15</v>
      </c>
      <c r="C70" s="170" t="s">
        <v>233</v>
      </c>
      <c r="D70" s="169" t="s">
        <v>442</v>
      </c>
      <c r="E70" s="169" t="s">
        <v>458</v>
      </c>
      <c r="F70" s="121">
        <v>0.66666666666666663</v>
      </c>
      <c r="G70" s="195">
        <f>Table436[[#This Row],[Min Daily Hours]]*24</f>
        <v>16</v>
      </c>
      <c r="H70" s="76">
        <v>3.9</v>
      </c>
      <c r="I70" s="121">
        <f>Table4[[#This Row],[Available Hours for Service]]</f>
        <v>134425.11458333331</v>
      </c>
      <c r="J70" s="65"/>
      <c r="K70" s="123">
        <f>Table436[[#This Row],[Min Daily Hours]]*J$199</f>
        <v>20</v>
      </c>
      <c r="L70" s="123">
        <f>SUM(Table436[[#This Row],[1]:[31]])</f>
        <v>12.954166666666666</v>
      </c>
      <c r="M70" s="121">
        <v>0.5229166666666667</v>
      </c>
      <c r="N70" s="121">
        <v>0.3520833333333333</v>
      </c>
      <c r="O70" s="121">
        <v>5.9027777777777783E-2</v>
      </c>
      <c r="P70" s="121">
        <v>0.27083333333333331</v>
      </c>
      <c r="Q70" s="121">
        <v>0.66666666666666663</v>
      </c>
      <c r="R70" s="121">
        <v>0.83333333333333337</v>
      </c>
      <c r="S70" s="121">
        <v>0.375</v>
      </c>
      <c r="T70" s="121">
        <v>0.71875</v>
      </c>
      <c r="U70" s="121">
        <v>0.875</v>
      </c>
      <c r="V70" s="121">
        <v>0.15694444444444444</v>
      </c>
      <c r="W70" s="121">
        <v>0.40069444444444446</v>
      </c>
      <c r="X70" s="121">
        <v>0.84722222222222221</v>
      </c>
      <c r="Y70" s="121">
        <v>3.4722222222222224E-2</v>
      </c>
      <c r="Z70" s="121">
        <v>0.60555555555555551</v>
      </c>
      <c r="AA70" s="121">
        <v>0.58888888888888891</v>
      </c>
      <c r="AB70" s="121">
        <v>0.31736111111111115</v>
      </c>
      <c r="AC70" s="121">
        <v>0.56805555555555554</v>
      </c>
      <c r="AD70" s="121">
        <v>0.3923611111111111</v>
      </c>
      <c r="AE70" s="121">
        <v>0.4861111111111111</v>
      </c>
      <c r="AF70" s="121">
        <v>0.19513888888888889</v>
      </c>
      <c r="AG70" s="121">
        <v>0.22847222222222222</v>
      </c>
      <c r="AH70" s="215">
        <v>0.31458333333333333</v>
      </c>
      <c r="AI70" s="121">
        <v>8.3333333333333332E-3</v>
      </c>
      <c r="AJ70" s="121">
        <v>0.49305555555555558</v>
      </c>
      <c r="AK70" s="121">
        <v>0.28125</v>
      </c>
      <c r="AL70" s="121">
        <v>0.5395833333333333</v>
      </c>
      <c r="AM70" s="121">
        <v>0.74097222222222225</v>
      </c>
      <c r="AN70" s="121">
        <v>0.37152777777777773</v>
      </c>
      <c r="AO70" s="121">
        <v>0.41319444444444442</v>
      </c>
      <c r="AP70" s="121">
        <v>0.28263888888888888</v>
      </c>
      <c r="AQ70" s="121">
        <v>1.3888888888888888E-2</v>
      </c>
    </row>
    <row r="71" spans="1:43" ht="17.25" customHeight="1" x14ac:dyDescent="0.35">
      <c r="A71" s="169" t="s">
        <v>175</v>
      </c>
      <c r="B71" s="170" t="s">
        <v>15</v>
      </c>
      <c r="C71" s="170" t="s">
        <v>15</v>
      </c>
      <c r="D71" s="169" t="s">
        <v>58</v>
      </c>
      <c r="E71" s="169" t="s">
        <v>459</v>
      </c>
      <c r="F71" s="121">
        <v>0.16666666666666666</v>
      </c>
      <c r="G71" s="195">
        <f>Table436[[#This Row],[Min Daily Hours]]*24</f>
        <v>4</v>
      </c>
      <c r="H71" s="76">
        <v>5.2</v>
      </c>
      <c r="I71" s="22">
        <f>Table4[[#This Row],[Available Hours for Service]]</f>
        <v>29.622222222220444</v>
      </c>
      <c r="J71" s="65">
        <v>30300</v>
      </c>
      <c r="K71" s="123">
        <f>Table436[[#This Row],[Min Daily Hours]]*J$199</f>
        <v>5</v>
      </c>
      <c r="L71" s="123">
        <f>SUM(Table436[[#This Row],[1]:[31]])</f>
        <v>11.671527777777778</v>
      </c>
      <c r="M71" s="121">
        <v>0.25</v>
      </c>
      <c r="N71" s="121">
        <v>4.1666666666666664E-2</v>
      </c>
      <c r="O71" s="121">
        <v>0.16666666666666666</v>
      </c>
      <c r="P71" s="121">
        <v>0.20833333333333334</v>
      </c>
      <c r="Q71" s="121">
        <v>0.83333333333333337</v>
      </c>
      <c r="R71" s="121">
        <v>0.41666666666666669</v>
      </c>
      <c r="S71" s="121">
        <v>0.70833333333333337</v>
      </c>
      <c r="T71" s="121">
        <v>0.45833333333333331</v>
      </c>
      <c r="U71" s="121">
        <v>0.375</v>
      </c>
      <c r="V71" s="121">
        <v>0.5</v>
      </c>
      <c r="W71" s="22">
        <v>0.5</v>
      </c>
      <c r="X71" s="22">
        <v>0.20833333333333334</v>
      </c>
      <c r="Y71" s="22">
        <v>0.19236111111111112</v>
      </c>
      <c r="Z71" s="22">
        <v>0.66666666666666663</v>
      </c>
      <c r="AA71" s="22">
        <v>0.25</v>
      </c>
      <c r="AB71" s="22">
        <v>0.25</v>
      </c>
      <c r="AC71" s="22">
        <v>0.29166666666666669</v>
      </c>
      <c r="AD71" s="22">
        <v>0.625</v>
      </c>
      <c r="AE71" s="22">
        <v>0.375</v>
      </c>
      <c r="AF71" s="22">
        <v>0.16666666666666666</v>
      </c>
      <c r="AG71" s="22">
        <v>0.625</v>
      </c>
      <c r="AH71" s="215">
        <v>0.25</v>
      </c>
      <c r="AI71" s="22">
        <v>4.1666666666666664E-2</v>
      </c>
      <c r="AJ71" s="22">
        <v>0.41666666666666669</v>
      </c>
      <c r="AK71" s="22">
        <v>8.3333333333333329E-2</v>
      </c>
      <c r="AL71" s="22">
        <v>0.375</v>
      </c>
      <c r="AM71" s="22">
        <v>0.60416666666666663</v>
      </c>
      <c r="AN71" s="22">
        <v>0.29166666666666669</v>
      </c>
      <c r="AO71" s="22">
        <v>0.125</v>
      </c>
      <c r="AP71" s="22">
        <v>0.45833333333333331</v>
      </c>
      <c r="AQ71" s="22">
        <v>0.91666666666666663</v>
      </c>
    </row>
    <row r="72" spans="1:43" ht="17.25" customHeight="1" x14ac:dyDescent="0.35">
      <c r="A72" s="169" t="s">
        <v>175</v>
      </c>
      <c r="B72" s="170" t="s">
        <v>15</v>
      </c>
      <c r="C72" s="170" t="s">
        <v>15</v>
      </c>
      <c r="D72" s="169" t="s">
        <v>356</v>
      </c>
      <c r="E72" s="169" t="s">
        <v>457</v>
      </c>
      <c r="F72" s="121">
        <v>0.83333333333333337</v>
      </c>
      <c r="G72" s="195">
        <f>Table436[[#This Row],[Min Daily Hours]]*24</f>
        <v>20</v>
      </c>
      <c r="H72" s="76">
        <v>6</v>
      </c>
      <c r="I72" s="22">
        <f>Table4[[#This Row],[Available Hours for Service]]</f>
        <v>30</v>
      </c>
      <c r="J72" s="65">
        <v>28850</v>
      </c>
      <c r="K72" s="123">
        <f>Table436[[#This Row],[Min Daily Hours]]*J$199</f>
        <v>25</v>
      </c>
      <c r="L72" s="123">
        <f>SUM(Table436[[#This Row],[1]:[31]])</f>
        <v>26.327083333333334</v>
      </c>
      <c r="M72" s="121">
        <v>1</v>
      </c>
      <c r="N72" s="121">
        <v>1</v>
      </c>
      <c r="O72" s="121">
        <v>0.79166666666666663</v>
      </c>
      <c r="P72" s="121">
        <v>1</v>
      </c>
      <c r="Q72" s="121">
        <v>1</v>
      </c>
      <c r="R72" s="121">
        <v>0.97013888888888899</v>
      </c>
      <c r="S72" s="121">
        <v>0.83333333333333337</v>
      </c>
      <c r="T72" s="121">
        <v>0.85902777777777783</v>
      </c>
      <c r="U72" s="121">
        <v>0.625</v>
      </c>
      <c r="V72" s="121">
        <v>0.8027777777777777</v>
      </c>
      <c r="W72" s="22">
        <v>1</v>
      </c>
      <c r="X72" s="22">
        <v>0.875</v>
      </c>
      <c r="Y72" s="22">
        <v>0.70833333333333337</v>
      </c>
      <c r="Z72" s="22">
        <v>0.60277777777777775</v>
      </c>
      <c r="AA72" s="22">
        <v>0.69236111111111109</v>
      </c>
      <c r="AB72" s="22">
        <v>0.88194444444444453</v>
      </c>
      <c r="AC72" s="22">
        <v>0.60486111111111118</v>
      </c>
      <c r="AD72" s="22">
        <v>0.87708333333333333</v>
      </c>
      <c r="AE72" s="22">
        <v>0.73055555555555562</v>
      </c>
      <c r="AF72" s="22">
        <v>0.375</v>
      </c>
      <c r="AG72" s="22">
        <v>0.83333333333333337</v>
      </c>
      <c r="AH72" s="215">
        <v>0.75</v>
      </c>
      <c r="AI72" s="22">
        <v>0.54166666666666663</v>
      </c>
      <c r="AJ72" s="22">
        <v>1</v>
      </c>
      <c r="AK72" s="22">
        <v>1</v>
      </c>
      <c r="AL72" s="22">
        <v>1</v>
      </c>
      <c r="AM72" s="22">
        <v>0.97222222222222221</v>
      </c>
      <c r="AN72" s="22">
        <v>1</v>
      </c>
      <c r="AO72" s="22">
        <v>1</v>
      </c>
      <c r="AP72" s="22">
        <v>1</v>
      </c>
      <c r="AQ72" s="22">
        <v>1</v>
      </c>
    </row>
    <row r="73" spans="1:43" s="157" customFormat="1" ht="17.25" customHeight="1" x14ac:dyDescent="0.35">
      <c r="A73" s="169" t="s">
        <v>175</v>
      </c>
      <c r="B73" s="170" t="s">
        <v>15</v>
      </c>
      <c r="C73" s="170" t="s">
        <v>15</v>
      </c>
      <c r="D73" s="169" t="s">
        <v>59</v>
      </c>
      <c r="E73" s="169" t="s">
        <v>457</v>
      </c>
      <c r="F73" s="121">
        <v>0.83333333333333337</v>
      </c>
      <c r="G73" s="195">
        <f>Table436[[#This Row],[Min Daily Hours]]*24</f>
        <v>20</v>
      </c>
      <c r="H73" s="76">
        <v>10.199999999999999</v>
      </c>
      <c r="I73" s="121">
        <f>Table4[[#This Row],[Available Hours for Service]]</f>
        <v>44813.992361111108</v>
      </c>
      <c r="J73" s="65">
        <v>28900</v>
      </c>
      <c r="K73" s="123">
        <f>Table436[[#This Row],[Min Daily Hours]]*J$199</f>
        <v>25</v>
      </c>
      <c r="L73" s="123">
        <f>SUM(Table436[[#This Row],[1]:[31]])</f>
        <v>25.392361111111107</v>
      </c>
      <c r="M73" s="121">
        <v>1</v>
      </c>
      <c r="N73" s="121">
        <v>0.81666666666666676</v>
      </c>
      <c r="O73" s="121">
        <v>0.85763888888888884</v>
      </c>
      <c r="P73" s="121">
        <v>0.98611111111111116</v>
      </c>
      <c r="Q73" s="121">
        <v>1</v>
      </c>
      <c r="R73" s="121">
        <v>0.80347222222222225</v>
      </c>
      <c r="S73" s="121">
        <v>1</v>
      </c>
      <c r="T73" s="121">
        <v>0.64027777777777783</v>
      </c>
      <c r="U73" s="121">
        <v>0.875</v>
      </c>
      <c r="V73" s="121">
        <v>0.89861111111111114</v>
      </c>
      <c r="W73" s="121">
        <v>0.72222222222222221</v>
      </c>
      <c r="X73" s="121">
        <v>1</v>
      </c>
      <c r="Y73" s="121">
        <v>0.4826388888888889</v>
      </c>
      <c r="Z73" s="121">
        <v>0.5625</v>
      </c>
      <c r="AA73" s="121">
        <v>0.78125</v>
      </c>
      <c r="AB73" s="121">
        <v>0.91736111111111107</v>
      </c>
      <c r="AC73" s="121">
        <v>0.83194444444444438</v>
      </c>
      <c r="AD73" s="121">
        <v>0.90277777777777779</v>
      </c>
      <c r="AE73" s="121">
        <v>0.93402777777777779</v>
      </c>
      <c r="AF73" s="121">
        <v>0.4770833333333333</v>
      </c>
      <c r="AG73" s="121">
        <v>0.66736111111111107</v>
      </c>
      <c r="AH73" s="215">
        <v>0.65763888888888888</v>
      </c>
      <c r="AI73" s="121">
        <v>0.53263888888888888</v>
      </c>
      <c r="AJ73" s="121">
        <v>1</v>
      </c>
      <c r="AK73" s="121">
        <v>1</v>
      </c>
      <c r="AL73" s="121">
        <v>1</v>
      </c>
      <c r="AM73" s="121">
        <v>0.875</v>
      </c>
      <c r="AN73" s="121">
        <v>0.56944444444444442</v>
      </c>
      <c r="AO73" s="121">
        <v>0.61111111111111105</v>
      </c>
      <c r="AP73" s="121">
        <v>1</v>
      </c>
      <c r="AQ73" s="121">
        <v>0.98958333333333337</v>
      </c>
    </row>
    <row r="74" spans="1:43" ht="17.25" customHeight="1" x14ac:dyDescent="0.35">
      <c r="A74" s="169" t="s">
        <v>445</v>
      </c>
      <c r="B74" s="170" t="s">
        <v>373</v>
      </c>
      <c r="C74" s="170" t="s">
        <v>222</v>
      </c>
      <c r="D74" s="169" t="s">
        <v>92</v>
      </c>
      <c r="E74" s="169" t="s">
        <v>461</v>
      </c>
      <c r="F74" s="121">
        <v>0.5</v>
      </c>
      <c r="G74" s="195">
        <f>Table436[[#This Row],[Min Daily Hours]]*24</f>
        <v>12</v>
      </c>
      <c r="H74" s="76">
        <v>4</v>
      </c>
      <c r="I74" s="22">
        <f>Table4[[#This Row],[Available Hours for Service]]</f>
        <v>29.262500000004366</v>
      </c>
      <c r="J74" s="65">
        <v>14300</v>
      </c>
      <c r="K74" s="123">
        <f>Table436[[#This Row],[Min Daily Hours]]*J$199</f>
        <v>15</v>
      </c>
      <c r="L74" s="123">
        <f>SUM(Table436[[#This Row],[1]:[31]])</f>
        <v>16.098611111111115</v>
      </c>
      <c r="M74" s="121">
        <v>0.75</v>
      </c>
      <c r="N74" s="121">
        <v>0.51388888888888895</v>
      </c>
      <c r="O74" s="121">
        <v>0.30277777777777776</v>
      </c>
      <c r="P74" s="121">
        <v>0</v>
      </c>
      <c r="Q74" s="121">
        <v>0.38611111111111113</v>
      </c>
      <c r="R74" s="121">
        <v>0.29166666666666669</v>
      </c>
      <c r="S74" s="121">
        <v>0.67708333333333337</v>
      </c>
      <c r="T74" s="121">
        <v>0.31180555555555556</v>
      </c>
      <c r="U74" s="121">
        <v>0.34930555555555554</v>
      </c>
      <c r="V74" s="121">
        <v>0.93125000000000002</v>
      </c>
      <c r="W74" s="22">
        <v>0.69513888888888886</v>
      </c>
      <c r="X74" s="22">
        <v>0.83333333333333337</v>
      </c>
      <c r="Y74" s="22">
        <v>0.20833333333333334</v>
      </c>
      <c r="Z74" s="22">
        <v>0.68125000000000002</v>
      </c>
      <c r="AA74" s="22">
        <v>0.74652777777777779</v>
      </c>
      <c r="AB74" s="22">
        <v>0.76111111111111107</v>
      </c>
      <c r="AC74" s="22">
        <v>0.9</v>
      </c>
      <c r="AD74" s="22">
        <v>0.35555555555555557</v>
      </c>
      <c r="AE74" s="22">
        <v>0.5854166666666667</v>
      </c>
      <c r="AF74" s="22">
        <v>0.47430555555555554</v>
      </c>
      <c r="AG74" s="22">
        <v>0.42083333333333334</v>
      </c>
      <c r="AH74" s="215">
        <v>0.36041666666666666</v>
      </c>
      <c r="AI74" s="22">
        <v>0.42638888888888887</v>
      </c>
      <c r="AJ74" s="22">
        <v>0.7104166666666667</v>
      </c>
      <c r="AK74" s="22">
        <v>0.46875</v>
      </c>
      <c r="AL74" s="22">
        <v>0.44513888888888892</v>
      </c>
      <c r="AM74" s="22">
        <v>0.37777777777777777</v>
      </c>
      <c r="AN74" s="22">
        <v>0.55763888888888891</v>
      </c>
      <c r="AO74" s="22">
        <v>0.42638888888888887</v>
      </c>
      <c r="AP74" s="22">
        <v>0.52777777777777779</v>
      </c>
      <c r="AQ74" s="22">
        <v>0.62222222222222223</v>
      </c>
    </row>
    <row r="75" spans="1:43" ht="17.25" customHeight="1" x14ac:dyDescent="0.35">
      <c r="A75" s="169" t="s">
        <v>170</v>
      </c>
      <c r="B75" s="170" t="s">
        <v>373</v>
      </c>
      <c r="C75" s="170" t="s">
        <v>310</v>
      </c>
      <c r="D75" s="169" t="s">
        <v>93</v>
      </c>
      <c r="E75" s="169" t="s">
        <v>457</v>
      </c>
      <c r="F75" s="121">
        <v>0.83333333333333337</v>
      </c>
      <c r="G75" s="195">
        <f>Table436[[#This Row],[Min Daily Hours]]*24</f>
        <v>20</v>
      </c>
      <c r="H75" s="76">
        <v>3.3</v>
      </c>
      <c r="I75" s="22">
        <f>Table4[[#This Row],[Available Hours for Service]]</f>
        <v>29.246527777773736</v>
      </c>
      <c r="J75" s="65">
        <v>12845</v>
      </c>
      <c r="K75" s="123">
        <f>Table436[[#This Row],[Min Daily Hours]]*J$199</f>
        <v>25</v>
      </c>
      <c r="L75" s="123">
        <f>SUM(Table436[[#This Row],[1]:[31]])</f>
        <v>17.526388888888885</v>
      </c>
      <c r="M75" s="121">
        <v>0</v>
      </c>
      <c r="N75" s="121">
        <v>0.5625</v>
      </c>
      <c r="O75" s="121">
        <v>0.3444444444444445</v>
      </c>
      <c r="P75" s="121">
        <v>0.6958333333333333</v>
      </c>
      <c r="Q75" s="121">
        <v>0.38611111111111113</v>
      </c>
      <c r="R75" s="121">
        <v>0.58333333333333337</v>
      </c>
      <c r="S75" s="121">
        <v>0.72222222222222221</v>
      </c>
      <c r="T75" s="121">
        <v>0.42777777777777781</v>
      </c>
      <c r="U75" s="121">
        <v>0.34930555555555554</v>
      </c>
      <c r="V75" s="121">
        <v>0.93125000000000002</v>
      </c>
      <c r="W75" s="22">
        <v>0.69513888888888886</v>
      </c>
      <c r="X75" s="22">
        <v>0.66666666666666663</v>
      </c>
      <c r="Y75" s="22">
        <v>0.55555555555555558</v>
      </c>
      <c r="Z75" s="22">
        <v>0.89930555555555547</v>
      </c>
      <c r="AA75" s="22">
        <v>0.42222222222222222</v>
      </c>
      <c r="AB75" s="22">
        <v>0.63958333333333328</v>
      </c>
      <c r="AC75" s="22">
        <v>0.82500000000000007</v>
      </c>
      <c r="AD75" s="22">
        <v>0.4680555555555555</v>
      </c>
      <c r="AE75" s="22">
        <v>0.81805555555555554</v>
      </c>
      <c r="AF75" s="22">
        <v>0.44861111111111113</v>
      </c>
      <c r="AG75" s="22">
        <v>0.42083333333333334</v>
      </c>
      <c r="AH75" s="215">
        <v>0.66388888888888886</v>
      </c>
      <c r="AI75" s="22">
        <v>0.42638888888888887</v>
      </c>
      <c r="AJ75" s="22">
        <v>0.78194444444444444</v>
      </c>
      <c r="AK75" s="22">
        <v>0.49722222222222223</v>
      </c>
      <c r="AL75" s="22">
        <v>0.64166666666666672</v>
      </c>
      <c r="AM75" s="22">
        <v>0.49027777777777781</v>
      </c>
      <c r="AN75" s="22">
        <v>0.60486111111111118</v>
      </c>
      <c r="AO75" s="22">
        <v>0.4069444444444445</v>
      </c>
      <c r="AP75" s="22">
        <v>0.4861111111111111</v>
      </c>
      <c r="AQ75" s="22">
        <v>0.66527777777777775</v>
      </c>
    </row>
    <row r="76" spans="1:43" ht="17.25" customHeight="1" x14ac:dyDescent="0.35">
      <c r="A76" s="169" t="s">
        <v>445</v>
      </c>
      <c r="B76" s="170" t="s">
        <v>373</v>
      </c>
      <c r="C76" s="170" t="s">
        <v>222</v>
      </c>
      <c r="D76" s="169" t="s">
        <v>94</v>
      </c>
      <c r="E76" s="169" t="s">
        <v>461</v>
      </c>
      <c r="F76" s="121">
        <v>0.5</v>
      </c>
      <c r="G76" s="195">
        <f>Table436[[#This Row],[Min Daily Hours]]*24</f>
        <v>12</v>
      </c>
      <c r="H76" s="76">
        <v>4.7</v>
      </c>
      <c r="I76" s="22">
        <f>Table4[[#This Row],[Available Hours for Service]]</f>
        <v>29.055555555554747</v>
      </c>
      <c r="J76" s="65">
        <v>15600</v>
      </c>
      <c r="K76" s="123">
        <f>Table436[[#This Row],[Min Daily Hours]]*J$199</f>
        <v>15</v>
      </c>
      <c r="L76" s="123">
        <f>SUM(Table436[[#This Row],[1]:[31]])</f>
        <v>17.387499999999996</v>
      </c>
      <c r="M76" s="121">
        <v>0.79166666666666663</v>
      </c>
      <c r="N76" s="121">
        <v>0.5625</v>
      </c>
      <c r="O76" s="121">
        <v>0.3444444444444445</v>
      </c>
      <c r="P76" s="121">
        <v>0.75</v>
      </c>
      <c r="Q76" s="121">
        <v>0.34861111111111115</v>
      </c>
      <c r="R76" s="121">
        <v>0.4465277777777778</v>
      </c>
      <c r="S76" s="121">
        <v>0.74930555555555556</v>
      </c>
      <c r="T76" s="121">
        <v>0.42777777777777781</v>
      </c>
      <c r="U76" s="121">
        <v>0.2986111111111111</v>
      </c>
      <c r="V76" s="121">
        <v>0.75</v>
      </c>
      <c r="W76" s="22">
        <v>0.69513888888888886</v>
      </c>
      <c r="X76" s="22">
        <v>0.66666666666666663</v>
      </c>
      <c r="Y76" s="22">
        <v>7.9861111111111105E-2</v>
      </c>
      <c r="Z76" s="22">
        <v>0.89930555555555547</v>
      </c>
      <c r="AA76" s="22">
        <v>0.49652777777777773</v>
      </c>
      <c r="AB76" s="22">
        <v>0.42777777777777781</v>
      </c>
      <c r="AC76" s="22">
        <v>0.82847222222222217</v>
      </c>
      <c r="AD76" s="22">
        <v>0.4680555555555555</v>
      </c>
      <c r="AE76" s="22">
        <v>0.78055555555555556</v>
      </c>
      <c r="AF76" s="22">
        <v>0.50972222222222219</v>
      </c>
      <c r="AG76" s="22">
        <v>0.42083333333333334</v>
      </c>
      <c r="AH76" s="215">
        <v>0.51111111111111118</v>
      </c>
      <c r="AI76" s="22">
        <v>0.42638888888888887</v>
      </c>
      <c r="AJ76" s="22">
        <v>0.78194444444444444</v>
      </c>
      <c r="AK76" s="22">
        <v>0.4993055555555555</v>
      </c>
      <c r="AL76" s="22">
        <v>0.60625000000000007</v>
      </c>
      <c r="AM76" s="22">
        <v>0.49027777777777781</v>
      </c>
      <c r="AN76" s="22">
        <v>0.56597222222222221</v>
      </c>
      <c r="AO76" s="22">
        <v>0.47986111111111113</v>
      </c>
      <c r="AP76" s="22">
        <v>0.4513888888888889</v>
      </c>
      <c r="AQ76" s="22">
        <v>0.83263888888888893</v>
      </c>
    </row>
    <row r="77" spans="1:43" ht="17.25" customHeight="1" x14ac:dyDescent="0.35">
      <c r="A77" s="169" t="s">
        <v>445</v>
      </c>
      <c r="B77" s="170" t="s">
        <v>374</v>
      </c>
      <c r="C77" s="170" t="s">
        <v>222</v>
      </c>
      <c r="D77" s="169" t="s">
        <v>95</v>
      </c>
      <c r="E77" s="169" t="s">
        <v>461</v>
      </c>
      <c r="F77" s="121">
        <v>0.5</v>
      </c>
      <c r="G77" s="195">
        <f>Table436[[#This Row],[Min Daily Hours]]*24</f>
        <v>12</v>
      </c>
      <c r="H77" s="76">
        <v>4.3</v>
      </c>
      <c r="I77" s="22">
        <f>Table4[[#This Row],[Available Hours for Service]]</f>
        <v>29.81111111111386</v>
      </c>
      <c r="J77" s="65">
        <v>11900</v>
      </c>
      <c r="K77" s="123">
        <f>Table436[[#This Row],[Min Daily Hours]]*J$199</f>
        <v>15</v>
      </c>
      <c r="L77" s="123">
        <f>SUM(Table436[[#This Row],[1]:[31]])</f>
        <v>16.628472222222221</v>
      </c>
      <c r="M77" s="121">
        <v>0.53333333333333333</v>
      </c>
      <c r="N77" s="121">
        <v>0.54166666666666663</v>
      </c>
      <c r="O77" s="121">
        <v>0.40069444444444446</v>
      </c>
      <c r="P77" s="121">
        <v>0.29166666666666669</v>
      </c>
      <c r="Q77" s="121">
        <v>0.2298611111111111</v>
      </c>
      <c r="R77" s="121">
        <v>0.34791666666666665</v>
      </c>
      <c r="S77" s="121">
        <v>0.1173611111111111</v>
      </c>
      <c r="T77" s="121">
        <v>0.6430555555555556</v>
      </c>
      <c r="U77" s="121">
        <v>0.32500000000000001</v>
      </c>
      <c r="V77" s="121">
        <v>0.75</v>
      </c>
      <c r="W77" s="22">
        <v>0.65</v>
      </c>
      <c r="X77" s="22">
        <v>0.55972222222222223</v>
      </c>
      <c r="Y77" s="22">
        <v>0.5180555555555556</v>
      </c>
      <c r="Z77" s="22">
        <v>0.92638888888888893</v>
      </c>
      <c r="AA77" s="22">
        <v>0.65277777777777779</v>
      </c>
      <c r="AB77" s="22">
        <v>0.8618055555555556</v>
      </c>
      <c r="AC77" s="22">
        <v>0.89583333333333337</v>
      </c>
      <c r="AD77" s="22">
        <v>0.32708333333333334</v>
      </c>
      <c r="AE77" s="22">
        <v>0.60763888888888895</v>
      </c>
      <c r="AF77" s="22">
        <v>0.43194444444444446</v>
      </c>
      <c r="AG77" s="22">
        <v>0.39930555555555558</v>
      </c>
      <c r="AH77" s="215">
        <v>0.44236111111111115</v>
      </c>
      <c r="AI77" s="22">
        <v>0.44791666666666669</v>
      </c>
      <c r="AJ77" s="22">
        <v>0.69930555555555562</v>
      </c>
      <c r="AK77" s="22">
        <v>0.56736111111111109</v>
      </c>
      <c r="AL77" s="22">
        <v>0.4069444444444445</v>
      </c>
      <c r="AM77" s="22">
        <v>0.62708333333333333</v>
      </c>
      <c r="AN77" s="22">
        <v>0.86388888888888893</v>
      </c>
      <c r="AO77" s="22">
        <v>0.26250000000000001</v>
      </c>
      <c r="AP77" s="22">
        <v>0.65138888888888891</v>
      </c>
      <c r="AQ77" s="22">
        <v>0.64861111111111114</v>
      </c>
    </row>
    <row r="78" spans="1:43" ht="17.25" customHeight="1" x14ac:dyDescent="0.35">
      <c r="A78" s="169" t="s">
        <v>445</v>
      </c>
      <c r="B78" s="170" t="s">
        <v>374</v>
      </c>
      <c r="C78" s="170" t="s">
        <v>222</v>
      </c>
      <c r="D78" s="169" t="s">
        <v>469</v>
      </c>
      <c r="E78" s="169" t="s">
        <v>461</v>
      </c>
      <c r="F78" s="121">
        <v>0.5</v>
      </c>
      <c r="G78" s="195">
        <f>Table436[[#This Row],[Min Daily Hours]]*24</f>
        <v>12</v>
      </c>
      <c r="H78" s="76">
        <v>4.3</v>
      </c>
      <c r="I78" s="22">
        <f>Table4[[#This Row],[Available Hours for Service]]</f>
        <v>30</v>
      </c>
      <c r="J78" s="65">
        <v>12200</v>
      </c>
      <c r="K78" s="123">
        <f>Table436[[#This Row],[Min Daily Hours]]*J$199</f>
        <v>15</v>
      </c>
      <c r="L78" s="123">
        <f>SUM(Table436[[#This Row],[1]:[31]])</f>
        <v>13.190972222222221</v>
      </c>
      <c r="M78" s="121">
        <v>0.25</v>
      </c>
      <c r="N78" s="121">
        <v>0.47291666666666665</v>
      </c>
      <c r="O78" s="121">
        <v>0.10625</v>
      </c>
      <c r="P78" s="121">
        <v>0.35416666666666669</v>
      </c>
      <c r="Q78" s="121">
        <v>0.15</v>
      </c>
      <c r="R78" s="121">
        <v>0.45833333333333331</v>
      </c>
      <c r="S78" s="121">
        <v>0.1076388888888889</v>
      </c>
      <c r="T78" s="121">
        <v>0.40416666666666662</v>
      </c>
      <c r="U78" s="121">
        <v>0.32500000000000001</v>
      </c>
      <c r="V78" s="121">
        <v>0.5708333333333333</v>
      </c>
      <c r="W78" s="22">
        <v>0.65</v>
      </c>
      <c r="X78" s="22">
        <v>0.67499999999999993</v>
      </c>
      <c r="Y78" s="22">
        <v>0</v>
      </c>
      <c r="Z78" s="22">
        <v>0.30069444444444443</v>
      </c>
      <c r="AA78" s="22">
        <v>0.56874999999999998</v>
      </c>
      <c r="AB78" s="22">
        <v>0.76111111111111107</v>
      </c>
      <c r="AC78" s="22">
        <v>0.62361111111111112</v>
      </c>
      <c r="AD78" s="22">
        <v>0.13055555555555556</v>
      </c>
      <c r="AE78" s="22">
        <v>0.60763888888888895</v>
      </c>
      <c r="AF78" s="22">
        <v>0.43194444444444446</v>
      </c>
      <c r="AG78" s="22">
        <v>0.39930555555555558</v>
      </c>
      <c r="AH78" s="215">
        <v>0.35902777777777778</v>
      </c>
      <c r="AI78" s="22">
        <v>0.44791666666666669</v>
      </c>
      <c r="AJ78" s="22">
        <v>0.69930555555555562</v>
      </c>
      <c r="AK78" s="121">
        <v>0.71527777777777779</v>
      </c>
      <c r="AL78" s="22">
        <v>0.4069444444444445</v>
      </c>
      <c r="AM78" s="22">
        <v>0.50624999999999998</v>
      </c>
      <c r="AN78" s="22">
        <v>0.13333333333333333</v>
      </c>
      <c r="AO78" s="22">
        <v>0.34791666666666665</v>
      </c>
      <c r="AP78" s="22">
        <v>0.65138888888888891</v>
      </c>
      <c r="AQ78" s="22">
        <v>0.5756944444444444</v>
      </c>
    </row>
    <row r="79" spans="1:43" ht="17.25" customHeight="1" x14ac:dyDescent="0.35">
      <c r="A79" s="169" t="s">
        <v>445</v>
      </c>
      <c r="B79" s="170" t="s">
        <v>375</v>
      </c>
      <c r="C79" s="170" t="s">
        <v>222</v>
      </c>
      <c r="D79" s="169" t="s">
        <v>84</v>
      </c>
      <c r="E79" s="169" t="s">
        <v>460</v>
      </c>
      <c r="F79" s="121">
        <v>0.33333333333333331</v>
      </c>
      <c r="G79" s="195">
        <f>Table436[[#This Row],[Min Daily Hours]]*24</f>
        <v>8</v>
      </c>
      <c r="H79" s="76">
        <v>4.2</v>
      </c>
      <c r="I79" s="22">
        <f>Table4[[#This Row],[Available Hours for Service]]</f>
        <v>29.34236111111386</v>
      </c>
      <c r="J79" s="65">
        <v>10450</v>
      </c>
      <c r="K79" s="123">
        <f>Table436[[#This Row],[Min Daily Hours]]*J$199</f>
        <v>10</v>
      </c>
      <c r="L79" s="123">
        <f>SUM(Table436[[#This Row],[1]:[31]])</f>
        <v>5.6486111111111112</v>
      </c>
      <c r="M79" s="121">
        <v>0.11388888888888889</v>
      </c>
      <c r="N79" s="121">
        <v>5.6944444444444443E-2</v>
      </c>
      <c r="O79" s="121">
        <v>0.25694444444444448</v>
      </c>
      <c r="P79" s="121">
        <v>9.1666666666666674E-2</v>
      </c>
      <c r="Q79" s="121">
        <v>0.1076388888888889</v>
      </c>
      <c r="R79" s="121">
        <v>0.16666666666666666</v>
      </c>
      <c r="S79" s="121">
        <v>4.1666666666666664E-2</v>
      </c>
      <c r="T79" s="121">
        <v>0.14861111111111111</v>
      </c>
      <c r="U79" s="121">
        <v>0.20833333333333334</v>
      </c>
      <c r="V79" s="121">
        <v>0.25</v>
      </c>
      <c r="W79" s="22">
        <v>0.40208333333333335</v>
      </c>
      <c r="X79" s="22">
        <v>0.20833333333333334</v>
      </c>
      <c r="Y79" s="22">
        <v>0</v>
      </c>
      <c r="Z79" s="22">
        <v>9.9999999999999992E-2</v>
      </c>
      <c r="AA79" s="22">
        <v>0.11597222222222221</v>
      </c>
      <c r="AB79" s="22">
        <v>0.22361111111111109</v>
      </c>
      <c r="AC79" s="22">
        <v>0.19236111111111112</v>
      </c>
      <c r="AD79" s="22">
        <v>8.6805555555555566E-2</v>
      </c>
      <c r="AE79" s="22">
        <v>0.26250000000000001</v>
      </c>
      <c r="AF79" s="22">
        <v>0.18055555555555555</v>
      </c>
      <c r="AG79" s="22">
        <v>0.3298611111111111</v>
      </c>
      <c r="AH79" s="215">
        <v>0.15833333333333333</v>
      </c>
      <c r="AI79" s="22">
        <v>0</v>
      </c>
      <c r="AJ79" s="22">
        <v>0.26319444444444445</v>
      </c>
      <c r="AK79" s="22">
        <v>0.22777777777777777</v>
      </c>
      <c r="AL79" s="22">
        <v>0.17569444444444446</v>
      </c>
      <c r="AM79" s="22">
        <v>0.24236111111111111</v>
      </c>
      <c r="AN79" s="22">
        <v>0.12291666666666667</v>
      </c>
      <c r="AO79" s="22">
        <v>0.26041666666666669</v>
      </c>
      <c r="AP79" s="22">
        <v>0.26111111111111113</v>
      </c>
      <c r="AQ79" s="22">
        <v>0.3923611111111111</v>
      </c>
    </row>
    <row r="80" spans="1:43" ht="17.25" customHeight="1" x14ac:dyDescent="0.35">
      <c r="A80" s="169" t="s">
        <v>445</v>
      </c>
      <c r="B80" s="170" t="s">
        <v>375</v>
      </c>
      <c r="C80" s="170" t="s">
        <v>217</v>
      </c>
      <c r="D80" s="169" t="s">
        <v>86</v>
      </c>
      <c r="E80" s="169" t="s">
        <v>461</v>
      </c>
      <c r="F80" s="121">
        <v>0.5</v>
      </c>
      <c r="G80" s="195">
        <f>Table436[[#This Row],[Min Daily Hours]]*24</f>
        <v>12</v>
      </c>
      <c r="H80" s="76">
        <v>3.5</v>
      </c>
      <c r="I80" s="22">
        <f>Table4[[#This Row],[Available Hours for Service]]</f>
        <v>27.904166666667152</v>
      </c>
      <c r="J80" s="65">
        <v>6700</v>
      </c>
      <c r="K80" s="123">
        <f>Table436[[#This Row],[Min Daily Hours]]*J$199</f>
        <v>15</v>
      </c>
      <c r="L80" s="123">
        <f>SUM(Table436[[#This Row],[1]:[31]])</f>
        <v>7.2270833333333337</v>
      </c>
      <c r="M80" s="121">
        <v>0.375</v>
      </c>
      <c r="N80" s="121">
        <v>6.25E-2</v>
      </c>
      <c r="O80" s="121">
        <v>0.31111111111111112</v>
      </c>
      <c r="P80" s="121">
        <v>9.1666666666666674E-2</v>
      </c>
      <c r="Q80" s="121">
        <v>1.4583333333333332E-2</v>
      </c>
      <c r="R80" s="121">
        <v>0.125</v>
      </c>
      <c r="S80" s="121">
        <v>8.3333333333333329E-2</v>
      </c>
      <c r="T80" s="121">
        <v>9.2361111111111116E-2</v>
      </c>
      <c r="U80" s="121">
        <v>0.22708333333333333</v>
      </c>
      <c r="V80" s="121">
        <v>0.19791666666666666</v>
      </c>
      <c r="W80" s="22">
        <v>0.41666666666666669</v>
      </c>
      <c r="X80" s="22">
        <v>0.38680555555555557</v>
      </c>
      <c r="Y80" s="22">
        <v>0.16666666666666666</v>
      </c>
      <c r="Z80" s="22">
        <v>0.41319444444444442</v>
      </c>
      <c r="AA80" s="22">
        <v>0.28750000000000003</v>
      </c>
      <c r="AB80" s="22">
        <v>0.28611111111111115</v>
      </c>
      <c r="AC80" s="22">
        <v>0.32500000000000001</v>
      </c>
      <c r="AD80" s="22">
        <v>4.8611111111111112E-2</v>
      </c>
      <c r="AE80" s="22">
        <v>0.4381944444444445</v>
      </c>
      <c r="AF80" s="22">
        <v>0.16319444444444445</v>
      </c>
      <c r="AG80" s="22">
        <v>0.39305555555555555</v>
      </c>
      <c r="AH80" s="215">
        <v>0.26527777777777778</v>
      </c>
      <c r="AI80" s="22">
        <v>1.8055555555555557E-2</v>
      </c>
      <c r="AJ80" s="22">
        <v>0.30833333333333335</v>
      </c>
      <c r="AK80" s="22">
        <v>0.33402777777777781</v>
      </c>
      <c r="AL80" s="22">
        <v>7.9166666666666663E-2</v>
      </c>
      <c r="AM80" s="22">
        <v>0.13958333333333334</v>
      </c>
      <c r="AN80" s="22">
        <v>7.3611111111111113E-2</v>
      </c>
      <c r="AO80" s="22">
        <v>0.30694444444444441</v>
      </c>
      <c r="AP80" s="22">
        <v>0.30902777777777779</v>
      </c>
      <c r="AQ80" s="22">
        <v>0.48749999999999999</v>
      </c>
    </row>
    <row r="81" spans="1:43" ht="17.25" customHeight="1" x14ac:dyDescent="0.35">
      <c r="A81" s="169" t="s">
        <v>445</v>
      </c>
      <c r="B81" s="170" t="s">
        <v>376</v>
      </c>
      <c r="C81" s="170" t="s">
        <v>217</v>
      </c>
      <c r="D81" s="169" t="s">
        <v>83</v>
      </c>
      <c r="E81" s="169" t="s">
        <v>461</v>
      </c>
      <c r="F81" s="121">
        <v>0.5</v>
      </c>
      <c r="G81" s="195">
        <f>Table436[[#This Row],[Min Daily Hours]]*24</f>
        <v>12</v>
      </c>
      <c r="H81" s="76">
        <v>5.3</v>
      </c>
      <c r="I81" s="22">
        <f>Table4[[#This Row],[Available Hours for Service]]</f>
        <v>28.750694444446708</v>
      </c>
      <c r="J81" s="65">
        <v>8000</v>
      </c>
      <c r="K81" s="123">
        <f>Table436[[#This Row],[Min Daily Hours]]*J$199</f>
        <v>15</v>
      </c>
      <c r="L81" s="123">
        <f>SUM(Table436[[#This Row],[1]:[31]])</f>
        <v>6.9833333333333316</v>
      </c>
      <c r="M81" s="121">
        <v>0.22916666666666666</v>
      </c>
      <c r="N81" s="121">
        <v>6.458333333333334E-2</v>
      </c>
      <c r="O81" s="121">
        <v>0.33333333333333331</v>
      </c>
      <c r="P81" s="121">
        <v>9.1666666666666674E-2</v>
      </c>
      <c r="Q81" s="121">
        <v>0.19791666666666666</v>
      </c>
      <c r="R81" s="121">
        <v>0.17569444444444446</v>
      </c>
      <c r="S81" s="121">
        <v>6.5277777777777782E-2</v>
      </c>
      <c r="T81" s="121">
        <v>0.16666666666666666</v>
      </c>
      <c r="U81" s="121">
        <v>0.22708333333333333</v>
      </c>
      <c r="V81" s="121">
        <v>0.18124999999999999</v>
      </c>
      <c r="W81" s="22">
        <v>0.375</v>
      </c>
      <c r="X81" s="22">
        <v>0.30902777777777779</v>
      </c>
      <c r="Y81" s="22">
        <v>4.1666666666666664E-2</v>
      </c>
      <c r="Z81" s="22">
        <v>1</v>
      </c>
      <c r="AA81" s="22">
        <v>6.1111111111111116E-2</v>
      </c>
      <c r="AB81" s="22">
        <v>0.22361111111111109</v>
      </c>
      <c r="AC81" s="22">
        <v>0.28819444444444448</v>
      </c>
      <c r="AD81" s="22">
        <v>9.4444444444444442E-2</v>
      </c>
      <c r="AE81" s="22">
        <v>0.3125</v>
      </c>
      <c r="AF81" s="22">
        <v>0.20486111111111113</v>
      </c>
      <c r="AG81" s="22">
        <v>0.22569444444444445</v>
      </c>
      <c r="AH81" s="215">
        <v>0.13472222222222222</v>
      </c>
      <c r="AI81" s="121">
        <v>1.8055555555555557E-2</v>
      </c>
      <c r="AJ81" s="22">
        <v>0.29652777777777778</v>
      </c>
      <c r="AK81" s="22">
        <v>0.29583333333333334</v>
      </c>
      <c r="AL81" s="22">
        <v>8.4722222222222213E-2</v>
      </c>
      <c r="AM81" s="22">
        <v>0.29652777777777778</v>
      </c>
      <c r="AN81" s="22">
        <v>0.31180555555555556</v>
      </c>
      <c r="AO81" s="22">
        <v>0.21527777777777779</v>
      </c>
      <c r="AP81" s="22">
        <v>0.19097222222222221</v>
      </c>
      <c r="AQ81" s="22">
        <v>0.27013888888888887</v>
      </c>
    </row>
    <row r="82" spans="1:43" ht="17.25" customHeight="1" x14ac:dyDescent="0.35">
      <c r="A82" s="169" t="s">
        <v>445</v>
      </c>
      <c r="B82" s="170" t="s">
        <v>376</v>
      </c>
      <c r="C82" s="170" t="s">
        <v>217</v>
      </c>
      <c r="D82" s="169" t="s">
        <v>85</v>
      </c>
      <c r="E82" s="169" t="s">
        <v>458</v>
      </c>
      <c r="F82" s="121">
        <v>0.66666666666666663</v>
      </c>
      <c r="G82" s="195">
        <f>Table436[[#This Row],[Min Daily Hours]]*24</f>
        <v>16</v>
      </c>
      <c r="H82" s="76">
        <v>7.3</v>
      </c>
      <c r="I82" s="22">
        <f>Table4[[#This Row],[Available Hours for Service]]</f>
        <v>44808.663194444438</v>
      </c>
      <c r="J82" s="65">
        <v>18700</v>
      </c>
      <c r="K82" s="123">
        <f>Table436[[#This Row],[Min Daily Hours]]*J$199</f>
        <v>20</v>
      </c>
      <c r="L82" s="123">
        <f>SUM(Table436[[#This Row],[1]:[31]])</f>
        <v>7.0284722222222227</v>
      </c>
      <c r="M82" s="121">
        <v>0.27916666666666667</v>
      </c>
      <c r="N82" s="121">
        <v>8.3333333333333329E-2</v>
      </c>
      <c r="O82" s="121">
        <v>0.27430555555555552</v>
      </c>
      <c r="P82" s="121">
        <v>4.1666666666666664E-2</v>
      </c>
      <c r="Q82" s="121">
        <v>7.4999999999999997E-2</v>
      </c>
      <c r="R82" s="121">
        <v>0.15555555555555556</v>
      </c>
      <c r="S82" s="121">
        <v>1.8055555555555557E-2</v>
      </c>
      <c r="T82" s="121">
        <v>0.20833333333333334</v>
      </c>
      <c r="U82" s="121">
        <v>0.25763888888888892</v>
      </c>
      <c r="V82" s="121">
        <v>0.4770833333333333</v>
      </c>
      <c r="W82" s="22">
        <v>0.35347222222222219</v>
      </c>
      <c r="X82" s="22">
        <v>0.40208333333333335</v>
      </c>
      <c r="Y82" s="22">
        <v>0.125</v>
      </c>
      <c r="Z82" s="22">
        <v>0.4861111111111111</v>
      </c>
      <c r="AA82" s="22">
        <v>0.18541666666666667</v>
      </c>
      <c r="AB82" s="22">
        <v>0.2986111111111111</v>
      </c>
      <c r="AC82" s="22">
        <v>0.26180555555555557</v>
      </c>
      <c r="AD82" s="22">
        <v>8.3333333333333329E-2</v>
      </c>
      <c r="AE82" s="22">
        <v>0.37777777777777777</v>
      </c>
      <c r="AF82" s="22">
        <v>8.819444444444445E-2</v>
      </c>
      <c r="AG82" s="22">
        <v>0.30277777777777776</v>
      </c>
      <c r="AH82" s="215">
        <v>0.10416666666666667</v>
      </c>
      <c r="AI82" s="22">
        <v>0</v>
      </c>
      <c r="AJ82" s="22">
        <v>0.35833333333333334</v>
      </c>
      <c r="AK82" s="22">
        <v>0.24027777777777778</v>
      </c>
      <c r="AL82" s="22">
        <v>0.3125</v>
      </c>
      <c r="AM82" s="22">
        <v>7.2222222222222229E-2</v>
      </c>
      <c r="AN82" s="22">
        <v>7.3611111111111113E-2</v>
      </c>
      <c r="AO82" s="22">
        <v>0.40972222222222227</v>
      </c>
      <c r="AP82" s="22">
        <v>0.29652777777777778</v>
      </c>
      <c r="AQ82" s="22">
        <v>0.3263888888888889</v>
      </c>
    </row>
    <row r="83" spans="1:43" ht="17.25" customHeight="1" x14ac:dyDescent="0.35">
      <c r="A83" s="169" t="s">
        <v>445</v>
      </c>
      <c r="B83" s="170" t="s">
        <v>377</v>
      </c>
      <c r="C83" s="170" t="s">
        <v>222</v>
      </c>
      <c r="D83" s="169" t="s">
        <v>146</v>
      </c>
      <c r="E83" s="169" t="s">
        <v>457</v>
      </c>
      <c r="F83" s="121">
        <v>0.83333333333333337</v>
      </c>
      <c r="G83" s="195">
        <f>Table436[[#This Row],[Min Daily Hours]]*24</f>
        <v>20</v>
      </c>
      <c r="H83" s="76">
        <v>0.1</v>
      </c>
      <c r="I83" s="22">
        <f>Table4[[#This Row],[Available Hours for Service]]</f>
        <v>29.820833333331393</v>
      </c>
      <c r="J83" s="65">
        <v>700</v>
      </c>
      <c r="K83" s="123">
        <f>Table436[[#This Row],[Min Daily Hours]]*J$199</f>
        <v>25</v>
      </c>
      <c r="L83" s="123">
        <f>SUM(Table436[[#This Row],[1]:[31]])</f>
        <v>15.056249999999999</v>
      </c>
      <c r="M83" s="121">
        <v>0.56458333333333333</v>
      </c>
      <c r="N83" s="121">
        <v>0.375</v>
      </c>
      <c r="O83" s="121">
        <v>0.85486111111111107</v>
      </c>
      <c r="P83" s="121">
        <v>0.39513888888888887</v>
      </c>
      <c r="Q83" s="121">
        <v>0.54166666666666663</v>
      </c>
      <c r="R83" s="121">
        <v>0.5131944444444444</v>
      </c>
      <c r="S83" s="121">
        <v>6.5277777777777782E-2</v>
      </c>
      <c r="T83" s="121">
        <v>0.30208333333333331</v>
      </c>
      <c r="U83" s="121">
        <v>0.31111111111111112</v>
      </c>
      <c r="V83" s="121">
        <v>0.38541666666666669</v>
      </c>
      <c r="W83" s="22">
        <v>0.75</v>
      </c>
      <c r="X83" s="22">
        <v>0.63958333333333328</v>
      </c>
      <c r="Y83" s="22">
        <v>9.6527777777777768E-2</v>
      </c>
      <c r="Z83" s="22">
        <v>0.33819444444444446</v>
      </c>
      <c r="AA83" s="22">
        <v>0.21875</v>
      </c>
      <c r="AB83" s="22">
        <v>0.4694444444444445</v>
      </c>
      <c r="AC83" s="22">
        <v>0.3611111111111111</v>
      </c>
      <c r="AD83" s="22">
        <v>0.3354166666666667</v>
      </c>
      <c r="AE83" s="22">
        <v>0.66180555555555554</v>
      </c>
      <c r="AF83" s="22">
        <v>0.22569444444444445</v>
      </c>
      <c r="AG83" s="22">
        <v>0.84097222222222223</v>
      </c>
      <c r="AH83" s="215">
        <v>0.73749999999999993</v>
      </c>
      <c r="AI83" s="22">
        <v>0.35138888888888892</v>
      </c>
      <c r="AJ83" s="22">
        <v>0.71388888888888891</v>
      </c>
      <c r="AK83" s="22">
        <v>0.4465277777777778</v>
      </c>
      <c r="AL83" s="22">
        <v>0.8027777777777777</v>
      </c>
      <c r="AM83" s="22">
        <v>0.12638888888888888</v>
      </c>
      <c r="AN83" s="22">
        <v>0.66041666666666665</v>
      </c>
      <c r="AO83" s="22">
        <v>0.48333333333333334</v>
      </c>
      <c r="AP83" s="22">
        <v>0.48888888888888887</v>
      </c>
      <c r="AQ83" s="22">
        <v>0.99930555555555556</v>
      </c>
    </row>
    <row r="84" spans="1:43" ht="17.25" customHeight="1" x14ac:dyDescent="0.35">
      <c r="A84" s="169" t="s">
        <v>445</v>
      </c>
      <c r="B84" s="170" t="s">
        <v>378</v>
      </c>
      <c r="C84" s="170" t="s">
        <v>222</v>
      </c>
      <c r="D84" s="169" t="s">
        <v>145</v>
      </c>
      <c r="E84" s="169" t="s">
        <v>460</v>
      </c>
      <c r="F84" s="121">
        <v>0.33333333333333331</v>
      </c>
      <c r="G84" s="195">
        <f>Table436[[#This Row],[Min Daily Hours]]*24</f>
        <v>8</v>
      </c>
      <c r="H84" s="76">
        <v>1.2</v>
      </c>
      <c r="I84" s="22">
        <f>Table4[[#This Row],[Available Hours for Service]]</f>
        <v>28.9375</v>
      </c>
      <c r="J84" s="65">
        <v>4100</v>
      </c>
      <c r="K84" s="123">
        <f>Table436[[#This Row],[Min Daily Hours]]*J$199</f>
        <v>10</v>
      </c>
      <c r="L84" s="123">
        <f>SUM(Table436[[#This Row],[1]:[31]])</f>
        <v>12.565277777777776</v>
      </c>
      <c r="M84" s="121">
        <v>0.4284722222222222</v>
      </c>
      <c r="N84" s="121">
        <v>0.375</v>
      </c>
      <c r="O84" s="121">
        <v>0.64652777777777781</v>
      </c>
      <c r="P84" s="121">
        <v>0.39097222222222222</v>
      </c>
      <c r="Q84" s="121">
        <v>0.18055555555555555</v>
      </c>
      <c r="R84" s="121">
        <v>0.16666666666666666</v>
      </c>
      <c r="S84" s="121">
        <v>0.15902777777777777</v>
      </c>
      <c r="T84" s="121">
        <v>0.29166666666666669</v>
      </c>
      <c r="U84" s="121">
        <v>0.30833333333333335</v>
      </c>
      <c r="V84" s="121">
        <v>0.375</v>
      </c>
      <c r="W84" s="22">
        <v>0.44930555555555557</v>
      </c>
      <c r="X84" s="22">
        <v>0.63888888888888895</v>
      </c>
      <c r="Y84" s="22">
        <v>9.4444444444444442E-2</v>
      </c>
      <c r="Z84" s="22">
        <v>0.33402777777777781</v>
      </c>
      <c r="AA84" s="22">
        <v>0.20277777777777781</v>
      </c>
      <c r="AB84" s="22">
        <v>0.46388888888888885</v>
      </c>
      <c r="AC84" s="22">
        <v>0.61875000000000002</v>
      </c>
      <c r="AD84" s="22">
        <v>0.18958333333333333</v>
      </c>
      <c r="AE84" s="22">
        <v>0.65138888888888891</v>
      </c>
      <c r="AF84" s="22">
        <v>0.22291666666666665</v>
      </c>
      <c r="AG84" s="22">
        <v>0.20694444444444446</v>
      </c>
      <c r="AH84" s="215">
        <v>0.63263888888888886</v>
      </c>
      <c r="AI84" s="22">
        <v>0.34375</v>
      </c>
      <c r="AJ84" s="22">
        <v>0.70416666666666661</v>
      </c>
      <c r="AK84" s="22">
        <v>0.44236111111111115</v>
      </c>
      <c r="AL84" s="22">
        <v>0.23680555555555557</v>
      </c>
      <c r="AM84" s="22">
        <v>0.11527777777777777</v>
      </c>
      <c r="AN84" s="22">
        <v>0.65972222222222221</v>
      </c>
      <c r="AO84" s="22">
        <v>0.48333333333333334</v>
      </c>
      <c r="AP84" s="22">
        <v>0.56944444444444442</v>
      </c>
      <c r="AQ84" s="220">
        <v>0.98263888888888884</v>
      </c>
    </row>
    <row r="85" spans="1:43" ht="17.25" customHeight="1" x14ac:dyDescent="0.35">
      <c r="A85" s="169" t="s">
        <v>445</v>
      </c>
      <c r="B85" s="170" t="s">
        <v>379</v>
      </c>
      <c r="C85" s="170" t="s">
        <v>217</v>
      </c>
      <c r="D85" s="169" t="s">
        <v>98</v>
      </c>
      <c r="E85" s="169" t="s">
        <v>461</v>
      </c>
      <c r="F85" s="121">
        <v>0.5</v>
      </c>
      <c r="G85" s="195">
        <f>Table436[[#This Row],[Min Daily Hours]]*24</f>
        <v>12</v>
      </c>
      <c r="H85" s="76">
        <v>5.8</v>
      </c>
      <c r="I85" s="22">
        <f>Table4[[#This Row],[Available Hours for Service]]</f>
        <v>44812.863888888882</v>
      </c>
      <c r="J85" s="65">
        <v>19300</v>
      </c>
      <c r="K85" s="123">
        <f>Table436[[#This Row],[Min Daily Hours]]*J$199</f>
        <v>15</v>
      </c>
      <c r="L85" s="123">
        <f>SUM(Table436[[#This Row],[1]:[31]])</f>
        <v>6.0583333333333327</v>
      </c>
      <c r="M85" s="121">
        <v>0.14027777777777778</v>
      </c>
      <c r="N85" s="121">
        <v>0.125</v>
      </c>
      <c r="O85" s="121">
        <v>0.25</v>
      </c>
      <c r="P85" s="121">
        <v>0.25</v>
      </c>
      <c r="Q85" s="121">
        <v>5.4166666666666669E-2</v>
      </c>
      <c r="R85" s="121">
        <v>0.33333333333333331</v>
      </c>
      <c r="S85" s="121">
        <v>2.7777777777777776E-2</v>
      </c>
      <c r="T85" s="121">
        <v>9.7222222222222224E-3</v>
      </c>
      <c r="U85" s="121">
        <v>0</v>
      </c>
      <c r="V85" s="121">
        <v>8.3333333333333329E-2</v>
      </c>
      <c r="W85" s="22">
        <v>0.36388888888888887</v>
      </c>
      <c r="X85" s="22">
        <v>0.2722222222222222</v>
      </c>
      <c r="Y85" s="22">
        <v>0</v>
      </c>
      <c r="Z85" s="22">
        <v>1.4583333333333332E-2</v>
      </c>
      <c r="AA85" s="22">
        <v>0</v>
      </c>
      <c r="AB85" s="22">
        <v>7.9861111111111105E-2</v>
      </c>
      <c r="AC85" s="22">
        <v>0.34027777777777773</v>
      </c>
      <c r="AD85" s="22">
        <v>0.28472222222222221</v>
      </c>
      <c r="AE85" s="22">
        <v>0.24166666666666667</v>
      </c>
      <c r="AF85" s="22">
        <v>7.2916666666666671E-2</v>
      </c>
      <c r="AG85" s="22">
        <v>0.60347222222222219</v>
      </c>
      <c r="AH85" s="215">
        <v>0.2638888888888889</v>
      </c>
      <c r="AI85" s="22">
        <v>0.31388888888888888</v>
      </c>
      <c r="AJ85" s="22">
        <v>0.42083333333333334</v>
      </c>
      <c r="AK85" s="22">
        <v>0.25347222222222221</v>
      </c>
      <c r="AL85" s="22">
        <v>0.42777777777777781</v>
      </c>
      <c r="AM85" s="22">
        <v>0.10833333333333334</v>
      </c>
      <c r="AN85" s="22">
        <v>0.1423611111111111</v>
      </c>
      <c r="AO85" s="22">
        <v>0.13472222222222222</v>
      </c>
      <c r="AP85" s="22">
        <v>0.21666666666666667</v>
      </c>
      <c r="AQ85" s="22">
        <v>0.22916666666666666</v>
      </c>
    </row>
    <row r="86" spans="1:43" ht="17.25" customHeight="1" x14ac:dyDescent="0.35">
      <c r="A86" s="169" t="s">
        <v>171</v>
      </c>
      <c r="B86" s="170" t="s">
        <v>379</v>
      </c>
      <c r="C86" s="170" t="s">
        <v>221</v>
      </c>
      <c r="D86" s="169" t="s">
        <v>481</v>
      </c>
      <c r="E86" s="169" t="s">
        <v>458</v>
      </c>
      <c r="F86" s="121">
        <v>0.66666666666666663</v>
      </c>
      <c r="G86" s="195">
        <f>Table436[[#This Row],[Min Daily Hours]]*24</f>
        <v>16</v>
      </c>
      <c r="H86" s="76">
        <v>2</v>
      </c>
      <c r="I86" s="22">
        <f>Table4[[#This Row],[Available Hours for Service]]</f>
        <v>30</v>
      </c>
      <c r="J86" s="65">
        <v>12550</v>
      </c>
      <c r="K86" s="123">
        <f>Table436[[#This Row],[Min Daily Hours]]*J$199</f>
        <v>20</v>
      </c>
      <c r="L86" s="123">
        <f>SUM(Table436[[#This Row],[1]:[31]])</f>
        <v>8.9576388888888889</v>
      </c>
      <c r="M86" s="121">
        <v>0.16666666666666666</v>
      </c>
      <c r="N86" s="121">
        <v>0</v>
      </c>
      <c r="O86" s="121">
        <v>0.375</v>
      </c>
      <c r="P86" s="121">
        <v>0.375</v>
      </c>
      <c r="Q86" s="121">
        <v>0.39930555555555558</v>
      </c>
      <c r="R86" s="121">
        <v>0.33333333333333331</v>
      </c>
      <c r="S86" s="121">
        <v>4.1666666666666664E-2</v>
      </c>
      <c r="T86" s="121">
        <v>0.26874999999999999</v>
      </c>
      <c r="U86" s="121">
        <v>0.14375000000000002</v>
      </c>
      <c r="V86" s="121">
        <v>0.26111111111111113</v>
      </c>
      <c r="W86" s="22">
        <v>0.5</v>
      </c>
      <c r="X86" s="22">
        <v>0.48194444444444445</v>
      </c>
      <c r="Y86" s="22">
        <v>0</v>
      </c>
      <c r="Z86" s="22">
        <v>0.20138888888888887</v>
      </c>
      <c r="AA86" s="22">
        <v>9.5833333333333326E-2</v>
      </c>
      <c r="AB86" s="22">
        <v>0.16180555555555556</v>
      </c>
      <c r="AC86" s="22">
        <v>0.47847222222222219</v>
      </c>
      <c r="AD86" s="22">
        <v>0.28472222222222221</v>
      </c>
      <c r="AE86" s="22">
        <v>0.40277777777777773</v>
      </c>
      <c r="AF86" s="22">
        <v>0.21180555555555555</v>
      </c>
      <c r="AG86" s="22">
        <v>0.68819444444444444</v>
      </c>
      <c r="AH86" s="215">
        <v>0.20416666666666669</v>
      </c>
      <c r="AI86" s="121">
        <v>0.3430555555555555</v>
      </c>
      <c r="AJ86" s="22">
        <v>0.46458333333333335</v>
      </c>
      <c r="AK86" s="22">
        <v>0.45277777777777778</v>
      </c>
      <c r="AL86" s="22">
        <v>0.47847222222222219</v>
      </c>
      <c r="AM86" s="22">
        <v>9.7916666666666666E-2</v>
      </c>
      <c r="AN86" s="22">
        <v>0.21527777777777779</v>
      </c>
      <c r="AO86" s="22">
        <v>0.1076388888888889</v>
      </c>
      <c r="AP86" s="22">
        <v>0.34027777777777773</v>
      </c>
      <c r="AQ86" s="22">
        <v>0.38194444444444442</v>
      </c>
    </row>
    <row r="87" spans="1:43" ht="17.25" customHeight="1" x14ac:dyDescent="0.35">
      <c r="A87" s="169" t="s">
        <v>445</v>
      </c>
      <c r="B87" s="170" t="s">
        <v>380</v>
      </c>
      <c r="C87" s="170" t="s">
        <v>223</v>
      </c>
      <c r="D87" s="169" t="s">
        <v>361</v>
      </c>
      <c r="E87" s="169" t="s">
        <v>461</v>
      </c>
      <c r="F87" s="121">
        <v>0.5</v>
      </c>
      <c r="G87" s="195">
        <f>Table436[[#This Row],[Min Daily Hours]]*24</f>
        <v>12</v>
      </c>
      <c r="H87" s="76">
        <v>4.7</v>
      </c>
      <c r="I87" s="22">
        <f>Table4[[#This Row],[Available Hours for Service]]</f>
        <v>29.375000000014552</v>
      </c>
      <c r="J87" s="65">
        <v>15800</v>
      </c>
      <c r="K87" s="123">
        <f>Table436[[#This Row],[Min Daily Hours]]*J$199</f>
        <v>15</v>
      </c>
      <c r="L87" s="123">
        <f>SUM(Table436[[#This Row],[1]:[31]])</f>
        <v>6.6409722222222225</v>
      </c>
      <c r="M87" s="121">
        <v>0.14027777777777778</v>
      </c>
      <c r="N87" s="121">
        <v>0</v>
      </c>
      <c r="O87" s="121">
        <v>7.013888888888889E-2</v>
      </c>
      <c r="P87" s="121">
        <v>7.013888888888889E-2</v>
      </c>
      <c r="Q87" s="121">
        <v>0.13333333333333333</v>
      </c>
      <c r="R87" s="121">
        <v>0.33333333333333331</v>
      </c>
      <c r="S87" s="121">
        <v>2.4305555555555556E-2</v>
      </c>
      <c r="T87" s="121">
        <v>4.1666666666666664E-2</v>
      </c>
      <c r="U87" s="121">
        <v>0</v>
      </c>
      <c r="V87" s="121">
        <v>4.1666666666666666E-3</v>
      </c>
      <c r="W87" s="22">
        <v>0.54166666666666663</v>
      </c>
      <c r="X87" s="22">
        <v>0.48541666666666666</v>
      </c>
      <c r="Y87" s="22">
        <v>0</v>
      </c>
      <c r="Z87" s="22">
        <v>0.20972222222222223</v>
      </c>
      <c r="AA87" s="22">
        <v>0.10208333333333335</v>
      </c>
      <c r="AB87" s="22">
        <v>0.30138888888888887</v>
      </c>
      <c r="AC87" s="22">
        <v>0.4375</v>
      </c>
      <c r="AD87" s="22">
        <v>0.28472222222222221</v>
      </c>
      <c r="AE87" s="22">
        <v>0.3520833333333333</v>
      </c>
      <c r="AF87" s="22">
        <v>0.20833333333333334</v>
      </c>
      <c r="AG87" s="22">
        <v>0.30138888888888887</v>
      </c>
      <c r="AH87" s="215">
        <v>0.16319444444444445</v>
      </c>
      <c r="AI87" s="121">
        <v>0.33680555555555558</v>
      </c>
      <c r="AJ87" s="22">
        <v>0.42708333333333331</v>
      </c>
      <c r="AK87" s="22">
        <v>0.38541666666666669</v>
      </c>
      <c r="AL87" s="22">
        <v>0.4694444444444445</v>
      </c>
      <c r="AM87" s="22">
        <v>2.4999999999999998E-2</v>
      </c>
      <c r="AN87" s="22">
        <v>3.472222222222222E-3</v>
      </c>
      <c r="AO87" s="22">
        <v>0.21388888888888891</v>
      </c>
      <c r="AP87" s="22">
        <v>0.26597222222222222</v>
      </c>
      <c r="AQ87" s="22">
        <v>0.30902777777777779</v>
      </c>
    </row>
    <row r="88" spans="1:43" ht="17.25" customHeight="1" x14ac:dyDescent="0.35">
      <c r="A88" s="169" t="s">
        <v>445</v>
      </c>
      <c r="B88" s="170" t="s">
        <v>380</v>
      </c>
      <c r="C88" s="170" t="s">
        <v>223</v>
      </c>
      <c r="D88" s="169" t="s">
        <v>97</v>
      </c>
      <c r="E88" s="169" t="s">
        <v>461</v>
      </c>
      <c r="F88" s="121">
        <v>0.5</v>
      </c>
      <c r="G88" s="195">
        <f>Table436[[#This Row],[Min Daily Hours]]*24</f>
        <v>12</v>
      </c>
      <c r="H88" s="76">
        <v>4</v>
      </c>
      <c r="I88" s="22">
        <f>Table4[[#This Row],[Available Hours for Service]]</f>
        <v>29.031250000021828</v>
      </c>
      <c r="J88" s="65">
        <v>13950</v>
      </c>
      <c r="K88" s="123">
        <f>Table436[[#This Row],[Min Daily Hours]]*J$199</f>
        <v>15</v>
      </c>
      <c r="L88" s="123">
        <f>SUM(Table436[[#This Row],[1]:[31]])</f>
        <v>7.3638888888888898</v>
      </c>
      <c r="M88" s="121">
        <v>0.10902777777777778</v>
      </c>
      <c r="N88" s="121">
        <v>0</v>
      </c>
      <c r="O88" s="121">
        <v>0.375</v>
      </c>
      <c r="P88" s="121">
        <v>0.375</v>
      </c>
      <c r="Q88" s="121">
        <v>0.11319444444444444</v>
      </c>
      <c r="R88" s="121">
        <v>0.24097222222222223</v>
      </c>
      <c r="S88" s="121">
        <v>6.5972222222222224E-2</v>
      </c>
      <c r="T88" s="121">
        <v>0.125</v>
      </c>
      <c r="U88" s="121">
        <v>0</v>
      </c>
      <c r="V88" s="121">
        <v>0.20833333333333334</v>
      </c>
      <c r="W88" s="22">
        <v>0.51388888888888895</v>
      </c>
      <c r="X88" s="22">
        <v>0.48125000000000001</v>
      </c>
      <c r="Y88" s="22">
        <v>0</v>
      </c>
      <c r="Z88" s="22">
        <v>0.1013888888888889</v>
      </c>
      <c r="AA88" s="22">
        <v>0</v>
      </c>
      <c r="AB88" s="22">
        <v>0.30138888888888887</v>
      </c>
      <c r="AC88" s="22">
        <v>0.3215277777777778</v>
      </c>
      <c r="AD88" s="22">
        <v>0.17500000000000002</v>
      </c>
      <c r="AE88" s="22">
        <v>0.4375</v>
      </c>
      <c r="AF88" s="22">
        <v>0.21527777777777779</v>
      </c>
      <c r="AG88" s="22">
        <v>0.65069444444444446</v>
      </c>
      <c r="AH88" s="215">
        <v>0.1875</v>
      </c>
      <c r="AI88" s="121">
        <v>6.9444444444444441E-3</v>
      </c>
      <c r="AJ88" s="22">
        <v>0.47013888888888888</v>
      </c>
      <c r="AK88" s="22">
        <v>0.38194444444444442</v>
      </c>
      <c r="AL88" s="22">
        <v>0.38680555555555557</v>
      </c>
      <c r="AM88" s="22">
        <v>4.9305555555555554E-2</v>
      </c>
      <c r="AN88" s="22">
        <v>0.22916666666666666</v>
      </c>
      <c r="AO88" s="22">
        <v>0.19444444444444445</v>
      </c>
      <c r="AP88" s="22">
        <v>0.25138888888888888</v>
      </c>
      <c r="AQ88" s="22">
        <v>0.39583333333333331</v>
      </c>
    </row>
    <row r="89" spans="1:43" ht="17.25" customHeight="1" x14ac:dyDescent="0.35">
      <c r="A89" s="169" t="s">
        <v>171</v>
      </c>
      <c r="B89" s="170" t="s">
        <v>380</v>
      </c>
      <c r="C89" s="170" t="s">
        <v>221</v>
      </c>
      <c r="D89" s="169" t="s">
        <v>96</v>
      </c>
      <c r="E89" s="169" t="s">
        <v>460</v>
      </c>
      <c r="F89" s="121">
        <v>0.33333333333333331</v>
      </c>
      <c r="G89" s="195">
        <f>Table436[[#This Row],[Min Daily Hours]]*24</f>
        <v>8</v>
      </c>
      <c r="H89" s="76">
        <v>5.3</v>
      </c>
      <c r="I89" s="22">
        <f>Table4[[#This Row],[Available Hours for Service]]</f>
        <v>26.101388888884685</v>
      </c>
      <c r="J89" s="65">
        <v>25450</v>
      </c>
      <c r="K89" s="123">
        <f>Table436[[#This Row],[Min Daily Hours]]*J$199</f>
        <v>10</v>
      </c>
      <c r="L89" s="123">
        <f>SUM(Table436[[#This Row],[1]:[31]])</f>
        <v>6.0291666666666677</v>
      </c>
      <c r="M89" s="121">
        <v>0.125</v>
      </c>
      <c r="N89" s="121">
        <v>0</v>
      </c>
      <c r="O89" s="121">
        <v>0.375</v>
      </c>
      <c r="P89" s="121">
        <v>0.375</v>
      </c>
      <c r="Q89" s="121">
        <v>9.7222222222222224E-3</v>
      </c>
      <c r="R89" s="121">
        <v>0.33333333333333331</v>
      </c>
      <c r="S89" s="121">
        <v>2.4305555555555556E-2</v>
      </c>
      <c r="T89" s="121">
        <v>2.0833333333333333E-3</v>
      </c>
      <c r="U89" s="121">
        <v>0.22430555555555556</v>
      </c>
      <c r="V89" s="121">
        <v>0.26111111111111113</v>
      </c>
      <c r="W89" s="22">
        <v>0.26041666666666669</v>
      </c>
      <c r="X89" s="22">
        <v>0.125</v>
      </c>
      <c r="Y89" s="22">
        <v>0</v>
      </c>
      <c r="Z89" s="22">
        <v>0</v>
      </c>
      <c r="AA89" s="22">
        <v>0</v>
      </c>
      <c r="AB89" s="22">
        <v>5.4166666666666669E-2</v>
      </c>
      <c r="AC89" s="22">
        <v>0.63263888888888886</v>
      </c>
      <c r="AD89" s="22">
        <v>0.28263888888888888</v>
      </c>
      <c r="AE89" s="22">
        <v>0.33194444444444443</v>
      </c>
      <c r="AF89" s="22">
        <v>0.22569444444444445</v>
      </c>
      <c r="AG89" s="22">
        <v>0.60902777777777783</v>
      </c>
      <c r="AH89" s="215">
        <v>0.15138888888888888</v>
      </c>
      <c r="AI89" s="121">
        <v>0</v>
      </c>
      <c r="AJ89" s="22">
        <v>4.5833333333333337E-2</v>
      </c>
      <c r="AK89" s="22">
        <v>2.7083333333333334E-2</v>
      </c>
      <c r="AL89" s="22">
        <v>0.65416666666666667</v>
      </c>
      <c r="AM89" s="22">
        <v>0.10833333333333334</v>
      </c>
      <c r="AN89" s="22">
        <v>0.19583333333333333</v>
      </c>
      <c r="AO89" s="22">
        <v>6.1805555555555558E-2</v>
      </c>
      <c r="AP89" s="22">
        <v>7.7777777777777779E-2</v>
      </c>
      <c r="AQ89" s="22">
        <v>0.45555555555555555</v>
      </c>
    </row>
    <row r="90" spans="1:43" ht="17.25" customHeight="1" x14ac:dyDescent="0.35">
      <c r="A90" s="169" t="s">
        <v>445</v>
      </c>
      <c r="B90" s="170" t="s">
        <v>381</v>
      </c>
      <c r="C90" s="170" t="s">
        <v>223</v>
      </c>
      <c r="D90" s="169" t="s">
        <v>79</v>
      </c>
      <c r="E90" s="169" t="s">
        <v>461</v>
      </c>
      <c r="F90" s="121">
        <v>0.5</v>
      </c>
      <c r="G90" s="195">
        <f>Table436[[#This Row],[Min Daily Hours]]*24</f>
        <v>12</v>
      </c>
      <c r="H90" s="76">
        <v>3</v>
      </c>
      <c r="I90" s="22">
        <f>Table4[[#This Row],[Available Hours for Service]]</f>
        <v>29.927083333335759</v>
      </c>
      <c r="J90" s="65">
        <v>15700</v>
      </c>
      <c r="K90" s="123">
        <f>Table436[[#This Row],[Min Daily Hours]]*J$199</f>
        <v>15</v>
      </c>
      <c r="L90" s="123">
        <f>SUM(Table436[[#This Row],[1]:[31]])</f>
        <v>12.68333333333333</v>
      </c>
      <c r="M90" s="121">
        <v>0.4826388888888889</v>
      </c>
      <c r="N90" s="121">
        <v>0.15277777777777776</v>
      </c>
      <c r="O90" s="121">
        <v>0.25</v>
      </c>
      <c r="P90" s="121">
        <v>0.45833333333333331</v>
      </c>
      <c r="Q90" s="121">
        <v>0.30277777777777776</v>
      </c>
      <c r="R90" s="121">
        <v>0.19722222222222222</v>
      </c>
      <c r="S90" s="121">
        <v>0.44027777777777777</v>
      </c>
      <c r="T90" s="121">
        <v>0.59861111111111109</v>
      </c>
      <c r="U90" s="121">
        <v>0.39930555555555558</v>
      </c>
      <c r="V90" s="121">
        <v>0.47916666666666669</v>
      </c>
      <c r="W90" s="22">
        <v>0.44027777777777777</v>
      </c>
      <c r="X90" s="22">
        <v>0.41666666666666669</v>
      </c>
      <c r="Y90" s="22">
        <v>0.20833333333333334</v>
      </c>
      <c r="Z90" s="22">
        <v>0.37013888888888885</v>
      </c>
      <c r="AA90" s="22">
        <v>0.56041666666666667</v>
      </c>
      <c r="AB90" s="22">
        <v>0.68958333333333333</v>
      </c>
      <c r="AC90" s="22">
        <v>0.72222222222222221</v>
      </c>
      <c r="AD90" s="22">
        <v>0.36805555555555558</v>
      </c>
      <c r="AE90" s="22">
        <v>0.45069444444444445</v>
      </c>
      <c r="AF90" s="22">
        <v>0.52152777777777781</v>
      </c>
      <c r="AG90" s="22">
        <v>0.26041666666666669</v>
      </c>
      <c r="AH90" s="215">
        <v>0.375</v>
      </c>
      <c r="AI90" s="22">
        <v>0.38750000000000001</v>
      </c>
      <c r="AJ90" s="22">
        <v>0.65763888888888888</v>
      </c>
      <c r="AK90" s="22">
        <v>0.46180555555555558</v>
      </c>
      <c r="AL90" s="22">
        <v>0.29166666666666669</v>
      </c>
      <c r="AM90" s="22">
        <v>0.25</v>
      </c>
      <c r="AN90" s="22">
        <v>0.21180555555555555</v>
      </c>
      <c r="AO90" s="22">
        <v>0.3354166666666667</v>
      </c>
      <c r="AP90" s="22">
        <v>8.5416666666666655E-2</v>
      </c>
      <c r="AQ90" s="22">
        <v>0.85763888888888884</v>
      </c>
    </row>
    <row r="91" spans="1:43" ht="17.25" customHeight="1" x14ac:dyDescent="0.35">
      <c r="A91" s="169" t="s">
        <v>445</v>
      </c>
      <c r="B91" s="170" t="s">
        <v>382</v>
      </c>
      <c r="C91" s="170" t="s">
        <v>223</v>
      </c>
      <c r="D91" s="169" t="s">
        <v>80</v>
      </c>
      <c r="E91" s="169" t="s">
        <v>460</v>
      </c>
      <c r="F91" s="121">
        <v>0.33333333333333331</v>
      </c>
      <c r="G91" s="195">
        <f>Table436[[#This Row],[Min Daily Hours]]*24</f>
        <v>8</v>
      </c>
      <c r="H91" s="76">
        <v>2.7</v>
      </c>
      <c r="I91" s="22">
        <f>Table4[[#This Row],[Available Hours for Service]]</f>
        <v>29.943055555559113</v>
      </c>
      <c r="J91" s="65">
        <v>9000</v>
      </c>
      <c r="K91" s="123">
        <f>Table436[[#This Row],[Min Daily Hours]]*J$199</f>
        <v>10</v>
      </c>
      <c r="L91" s="123">
        <f>SUM(Table436[[#This Row],[1]:[31]])</f>
        <v>9.0222222222222221</v>
      </c>
      <c r="M91" s="121">
        <v>0.39930555555555558</v>
      </c>
      <c r="N91" s="121">
        <v>0</v>
      </c>
      <c r="O91" s="121">
        <v>9.8611111111111108E-2</v>
      </c>
      <c r="P91" s="121">
        <v>0.3430555555555555</v>
      </c>
      <c r="Q91" s="121">
        <v>0.23402777777777781</v>
      </c>
      <c r="R91" s="121">
        <v>0.125</v>
      </c>
      <c r="S91" s="121">
        <v>0.375</v>
      </c>
      <c r="T91" s="121">
        <v>0.54999999999999993</v>
      </c>
      <c r="U91" s="121">
        <v>0.41666666666666669</v>
      </c>
      <c r="V91" s="121">
        <v>0.64097222222222217</v>
      </c>
      <c r="W91" s="22">
        <v>0.44027777777777777</v>
      </c>
      <c r="X91" s="22">
        <v>0.41666666666666669</v>
      </c>
      <c r="Y91" s="22">
        <v>0.20833333333333334</v>
      </c>
      <c r="Z91" s="22">
        <v>0.2590277777777778</v>
      </c>
      <c r="AA91" s="22">
        <v>0.5180555555555556</v>
      </c>
      <c r="AB91" s="22">
        <v>0</v>
      </c>
      <c r="AC91" s="22">
        <v>0</v>
      </c>
      <c r="AD91" s="22">
        <v>0</v>
      </c>
      <c r="AE91" s="22">
        <v>0</v>
      </c>
      <c r="AF91" s="22">
        <v>0</v>
      </c>
      <c r="AG91" s="22">
        <v>8.3333333333333329E-2</v>
      </c>
      <c r="AH91" s="215">
        <v>0.375</v>
      </c>
      <c r="AI91" s="22">
        <v>0.38750000000000001</v>
      </c>
      <c r="AJ91" s="22">
        <v>0.65763888888888888</v>
      </c>
      <c r="AK91" s="22">
        <v>0.46180555555555558</v>
      </c>
      <c r="AL91" s="22">
        <v>0.29166666666666669</v>
      </c>
      <c r="AM91" s="22">
        <v>0.25</v>
      </c>
      <c r="AN91" s="22">
        <v>0.21180555555555555</v>
      </c>
      <c r="AO91" s="22">
        <v>0.3354166666666667</v>
      </c>
      <c r="AP91" s="22">
        <v>8.5416666666666655E-2</v>
      </c>
      <c r="AQ91" s="22">
        <v>0.85763888888888884</v>
      </c>
    </row>
    <row r="92" spans="1:43" ht="17.25" customHeight="1" x14ac:dyDescent="0.35">
      <c r="A92" s="169" t="s">
        <v>171</v>
      </c>
      <c r="B92" s="170" t="s">
        <v>382</v>
      </c>
      <c r="C92" s="170" t="s">
        <v>221</v>
      </c>
      <c r="D92" s="169" t="s">
        <v>81</v>
      </c>
      <c r="E92" s="169" t="s">
        <v>458</v>
      </c>
      <c r="F92" s="121">
        <v>0.66666666666666663</v>
      </c>
      <c r="G92" s="195">
        <f>Table436[[#This Row],[Min Daily Hours]]*24</f>
        <v>16</v>
      </c>
      <c r="H92" s="76">
        <v>4</v>
      </c>
      <c r="I92" s="22">
        <f>Table4[[#This Row],[Available Hours for Service]]</f>
        <v>29.701388888890506</v>
      </c>
      <c r="J92" s="65">
        <v>12800</v>
      </c>
      <c r="K92" s="123">
        <f>Table436[[#This Row],[Min Daily Hours]]*J$199</f>
        <v>20</v>
      </c>
      <c r="L92" s="123">
        <f>SUM(Table436[[#This Row],[1]:[31]])</f>
        <v>13.70833333333333</v>
      </c>
      <c r="M92" s="121">
        <v>0.58333333333333337</v>
      </c>
      <c r="N92" s="121">
        <v>0.26458333333333334</v>
      </c>
      <c r="O92" s="121">
        <v>0.33333333333333331</v>
      </c>
      <c r="P92" s="121">
        <v>0.26250000000000001</v>
      </c>
      <c r="Q92" s="121">
        <v>0.31180555555555556</v>
      </c>
      <c r="R92" s="121">
        <v>0.16666666666666666</v>
      </c>
      <c r="S92" s="121">
        <v>0.44027777777777777</v>
      </c>
      <c r="T92" s="121">
        <v>0.59861111111111109</v>
      </c>
      <c r="U92" s="121">
        <v>0.31180555555555556</v>
      </c>
      <c r="V92" s="121">
        <v>0.85833333333333339</v>
      </c>
      <c r="W92" s="22">
        <v>0.41666666666666669</v>
      </c>
      <c r="X92" s="22">
        <v>0.43333333333333335</v>
      </c>
      <c r="Y92" s="22">
        <v>0.22569444444444445</v>
      </c>
      <c r="Z92" s="22">
        <v>0.33333333333333331</v>
      </c>
      <c r="AA92" s="22">
        <v>0.59027777777777779</v>
      </c>
      <c r="AB92" s="22">
        <v>0.67708333333333337</v>
      </c>
      <c r="AC92" s="22">
        <v>0.63194444444444442</v>
      </c>
      <c r="AD92" s="22">
        <v>0.29166666666666669</v>
      </c>
      <c r="AE92" s="22">
        <v>0.71597222222222223</v>
      </c>
      <c r="AF92" s="22">
        <v>0.46388888888888885</v>
      </c>
      <c r="AG92" s="22">
        <v>0.58333333333333337</v>
      </c>
      <c r="AH92" s="215">
        <v>0.41666666666666669</v>
      </c>
      <c r="AI92" s="22">
        <v>0.3756944444444445</v>
      </c>
      <c r="AJ92" s="22">
        <v>0.52569444444444446</v>
      </c>
      <c r="AK92" s="22">
        <v>0.45555555555555555</v>
      </c>
      <c r="AL92" s="22">
        <v>0.31736111111111115</v>
      </c>
      <c r="AM92" s="22">
        <v>0.26041666666666669</v>
      </c>
      <c r="AN92" s="22">
        <v>0.28472222222222221</v>
      </c>
      <c r="AO92" s="22">
        <v>0.47430555555555554</v>
      </c>
      <c r="AP92" s="22">
        <v>0.4458333333333333</v>
      </c>
      <c r="AQ92" s="22">
        <v>0.65763888888888888</v>
      </c>
    </row>
    <row r="93" spans="1:43" ht="17.25" customHeight="1" x14ac:dyDescent="0.35">
      <c r="A93" s="169" t="s">
        <v>171</v>
      </c>
      <c r="B93" s="170" t="s">
        <v>383</v>
      </c>
      <c r="C93" s="170" t="s">
        <v>221</v>
      </c>
      <c r="D93" s="169" t="s">
        <v>82</v>
      </c>
      <c r="E93" s="169" t="s">
        <v>458</v>
      </c>
      <c r="F93" s="121">
        <v>0.66666666666666663</v>
      </c>
      <c r="G93" s="195">
        <f>Table436[[#This Row],[Min Daily Hours]]*24</f>
        <v>16</v>
      </c>
      <c r="H93" s="76">
        <v>2.5</v>
      </c>
      <c r="I93" s="22">
        <f>Table4[[#This Row],[Available Hours for Service]]</f>
        <v>30</v>
      </c>
      <c r="J93" s="65">
        <v>9250</v>
      </c>
      <c r="K93" s="123">
        <f>Table436[[#This Row],[Min Daily Hours]]*J$199</f>
        <v>20</v>
      </c>
      <c r="L93" s="123">
        <f>SUM(Table436[[#This Row],[1]:[31]])</f>
        <v>13.713888888888892</v>
      </c>
      <c r="M93" s="121">
        <v>0.58333333333333337</v>
      </c>
      <c r="N93" s="121">
        <v>0.26458333333333334</v>
      </c>
      <c r="O93" s="121">
        <v>0.27708333333333335</v>
      </c>
      <c r="P93" s="121">
        <v>0.25</v>
      </c>
      <c r="Q93" s="121">
        <v>0.25</v>
      </c>
      <c r="R93" s="121">
        <v>0.27152777777777776</v>
      </c>
      <c r="S93" s="121">
        <v>0.44027777777777777</v>
      </c>
      <c r="T93" s="121">
        <v>0.59166666666666667</v>
      </c>
      <c r="U93" s="121">
        <v>0.25</v>
      </c>
      <c r="V93" s="121">
        <v>0.92708333333333337</v>
      </c>
      <c r="W93" s="22">
        <v>0.5</v>
      </c>
      <c r="X93" s="22">
        <v>0.43333333333333335</v>
      </c>
      <c r="Y93" s="22">
        <v>0.20833333333333334</v>
      </c>
      <c r="Z93" s="22">
        <v>0.37638888888888888</v>
      </c>
      <c r="AA93" s="22">
        <v>0.3756944444444445</v>
      </c>
      <c r="AB93" s="22">
        <v>0.60486111111111118</v>
      </c>
      <c r="AC93" s="22">
        <v>0.71875</v>
      </c>
      <c r="AD93" s="22">
        <v>0.375</v>
      </c>
      <c r="AE93" s="22">
        <v>0.72638888888888886</v>
      </c>
      <c r="AF93" s="22">
        <v>0.54722222222222217</v>
      </c>
      <c r="AG93" s="22">
        <v>0.6069444444444444</v>
      </c>
      <c r="AH93" s="215">
        <v>0.44444444444444442</v>
      </c>
      <c r="AI93" s="22">
        <v>0.36249999999999999</v>
      </c>
      <c r="AJ93" s="22">
        <v>0.66805555555555562</v>
      </c>
      <c r="AK93" s="22">
        <v>0.41875000000000001</v>
      </c>
      <c r="AL93" s="22">
        <v>0.33055555555555555</v>
      </c>
      <c r="AM93" s="22">
        <v>0.14097222222222222</v>
      </c>
      <c r="AN93" s="22">
        <v>0.18402777777777779</v>
      </c>
      <c r="AO93" s="22">
        <v>0.4291666666666667</v>
      </c>
      <c r="AP93" s="22">
        <v>0.45416666666666666</v>
      </c>
      <c r="AQ93" s="22">
        <v>0.70277777777777783</v>
      </c>
    </row>
    <row r="94" spans="1:43" ht="17.25" customHeight="1" x14ac:dyDescent="0.35">
      <c r="A94" s="169" t="s">
        <v>445</v>
      </c>
      <c r="B94" s="170" t="s">
        <v>383</v>
      </c>
      <c r="C94" s="170" t="s">
        <v>223</v>
      </c>
      <c r="D94" s="169" t="s">
        <v>369</v>
      </c>
      <c r="E94" s="169" t="s">
        <v>460</v>
      </c>
      <c r="F94" s="121">
        <v>0.33333333333333331</v>
      </c>
      <c r="G94" s="195">
        <f>Table436[[#This Row],[Min Daily Hours]]*24</f>
        <v>8</v>
      </c>
      <c r="H94" s="76">
        <v>2.2000000000000002</v>
      </c>
      <c r="I94" s="22">
        <f>Table4[[#This Row],[Available Hours for Service]]</f>
        <v>30.864583333328483</v>
      </c>
      <c r="J94" s="65">
        <v>10400</v>
      </c>
      <c r="K94" s="123">
        <f>Table436[[#This Row],[Min Daily Hours]]*J$199</f>
        <v>10</v>
      </c>
      <c r="L94" s="123">
        <f>SUM(Table436[[#This Row],[1]:[31]])</f>
        <v>12.293749999999998</v>
      </c>
      <c r="M94" s="121">
        <v>0.42430555555555555</v>
      </c>
      <c r="N94" s="121">
        <v>0.15347222222222223</v>
      </c>
      <c r="O94" s="121">
        <v>0.25</v>
      </c>
      <c r="P94" s="121">
        <v>0.39861111111111108</v>
      </c>
      <c r="Q94" s="121">
        <v>0.29166666666666669</v>
      </c>
      <c r="R94" s="121">
        <v>0.16666666666666666</v>
      </c>
      <c r="S94" s="121">
        <v>0.375</v>
      </c>
      <c r="T94" s="121">
        <v>0.49583333333333335</v>
      </c>
      <c r="U94" s="121">
        <v>0.45833333333333331</v>
      </c>
      <c r="V94" s="121">
        <v>0.78263888888888899</v>
      </c>
      <c r="W94" s="22">
        <v>0.47916666666666669</v>
      </c>
      <c r="X94" s="22">
        <v>0.43333333333333335</v>
      </c>
      <c r="Y94" s="22">
        <v>0.20833333333333334</v>
      </c>
      <c r="Z94" s="22">
        <v>0.29930555555555555</v>
      </c>
      <c r="AA94" s="22">
        <v>0.54166666666666663</v>
      </c>
      <c r="AB94" s="22">
        <v>0.66388888888888886</v>
      </c>
      <c r="AC94" s="22">
        <v>0.65694444444444444</v>
      </c>
      <c r="AD94" s="22">
        <v>0.10902777777777778</v>
      </c>
      <c r="AE94" s="22">
        <v>0.7006944444444444</v>
      </c>
      <c r="AF94" s="22">
        <v>0.4777777777777778</v>
      </c>
      <c r="AG94" s="22">
        <v>0.4458333333333333</v>
      </c>
      <c r="AH94" s="215">
        <v>0.27499999999999997</v>
      </c>
      <c r="AI94" s="22">
        <v>0.3527777777777778</v>
      </c>
      <c r="AJ94" s="22">
        <v>0.46875</v>
      </c>
      <c r="AK94" s="22">
        <v>0.28819444444444448</v>
      </c>
      <c r="AL94" s="22">
        <v>0.26111111111111113</v>
      </c>
      <c r="AM94" s="22">
        <v>0.32777777777777778</v>
      </c>
      <c r="AN94" s="22">
        <v>0.27361111111111108</v>
      </c>
      <c r="AO94" s="22">
        <v>0.42708333333333331</v>
      </c>
      <c r="AP94" s="22">
        <v>0.34722222222222227</v>
      </c>
      <c r="AQ94" s="22">
        <v>0.4597222222222222</v>
      </c>
    </row>
    <row r="95" spans="1:43" s="157" customFormat="1" ht="17.25" customHeight="1" x14ac:dyDescent="0.35">
      <c r="A95" s="169" t="s">
        <v>171</v>
      </c>
      <c r="B95" s="170" t="s">
        <v>384</v>
      </c>
      <c r="C95" s="170" t="s">
        <v>225</v>
      </c>
      <c r="D95" s="169" t="s">
        <v>357</v>
      </c>
      <c r="E95" s="169" t="s">
        <v>460</v>
      </c>
      <c r="F95" s="121">
        <v>0.33333333333333331</v>
      </c>
      <c r="G95" s="195">
        <f>Table436[[#This Row],[Min Daily Hours]]*24</f>
        <v>8</v>
      </c>
      <c r="H95" s="76">
        <v>0.7</v>
      </c>
      <c r="I95" s="121">
        <f>Table4[[#This Row],[Available Hours for Service]]</f>
        <v>44814.241666666669</v>
      </c>
      <c r="J95" s="65">
        <v>4050</v>
      </c>
      <c r="K95" s="123">
        <f>Table436[[#This Row],[Min Daily Hours]]*J$199</f>
        <v>10</v>
      </c>
      <c r="L95" s="123">
        <f>SUM(Table436[[#This Row],[1]:[31]])</f>
        <v>12.677083333333336</v>
      </c>
      <c r="M95" s="121">
        <v>0.5541666666666667</v>
      </c>
      <c r="N95" s="121">
        <v>0.45069444444444445</v>
      </c>
      <c r="O95" s="121">
        <v>0.20833333333333334</v>
      </c>
      <c r="P95" s="121">
        <v>0.29166666666666669</v>
      </c>
      <c r="Q95" s="121">
        <v>0.19722222222222222</v>
      </c>
      <c r="R95" s="121">
        <v>0.29166666666666669</v>
      </c>
      <c r="S95" s="121">
        <v>0.17708333333333334</v>
      </c>
      <c r="T95" s="121">
        <v>8.3333333333333329E-2</v>
      </c>
      <c r="U95" s="121">
        <v>0.45833333333333331</v>
      </c>
      <c r="V95" s="121">
        <v>0.53402777777777777</v>
      </c>
      <c r="W95" s="121">
        <v>0.51527777777777783</v>
      </c>
      <c r="X95" s="121">
        <v>0.33333333333333331</v>
      </c>
      <c r="Y95" s="121">
        <v>0.59375</v>
      </c>
      <c r="Z95" s="121">
        <v>0.3743055555555555</v>
      </c>
      <c r="AA95" s="121">
        <v>0.41180555555555554</v>
      </c>
      <c r="AB95" s="121">
        <v>0.59930555555555554</v>
      </c>
      <c r="AC95" s="121">
        <v>0.83958333333333324</v>
      </c>
      <c r="AD95" s="121">
        <v>0.54166666666666663</v>
      </c>
      <c r="AE95" s="121">
        <v>0.29722222222222222</v>
      </c>
      <c r="AF95" s="121">
        <v>0.13402777777777777</v>
      </c>
      <c r="AG95" s="121">
        <v>0.38541666666666669</v>
      </c>
      <c r="AH95" s="215">
        <v>0.40208333333333335</v>
      </c>
      <c r="AI95" s="121">
        <v>0.2638888888888889</v>
      </c>
      <c r="AJ95" s="121">
        <v>0.4826388888888889</v>
      </c>
      <c r="AK95" s="121">
        <v>0.38194444444444442</v>
      </c>
      <c r="AL95" s="121">
        <v>0.25</v>
      </c>
      <c r="AM95" s="121">
        <v>0.21111111111111111</v>
      </c>
      <c r="AN95" s="121">
        <v>0.61319444444444449</v>
      </c>
      <c r="AO95" s="121">
        <v>0.3666666666666667</v>
      </c>
      <c r="AP95" s="121">
        <v>0.71250000000000002</v>
      </c>
      <c r="AQ95" s="121">
        <v>0.72083333333333333</v>
      </c>
    </row>
    <row r="96" spans="1:43" s="157" customFormat="1" ht="17.25" customHeight="1" x14ac:dyDescent="0.35">
      <c r="A96" s="169" t="s">
        <v>171</v>
      </c>
      <c r="B96" s="170" t="s">
        <v>384</v>
      </c>
      <c r="C96" s="170" t="s">
        <v>225</v>
      </c>
      <c r="D96" s="169" t="s">
        <v>368</v>
      </c>
      <c r="E96" s="169" t="s">
        <v>460</v>
      </c>
      <c r="F96" s="121">
        <v>0.33333333333333331</v>
      </c>
      <c r="G96" s="195">
        <f>Table436[[#This Row],[Min Daily Hours]]*24</f>
        <v>8</v>
      </c>
      <c r="H96" s="76">
        <v>5.2</v>
      </c>
      <c r="I96" s="121">
        <f>Table4[[#This Row],[Available Hours for Service]]</f>
        <v>29.908333333332848</v>
      </c>
      <c r="J96" s="65">
        <v>10950</v>
      </c>
      <c r="K96" s="123">
        <f>Table436[[#This Row],[Min Daily Hours]]*J$199</f>
        <v>10</v>
      </c>
      <c r="L96" s="123">
        <f>SUM(Table436[[#This Row],[1]:[31]])</f>
        <v>13.023611111111114</v>
      </c>
      <c r="M96" s="121">
        <v>0.5541666666666667</v>
      </c>
      <c r="N96" s="121">
        <v>0.45069444444444445</v>
      </c>
      <c r="O96" s="121">
        <v>0.20833333333333334</v>
      </c>
      <c r="P96" s="121">
        <v>0.68611111111111101</v>
      </c>
      <c r="Q96" s="121">
        <v>0.23680555555555557</v>
      </c>
      <c r="R96" s="121">
        <v>0.31458333333333333</v>
      </c>
      <c r="S96" s="121">
        <v>0.4381944444444445</v>
      </c>
      <c r="T96" s="121">
        <v>8.3333333333333329E-2</v>
      </c>
      <c r="U96" s="121">
        <v>0.45833333333333331</v>
      </c>
      <c r="V96" s="121">
        <v>0.43541666666666662</v>
      </c>
      <c r="W96" s="121">
        <v>0.51527777777777783</v>
      </c>
      <c r="X96" s="121">
        <v>0.33333333333333331</v>
      </c>
      <c r="Y96" s="121">
        <v>0.55208333333333337</v>
      </c>
      <c r="Z96" s="121">
        <v>0.3743055555555555</v>
      </c>
      <c r="AA96" s="121">
        <v>0.41111111111111115</v>
      </c>
      <c r="AB96" s="121">
        <v>0.52361111111111114</v>
      </c>
      <c r="AC96" s="121">
        <v>0.65</v>
      </c>
      <c r="AD96" s="121">
        <v>0.54166666666666663</v>
      </c>
      <c r="AE96" s="121">
        <v>0.29722222222222222</v>
      </c>
      <c r="AF96" s="121">
        <v>0.13402777777777777</v>
      </c>
      <c r="AG96" s="121">
        <v>0.3743055555555555</v>
      </c>
      <c r="AH96" s="215">
        <v>0.47430555555555554</v>
      </c>
      <c r="AI96" s="121">
        <v>0.2638888888888889</v>
      </c>
      <c r="AJ96" s="121">
        <v>0.47986111111111113</v>
      </c>
      <c r="AK96" s="121">
        <v>0.38194444444444442</v>
      </c>
      <c r="AL96" s="121">
        <v>0.25</v>
      </c>
      <c r="AM96" s="121">
        <v>0.2076388888888889</v>
      </c>
      <c r="AN96" s="121">
        <v>0.61319444444444449</v>
      </c>
      <c r="AO96" s="121">
        <v>0.32777777777777778</v>
      </c>
      <c r="AP96" s="121">
        <v>0.70833333333333337</v>
      </c>
      <c r="AQ96" s="121">
        <v>0.74375000000000002</v>
      </c>
    </row>
    <row r="97" spans="1:43" ht="17.25" customHeight="1" x14ac:dyDescent="0.35">
      <c r="A97" s="169" t="s">
        <v>170</v>
      </c>
      <c r="B97" s="170" t="s">
        <v>385</v>
      </c>
      <c r="C97" s="170" t="s">
        <v>215</v>
      </c>
      <c r="D97" s="169" t="s">
        <v>91</v>
      </c>
      <c r="E97" s="169" t="s">
        <v>458</v>
      </c>
      <c r="F97" s="121">
        <v>0.66666666666666663</v>
      </c>
      <c r="G97" s="195">
        <f>Table436[[#This Row],[Min Daily Hours]]*24</f>
        <v>16</v>
      </c>
      <c r="H97" s="76">
        <v>4</v>
      </c>
      <c r="I97" s="22">
        <f>Table4[[#This Row],[Available Hours for Service]]</f>
        <v>44814.220138888886</v>
      </c>
      <c r="J97" s="65">
        <v>8550</v>
      </c>
      <c r="K97" s="123">
        <f>Table436[[#This Row],[Min Daily Hours]]*J$199</f>
        <v>20</v>
      </c>
      <c r="L97" s="123">
        <f>SUM(Table436[[#This Row],[1]:[31]])</f>
        <v>16.877083333333335</v>
      </c>
      <c r="M97" s="121">
        <v>5.1388888888888894E-2</v>
      </c>
      <c r="N97" s="121">
        <v>0.64722222222222225</v>
      </c>
      <c r="O97" s="121">
        <v>0.39652777777777781</v>
      </c>
      <c r="P97" s="121">
        <v>0.5</v>
      </c>
      <c r="Q97" s="121">
        <v>0.46527777777777773</v>
      </c>
      <c r="R97" s="121">
        <v>0.33333333333333331</v>
      </c>
      <c r="S97" s="121">
        <v>0.73541666666666661</v>
      </c>
      <c r="T97" s="121">
        <v>0.34097222222222223</v>
      </c>
      <c r="U97" s="121">
        <v>0.84027777777777779</v>
      </c>
      <c r="V97" s="121">
        <v>0.80902777777777779</v>
      </c>
      <c r="W97" s="22">
        <v>0.69652777777777775</v>
      </c>
      <c r="X97" s="22">
        <v>0.45833333333333331</v>
      </c>
      <c r="Y97" s="22">
        <v>0.56944444444444442</v>
      </c>
      <c r="Z97" s="22">
        <v>0.40138888888888885</v>
      </c>
      <c r="AA97" s="22">
        <v>0.55972222222222223</v>
      </c>
      <c r="AB97" s="22">
        <v>0.69861111111111107</v>
      </c>
      <c r="AC97" s="22">
        <v>1</v>
      </c>
      <c r="AD97" s="22">
        <v>0.79166666666666663</v>
      </c>
      <c r="AE97" s="22">
        <v>0.46458333333333335</v>
      </c>
      <c r="AF97" s="22">
        <v>0.42291666666666666</v>
      </c>
      <c r="AG97" s="22">
        <v>0.26805555555555555</v>
      </c>
      <c r="AH97" s="215">
        <v>0.5756944444444444</v>
      </c>
      <c r="AI97" s="22">
        <v>0.4909722222222222</v>
      </c>
      <c r="AJ97" s="22">
        <v>0.72291666666666676</v>
      </c>
      <c r="AK97" s="22">
        <v>0.50555555555555554</v>
      </c>
      <c r="AL97" s="22">
        <v>0.39999999999999997</v>
      </c>
      <c r="AM97" s="22">
        <v>0.23333333333333331</v>
      </c>
      <c r="AN97" s="22">
        <v>0.52500000000000002</v>
      </c>
      <c r="AO97" s="22">
        <v>0.55902777777777779</v>
      </c>
      <c r="AP97" s="22">
        <v>0.86041666666666661</v>
      </c>
      <c r="AQ97" s="22">
        <v>0.55347222222222225</v>
      </c>
    </row>
    <row r="98" spans="1:43" ht="17.25" customHeight="1" x14ac:dyDescent="0.35">
      <c r="A98" s="169" t="s">
        <v>170</v>
      </c>
      <c r="B98" s="170" t="s">
        <v>385</v>
      </c>
      <c r="C98" s="170" t="s">
        <v>215</v>
      </c>
      <c r="D98" s="169" t="s">
        <v>471</v>
      </c>
      <c r="E98" s="169" t="s">
        <v>458</v>
      </c>
      <c r="F98" s="121">
        <v>0.66666666666666663</v>
      </c>
      <c r="G98" s="195">
        <f>Table436[[#This Row],[Min Daily Hours]]*24</f>
        <v>16</v>
      </c>
      <c r="H98" s="76">
        <v>4.3</v>
      </c>
      <c r="I98" s="22">
        <f>Table4[[#This Row],[Available Hours for Service]]</f>
        <v>30</v>
      </c>
      <c r="J98" s="65">
        <v>9350</v>
      </c>
      <c r="K98" s="123">
        <f>Table436[[#This Row],[Min Daily Hours]]*J$199</f>
        <v>20</v>
      </c>
      <c r="L98" s="123">
        <f>SUM(Table436[[#This Row],[1]:[31]])</f>
        <v>13.910416666666666</v>
      </c>
      <c r="M98" s="121">
        <v>0.41666666666666669</v>
      </c>
      <c r="N98" s="121">
        <v>0.6118055555555556</v>
      </c>
      <c r="O98" s="121">
        <v>0.36388888888888887</v>
      </c>
      <c r="P98" s="121">
        <v>0.1763888888888889</v>
      </c>
      <c r="Q98" s="121">
        <v>0.46666666666666662</v>
      </c>
      <c r="R98" s="121">
        <v>0.31180555555555556</v>
      </c>
      <c r="S98" s="121">
        <v>0.56319444444444444</v>
      </c>
      <c r="T98" s="121">
        <v>0.47291666666666665</v>
      </c>
      <c r="U98" s="121">
        <v>0.84027777777777779</v>
      </c>
      <c r="V98" s="121">
        <v>0.70833333333333337</v>
      </c>
      <c r="W98" s="22">
        <v>0.66666666666666663</v>
      </c>
      <c r="X98" s="22">
        <v>0.45833333333333331</v>
      </c>
      <c r="Y98" s="22">
        <v>0.25694444444444448</v>
      </c>
      <c r="Z98" s="22">
        <v>0.35138888888888892</v>
      </c>
      <c r="AA98" s="22">
        <v>0.37361111111111112</v>
      </c>
      <c r="AB98" s="22">
        <v>0.44027777777777777</v>
      </c>
      <c r="AC98" s="22">
        <v>0.91666666666666663</v>
      </c>
      <c r="AD98" s="22">
        <v>0.75</v>
      </c>
      <c r="AE98" s="22">
        <v>0.24374999999999999</v>
      </c>
      <c r="AF98" s="22">
        <v>0.25486111111111109</v>
      </c>
      <c r="AG98" s="22">
        <v>0.38125000000000003</v>
      </c>
      <c r="AH98" s="215">
        <v>0.42708333333333331</v>
      </c>
      <c r="AI98" s="22">
        <v>0.38194444444444442</v>
      </c>
      <c r="AJ98" s="22">
        <v>0.70347222222222217</v>
      </c>
      <c r="AK98" s="22">
        <v>0.36180555555555555</v>
      </c>
      <c r="AL98" s="22">
        <v>0.34583333333333338</v>
      </c>
      <c r="AM98" s="22">
        <v>0.2076388888888889</v>
      </c>
      <c r="AN98" s="22">
        <v>0.18263888888888891</v>
      </c>
      <c r="AO98" s="22">
        <v>0.31319444444444444</v>
      </c>
      <c r="AP98" s="22">
        <v>0.54652777777777783</v>
      </c>
      <c r="AQ98" s="22">
        <v>0.4145833333333333</v>
      </c>
    </row>
    <row r="99" spans="1:43" ht="17.25" customHeight="1" x14ac:dyDescent="0.35">
      <c r="A99" s="169" t="s">
        <v>170</v>
      </c>
      <c r="B99" s="170" t="s">
        <v>386</v>
      </c>
      <c r="C99" s="170" t="s">
        <v>310</v>
      </c>
      <c r="D99" s="169" t="s">
        <v>89</v>
      </c>
      <c r="E99" s="169" t="s">
        <v>461</v>
      </c>
      <c r="F99" s="121">
        <v>0.5</v>
      </c>
      <c r="G99" s="195">
        <f>Table436[[#This Row],[Min Daily Hours]]*24</f>
        <v>12</v>
      </c>
      <c r="H99" s="76">
        <v>4.7</v>
      </c>
      <c r="I99" s="22">
        <f>Table4[[#This Row],[Available Hours for Service]]</f>
        <v>29.790972222217533</v>
      </c>
      <c r="J99" s="65">
        <v>8775</v>
      </c>
      <c r="K99" s="123">
        <f>Table436[[#This Row],[Min Daily Hours]]*J$199</f>
        <v>15</v>
      </c>
      <c r="L99" s="123">
        <f>SUM(Table436[[#This Row],[1]:[31]])</f>
        <v>11.375694444444445</v>
      </c>
      <c r="M99" s="121">
        <v>0</v>
      </c>
      <c r="N99" s="121">
        <v>0.28611111111111115</v>
      </c>
      <c r="O99" s="121">
        <v>0.25</v>
      </c>
      <c r="P99" s="121">
        <v>0.10069444444444443</v>
      </c>
      <c r="Q99" s="121">
        <v>0.3888888888888889</v>
      </c>
      <c r="R99" s="121">
        <v>0.20416666666666669</v>
      </c>
      <c r="S99" s="121">
        <v>0.54861111111111105</v>
      </c>
      <c r="T99" s="121">
        <v>0.22916666666666666</v>
      </c>
      <c r="U99" s="121">
        <v>0.2986111111111111</v>
      </c>
      <c r="V99" s="121">
        <v>0.75694444444444453</v>
      </c>
      <c r="W99" s="22">
        <v>0.54999999999999993</v>
      </c>
      <c r="X99" s="22">
        <v>0.5</v>
      </c>
      <c r="Y99" s="22">
        <v>0.20833333333333334</v>
      </c>
      <c r="Z99" s="22">
        <v>0.35000000000000003</v>
      </c>
      <c r="AA99" s="22">
        <v>0.42152777777777778</v>
      </c>
      <c r="AB99" s="22">
        <v>0.58888888888888891</v>
      </c>
      <c r="AC99" s="22">
        <v>0.5</v>
      </c>
      <c r="AD99" s="22">
        <v>0.68125000000000002</v>
      </c>
      <c r="AE99" s="22">
        <v>0.39166666666666666</v>
      </c>
      <c r="AF99" s="22">
        <v>0.3527777777777778</v>
      </c>
      <c r="AG99" s="22">
        <v>0.35972222222222222</v>
      </c>
      <c r="AH99" s="215">
        <v>0.18541666666666667</v>
      </c>
      <c r="AI99" s="22">
        <v>0.36944444444444446</v>
      </c>
      <c r="AJ99" s="22">
        <v>0.46458333333333335</v>
      </c>
      <c r="AK99" s="22">
        <v>0.48680555555555555</v>
      </c>
      <c r="AL99" s="22">
        <v>0.25347222222222221</v>
      </c>
      <c r="AM99" s="22">
        <v>0.16805555555555554</v>
      </c>
      <c r="AN99" s="22">
        <v>0.31944444444444448</v>
      </c>
      <c r="AO99" s="22">
        <v>0.36388888888888887</v>
      </c>
      <c r="AP99" s="22">
        <v>0.38819444444444445</v>
      </c>
      <c r="AQ99" s="22">
        <v>0.40902777777777777</v>
      </c>
    </row>
    <row r="100" spans="1:43" ht="17.25" customHeight="1" x14ac:dyDescent="0.35">
      <c r="A100" s="169" t="s">
        <v>170</v>
      </c>
      <c r="B100" s="170" t="s">
        <v>386</v>
      </c>
      <c r="C100" s="170" t="s">
        <v>310</v>
      </c>
      <c r="D100" s="169" t="s">
        <v>90</v>
      </c>
      <c r="E100" s="169" t="s">
        <v>457</v>
      </c>
      <c r="F100" s="121">
        <v>0.83333333333333337</v>
      </c>
      <c r="G100" s="195">
        <f>Table436[[#This Row],[Min Daily Hours]]*24</f>
        <v>20</v>
      </c>
      <c r="H100" s="76">
        <v>4.3</v>
      </c>
      <c r="I100" s="22">
        <f>Table4[[#This Row],[Available Hours for Service]]</f>
        <v>29.375</v>
      </c>
      <c r="J100" s="65">
        <v>9950</v>
      </c>
      <c r="K100" s="123">
        <f>Table436[[#This Row],[Min Daily Hours]]*J$199</f>
        <v>25</v>
      </c>
      <c r="L100" s="123">
        <f>SUM(Table436[[#This Row],[1]:[31]])</f>
        <v>14.382638888888886</v>
      </c>
      <c r="M100" s="121">
        <v>0.625</v>
      </c>
      <c r="N100" s="121">
        <v>0.66111111111111109</v>
      </c>
      <c r="O100" s="121">
        <v>0.375</v>
      </c>
      <c r="P100" s="121">
        <v>0.40625</v>
      </c>
      <c r="Q100" s="121">
        <v>0.4236111111111111</v>
      </c>
      <c r="R100" s="121">
        <v>0.28819444444444448</v>
      </c>
      <c r="S100" s="121">
        <v>0.73263888888888884</v>
      </c>
      <c r="T100" s="121">
        <v>0.43124999999999997</v>
      </c>
      <c r="U100" s="121">
        <v>0.2986111111111111</v>
      </c>
      <c r="V100" s="121">
        <v>0.84027777777777779</v>
      </c>
      <c r="W100" s="22">
        <v>0.6333333333333333</v>
      </c>
      <c r="X100" s="22">
        <v>0.54166666666666663</v>
      </c>
      <c r="Y100" s="22">
        <v>0.66666666666666663</v>
      </c>
      <c r="Z100" s="22">
        <v>0.22777777777777777</v>
      </c>
      <c r="AA100" s="22">
        <v>0.40138888888888885</v>
      </c>
      <c r="AB100" s="22">
        <v>0.55208333333333337</v>
      </c>
      <c r="AC100" s="22">
        <v>0.92361111111111116</v>
      </c>
      <c r="AD100" s="22">
        <v>0.66666666666666663</v>
      </c>
      <c r="AE100" s="22">
        <v>0.38750000000000001</v>
      </c>
      <c r="AF100" s="22">
        <v>0.37847222222222227</v>
      </c>
      <c r="AG100" s="22">
        <v>0.14722222222222223</v>
      </c>
      <c r="AH100" s="215">
        <v>0.30069444444444443</v>
      </c>
      <c r="AI100" s="22">
        <v>0.3743055555555555</v>
      </c>
      <c r="AJ100" s="121">
        <v>0.65</v>
      </c>
      <c r="AK100" s="22">
        <v>0.37777777777777777</v>
      </c>
      <c r="AL100" s="22">
        <v>0.29305555555555557</v>
      </c>
      <c r="AM100" s="22">
        <v>0.20138888888888887</v>
      </c>
      <c r="AN100" s="22">
        <v>0.16458333333333333</v>
      </c>
      <c r="AO100" s="22">
        <v>0.27638888888888885</v>
      </c>
      <c r="AP100" s="22">
        <v>0.7319444444444444</v>
      </c>
      <c r="AQ100" s="22">
        <v>0.40416666666666662</v>
      </c>
    </row>
    <row r="101" spans="1:43" ht="17.25" customHeight="1" x14ac:dyDescent="0.35">
      <c r="A101" s="169" t="s">
        <v>170</v>
      </c>
      <c r="B101" s="170" t="s">
        <v>387</v>
      </c>
      <c r="C101" s="170" t="s">
        <v>350</v>
      </c>
      <c r="D101" s="169" t="s">
        <v>449</v>
      </c>
      <c r="E101" s="169" t="s">
        <v>460</v>
      </c>
      <c r="F101" s="121">
        <v>0.33333333333333331</v>
      </c>
      <c r="G101" s="195">
        <f>Table436[[#This Row],[Min Daily Hours]]*24</f>
        <v>8</v>
      </c>
      <c r="H101" s="76">
        <v>5</v>
      </c>
      <c r="I101" s="22">
        <f>Table4[[#This Row],[Available Hours for Service]]</f>
        <v>28.990277777789743</v>
      </c>
      <c r="J101" s="65">
        <v>12425</v>
      </c>
      <c r="K101" s="123">
        <f>Table436[[#This Row],[Min Daily Hours]]*J$199</f>
        <v>10</v>
      </c>
      <c r="L101" s="123">
        <f>SUM(Table436[[#This Row],[1]:[31]])</f>
        <v>10.647222222222222</v>
      </c>
      <c r="M101" s="121">
        <v>0.125</v>
      </c>
      <c r="N101" s="121">
        <v>0.20833333333333334</v>
      </c>
      <c r="O101" s="121">
        <v>0.34375</v>
      </c>
      <c r="P101" s="121">
        <v>0.17569444444444446</v>
      </c>
      <c r="Q101" s="121">
        <v>0.25</v>
      </c>
      <c r="R101" s="121">
        <v>0.15277777777777776</v>
      </c>
      <c r="S101" s="121">
        <v>0.20833333333333334</v>
      </c>
      <c r="T101" s="121">
        <v>0.20833333333333334</v>
      </c>
      <c r="U101" s="121">
        <v>0.32083333333333336</v>
      </c>
      <c r="V101" s="121">
        <v>0.51527777777777783</v>
      </c>
      <c r="W101" s="22">
        <v>0.67986111111111114</v>
      </c>
      <c r="X101" s="22">
        <v>0.47847222222222219</v>
      </c>
      <c r="Y101" s="22">
        <v>0.47291666666666665</v>
      </c>
      <c r="Z101" s="22">
        <v>0.2298611111111111</v>
      </c>
      <c r="AA101" s="22">
        <v>0.27430555555555552</v>
      </c>
      <c r="AB101" s="22">
        <v>0.36805555555555558</v>
      </c>
      <c r="AC101" s="22">
        <v>0.51597222222222217</v>
      </c>
      <c r="AD101" s="22">
        <v>0.66666666666666663</v>
      </c>
      <c r="AE101" s="22">
        <v>0.36805555555555558</v>
      </c>
      <c r="AF101" s="22">
        <v>0.27986111111111112</v>
      </c>
      <c r="AG101" s="22">
        <v>0.2951388888888889</v>
      </c>
      <c r="AH101" s="215">
        <v>0.3576388888888889</v>
      </c>
      <c r="AI101" s="22">
        <v>0.3520833333333333</v>
      </c>
      <c r="AJ101" s="22">
        <v>0.4680555555555555</v>
      </c>
      <c r="AK101" s="22">
        <v>0.3298611111111111</v>
      </c>
      <c r="AL101" s="22">
        <v>0.22222222222222221</v>
      </c>
      <c r="AM101" s="22">
        <v>0.21805555555555556</v>
      </c>
      <c r="AN101" s="22">
        <v>8.3333333333333329E-2</v>
      </c>
      <c r="AO101" s="22">
        <v>0.25</v>
      </c>
      <c r="AP101" s="22">
        <v>0.51874999999999993</v>
      </c>
      <c r="AQ101" s="22">
        <v>0.70972222222222225</v>
      </c>
    </row>
    <row r="102" spans="1:43" ht="17.25" customHeight="1" x14ac:dyDescent="0.35">
      <c r="A102" s="169" t="s">
        <v>170</v>
      </c>
      <c r="B102" s="170" t="s">
        <v>387</v>
      </c>
      <c r="C102" s="170" t="s">
        <v>350</v>
      </c>
      <c r="D102" s="169" t="s">
        <v>104</v>
      </c>
      <c r="E102" s="169" t="s">
        <v>460</v>
      </c>
      <c r="F102" s="121">
        <v>0.33333333333333331</v>
      </c>
      <c r="G102" s="195">
        <f>Table436[[#This Row],[Min Daily Hours]]*24</f>
        <v>8</v>
      </c>
      <c r="H102" s="76">
        <v>5.3</v>
      </c>
      <c r="I102" s="22">
        <f>Table4[[#This Row],[Available Hours for Service]]</f>
        <v>44811.106250000004</v>
      </c>
      <c r="J102" s="65">
        <v>9700</v>
      </c>
      <c r="K102" s="123">
        <f>Table436[[#This Row],[Min Daily Hours]]*J$199</f>
        <v>10</v>
      </c>
      <c r="L102" s="123">
        <f>SUM(Table436[[#This Row],[1]:[31]])</f>
        <v>11.871527777777775</v>
      </c>
      <c r="M102" s="121">
        <v>0.33333333333333331</v>
      </c>
      <c r="N102" s="121">
        <v>0.31041666666666667</v>
      </c>
      <c r="O102" s="121">
        <v>0.29166666666666669</v>
      </c>
      <c r="P102" s="121">
        <v>0.21736111111111112</v>
      </c>
      <c r="Q102" s="121">
        <v>0.29166666666666669</v>
      </c>
      <c r="R102" s="121">
        <v>0.20833333333333334</v>
      </c>
      <c r="S102" s="121">
        <v>0.3972222222222222</v>
      </c>
      <c r="T102" s="121">
        <v>0.3972222222222222</v>
      </c>
      <c r="U102" s="121">
        <v>0.38472222222222219</v>
      </c>
      <c r="V102" s="121">
        <v>0.59375</v>
      </c>
      <c r="W102" s="22">
        <v>0.625</v>
      </c>
      <c r="X102" s="22">
        <v>0.4381944444444445</v>
      </c>
      <c r="Y102" s="22">
        <v>0.47291666666666665</v>
      </c>
      <c r="Z102" s="22">
        <v>0.3298611111111111</v>
      </c>
      <c r="AA102" s="22">
        <v>0.31805555555555554</v>
      </c>
      <c r="AB102" s="22">
        <v>0.19444444444444445</v>
      </c>
      <c r="AC102" s="22">
        <v>0.82986111111111116</v>
      </c>
      <c r="AD102" s="22">
        <v>0.7368055555555556</v>
      </c>
      <c r="AE102" s="22">
        <v>0.34791666666666665</v>
      </c>
      <c r="AF102" s="22">
        <v>0.25625000000000003</v>
      </c>
      <c r="AG102" s="22">
        <v>0.34652777777777777</v>
      </c>
      <c r="AH102" s="215">
        <v>0.3527777777777778</v>
      </c>
      <c r="AI102" s="22">
        <v>0.2986111111111111</v>
      </c>
      <c r="AJ102" s="22">
        <v>0.50694444444444442</v>
      </c>
      <c r="AK102" s="22">
        <v>0.29444444444444445</v>
      </c>
      <c r="AL102" s="22">
        <v>0.2986111111111111</v>
      </c>
      <c r="AM102" s="22">
        <v>0.14861111111111111</v>
      </c>
      <c r="AN102" s="22">
        <v>0.15208333333333332</v>
      </c>
      <c r="AO102" s="22">
        <v>0.24444444444444446</v>
      </c>
      <c r="AP102" s="22">
        <v>0.54375000000000007</v>
      </c>
      <c r="AQ102" s="22">
        <v>0.70972222222222225</v>
      </c>
    </row>
    <row r="103" spans="1:43" s="157" customFormat="1" ht="17.25" customHeight="1" x14ac:dyDescent="0.35">
      <c r="A103" s="169" t="s">
        <v>170</v>
      </c>
      <c r="B103" s="170" t="s">
        <v>387</v>
      </c>
      <c r="C103" s="170" t="s">
        <v>215</v>
      </c>
      <c r="D103" s="169" t="s">
        <v>450</v>
      </c>
      <c r="E103" s="169" t="s">
        <v>460</v>
      </c>
      <c r="F103" s="121">
        <v>0.33333333333333331</v>
      </c>
      <c r="G103" s="195">
        <f>Table436[[#This Row],[Min Daily Hours]]*24</f>
        <v>8</v>
      </c>
      <c r="H103" s="76"/>
      <c r="I103" s="121">
        <f>Table4[[#This Row],[Available Hours for Service]]</f>
        <v>29.311111111106584</v>
      </c>
      <c r="J103" s="65"/>
      <c r="K103" s="123">
        <f>Table436[[#This Row],[Min Daily Hours]]*J$199</f>
        <v>10</v>
      </c>
      <c r="L103" s="123">
        <f>SUM(Table436[[#This Row],[1]:[31]])</f>
        <v>15.849305555555556</v>
      </c>
      <c r="M103" s="121">
        <v>0.42986111111111108</v>
      </c>
      <c r="N103" s="121">
        <v>0.41666666666666669</v>
      </c>
      <c r="O103" s="121">
        <v>0.39583333333333331</v>
      </c>
      <c r="P103" s="121">
        <v>0.75</v>
      </c>
      <c r="Q103" s="121">
        <v>0.58333333333333337</v>
      </c>
      <c r="R103" s="121">
        <v>0.25</v>
      </c>
      <c r="S103" s="121">
        <v>0.80763888888888891</v>
      </c>
      <c r="T103" s="121">
        <v>0.80763888888888891</v>
      </c>
      <c r="U103" s="121">
        <v>0.36527777777777781</v>
      </c>
      <c r="V103" s="121">
        <v>0.73749999999999993</v>
      </c>
      <c r="W103" s="121">
        <v>0.66666666666666663</v>
      </c>
      <c r="X103" s="121">
        <v>0.60555555555555551</v>
      </c>
      <c r="Y103" s="121">
        <v>0.62083333333333335</v>
      </c>
      <c r="Z103" s="121">
        <v>0.24861111111111112</v>
      </c>
      <c r="AA103" s="121">
        <v>0.42708333333333331</v>
      </c>
      <c r="AB103" s="121">
        <v>0.60972222222222217</v>
      </c>
      <c r="AC103" s="121">
        <v>0.80347222222222225</v>
      </c>
      <c r="AD103" s="121">
        <v>0.76944444444444438</v>
      </c>
      <c r="AE103" s="121">
        <v>0.23611111111111113</v>
      </c>
      <c r="AF103" s="121">
        <v>0.26180555555555557</v>
      </c>
      <c r="AG103" s="121">
        <v>0.36180555555555555</v>
      </c>
      <c r="AH103" s="215">
        <v>0.53541666666666665</v>
      </c>
      <c r="AI103" s="121">
        <v>0.5</v>
      </c>
      <c r="AJ103" s="121">
        <v>0.63194444444444442</v>
      </c>
      <c r="AK103" s="121">
        <v>0.42499999999999999</v>
      </c>
      <c r="AL103" s="121">
        <v>0.32013888888888892</v>
      </c>
      <c r="AM103" s="121">
        <v>0.41666666666666669</v>
      </c>
      <c r="AN103" s="121">
        <v>0.47222222222222227</v>
      </c>
      <c r="AO103" s="121">
        <v>0.33124999999999999</v>
      </c>
      <c r="AP103" s="121">
        <v>0.52013888888888882</v>
      </c>
      <c r="AQ103" s="121">
        <v>0.54166666666666663</v>
      </c>
    </row>
    <row r="104" spans="1:43" ht="17.25" customHeight="1" x14ac:dyDescent="0.35">
      <c r="A104" s="169" t="s">
        <v>170</v>
      </c>
      <c r="B104" s="170" t="s">
        <v>388</v>
      </c>
      <c r="C104" s="170" t="s">
        <v>215</v>
      </c>
      <c r="D104" s="169" t="s">
        <v>103</v>
      </c>
      <c r="E104" s="169" t="s">
        <v>457</v>
      </c>
      <c r="F104" s="121">
        <v>0.83333333333333337</v>
      </c>
      <c r="G104" s="195">
        <f>Table436[[#This Row],[Min Daily Hours]]*24</f>
        <v>20</v>
      </c>
      <c r="H104" s="76">
        <v>2.2999999999999998</v>
      </c>
      <c r="I104" s="22">
        <f>Table4[[#This Row],[Available Hours for Service]]</f>
        <v>29.631944444437977</v>
      </c>
      <c r="J104" s="65">
        <v>9650</v>
      </c>
      <c r="K104" s="123">
        <f>Table436[[#This Row],[Min Daily Hours]]*J$199</f>
        <v>25</v>
      </c>
      <c r="L104" s="123">
        <f>SUM(Table436[[#This Row],[1]:[31]])</f>
        <v>25.233333333333334</v>
      </c>
      <c r="M104" s="121">
        <v>0.56736111111111109</v>
      </c>
      <c r="N104" s="121">
        <v>0.81874999999999998</v>
      </c>
      <c r="O104" s="121">
        <v>0.8125</v>
      </c>
      <c r="P104" s="121">
        <v>0.74583333333333324</v>
      </c>
      <c r="Q104" s="121">
        <v>1</v>
      </c>
      <c r="R104" s="121">
        <v>0.77638888888888891</v>
      </c>
      <c r="S104" s="121">
        <v>0.82361111111111107</v>
      </c>
      <c r="T104" s="121">
        <v>0.82361111111111107</v>
      </c>
      <c r="U104" s="121">
        <v>0.88750000000000007</v>
      </c>
      <c r="V104" s="121">
        <v>0.88402777777777775</v>
      </c>
      <c r="W104" s="22">
        <v>0.875</v>
      </c>
      <c r="X104" s="22">
        <v>0.77638888888888891</v>
      </c>
      <c r="Y104" s="22">
        <v>0.8965277777777777</v>
      </c>
      <c r="Z104" s="22">
        <v>0.66666666666666663</v>
      </c>
      <c r="AA104" s="22">
        <v>0.90069444444444446</v>
      </c>
      <c r="AB104" s="22">
        <v>0.95347222222222217</v>
      </c>
      <c r="AC104" s="22">
        <v>1</v>
      </c>
      <c r="AD104" s="22">
        <v>0.77083333333333337</v>
      </c>
      <c r="AE104" s="22">
        <v>0.71666666666666667</v>
      </c>
      <c r="AF104" s="22">
        <v>0.52500000000000002</v>
      </c>
      <c r="AG104" s="22">
        <v>0.94097222222222221</v>
      </c>
      <c r="AH104" s="215">
        <v>0.72777777777777775</v>
      </c>
      <c r="AI104" s="22">
        <v>0.6020833333333333</v>
      </c>
      <c r="AJ104" s="22">
        <v>0.85</v>
      </c>
      <c r="AK104" s="22">
        <v>0.81111111111111101</v>
      </c>
      <c r="AL104" s="22">
        <v>0.97222222222222221</v>
      </c>
      <c r="AM104" s="22">
        <v>0.59583333333333333</v>
      </c>
      <c r="AN104" s="22">
        <v>0.53333333333333333</v>
      </c>
      <c r="AO104" s="22">
        <v>0.97916666666666663</v>
      </c>
      <c r="AP104" s="22">
        <v>1</v>
      </c>
      <c r="AQ104" s="22">
        <v>1</v>
      </c>
    </row>
    <row r="105" spans="1:43" ht="17.25" customHeight="1" x14ac:dyDescent="0.35">
      <c r="A105" s="169" t="s">
        <v>170</v>
      </c>
      <c r="B105" s="170" t="s">
        <v>389</v>
      </c>
      <c r="C105" s="170" t="s">
        <v>216</v>
      </c>
      <c r="D105" s="169" t="s">
        <v>69</v>
      </c>
      <c r="E105" s="169" t="s">
        <v>461</v>
      </c>
      <c r="F105" s="121">
        <v>0.5</v>
      </c>
      <c r="G105" s="195">
        <f>Table436[[#This Row],[Min Daily Hours]]*24</f>
        <v>12</v>
      </c>
      <c r="H105" s="76">
        <v>5.6</v>
      </c>
      <c r="I105" s="22" t="e">
        <f>Table4[[#This Row],[Available Hours for Service]]</f>
        <v>#VALUE!</v>
      </c>
      <c r="J105" s="65">
        <v>12800</v>
      </c>
      <c r="K105" s="123">
        <f>Table436[[#This Row],[Min Daily Hours]]*J$199</f>
        <v>15</v>
      </c>
      <c r="L105" s="123">
        <f>SUM(Table436[[#This Row],[1]:[31]])</f>
        <v>13.652777777777779</v>
      </c>
      <c r="M105" s="121">
        <v>0.22638888888888889</v>
      </c>
      <c r="N105" s="121">
        <v>0.19236111111111112</v>
      </c>
      <c r="O105" s="121">
        <v>0.23263888888888887</v>
      </c>
      <c r="P105" s="121">
        <v>0.21875</v>
      </c>
      <c r="Q105" s="121">
        <v>0.27291666666666664</v>
      </c>
      <c r="R105" s="121">
        <v>0.27777777777777779</v>
      </c>
      <c r="S105" s="121">
        <v>0.4381944444444445</v>
      </c>
      <c r="T105" s="121">
        <v>0.27777777777777779</v>
      </c>
      <c r="U105" s="121">
        <v>0.4381944444444445</v>
      </c>
      <c r="V105" s="121">
        <v>0.53263888888888888</v>
      </c>
      <c r="W105" s="22">
        <v>0.33333333333333331</v>
      </c>
      <c r="X105" s="22">
        <v>0.41666666666666669</v>
      </c>
      <c r="Y105" s="22">
        <v>0.63611111111111118</v>
      </c>
      <c r="Z105" s="22">
        <v>0.63055555555555554</v>
      </c>
      <c r="AA105" s="22">
        <v>0.51388888888888895</v>
      </c>
      <c r="AB105" s="22">
        <v>0.71944444444444444</v>
      </c>
      <c r="AC105" s="22">
        <v>0.42569444444444443</v>
      </c>
      <c r="AD105" s="22">
        <v>0.3923611111111111</v>
      </c>
      <c r="AE105" s="22">
        <v>0.6118055555555556</v>
      </c>
      <c r="AF105" s="22">
        <v>0.43402777777777773</v>
      </c>
      <c r="AG105" s="22">
        <v>0.62708333333333333</v>
      </c>
      <c r="AH105" s="215">
        <v>0.51527777777777783</v>
      </c>
      <c r="AI105" s="22">
        <v>0.49861111111111112</v>
      </c>
      <c r="AJ105" s="22">
        <v>0.54166666666666663</v>
      </c>
      <c r="AK105" s="22">
        <v>0.44375000000000003</v>
      </c>
      <c r="AL105" s="22">
        <v>0.25486111111111109</v>
      </c>
      <c r="AM105" s="22">
        <v>0.32916666666666666</v>
      </c>
      <c r="AN105" s="22">
        <v>0.59583333333333333</v>
      </c>
      <c r="AO105" s="22">
        <v>0.48333333333333334</v>
      </c>
      <c r="AP105" s="22">
        <v>0.51666666666666672</v>
      </c>
      <c r="AQ105" s="22">
        <v>0.625</v>
      </c>
    </row>
    <row r="106" spans="1:43" ht="17.25" customHeight="1" x14ac:dyDescent="0.35">
      <c r="A106" s="169" t="s">
        <v>176</v>
      </c>
      <c r="B106" s="170" t="s">
        <v>389</v>
      </c>
      <c r="C106" s="170" t="s">
        <v>226</v>
      </c>
      <c r="D106" s="169" t="s">
        <v>70</v>
      </c>
      <c r="E106" s="169" t="s">
        <v>461</v>
      </c>
      <c r="F106" s="121">
        <v>0.5</v>
      </c>
      <c r="G106" s="195">
        <f>Table436[[#This Row],[Min Daily Hours]]*24</f>
        <v>12</v>
      </c>
      <c r="H106" s="76">
        <v>3</v>
      </c>
      <c r="I106" s="22">
        <f>Table4[[#This Row],[Available Hours for Service]]</f>
        <v>29.264583333337214</v>
      </c>
      <c r="J106" s="65">
        <v>10350</v>
      </c>
      <c r="K106" s="123">
        <f>Table436[[#This Row],[Min Daily Hours]]*J$199</f>
        <v>15</v>
      </c>
      <c r="L106" s="123">
        <f>SUM(Table436[[#This Row],[1]:[31]])</f>
        <v>11.895138888888887</v>
      </c>
      <c r="M106" s="121">
        <v>0.3611111111111111</v>
      </c>
      <c r="N106" s="121">
        <v>0.15069444444444444</v>
      </c>
      <c r="O106" s="121">
        <v>0.20833333333333334</v>
      </c>
      <c r="P106" s="121">
        <v>0.15416666666666667</v>
      </c>
      <c r="Q106" s="121">
        <v>0.19652777777777777</v>
      </c>
      <c r="R106" s="121">
        <v>0.25</v>
      </c>
      <c r="S106" s="121">
        <v>0.26111111111111113</v>
      </c>
      <c r="T106" s="121">
        <v>0.20833333333333334</v>
      </c>
      <c r="U106" s="121">
        <v>0.26111111111111113</v>
      </c>
      <c r="V106" s="121">
        <v>0.45069444444444445</v>
      </c>
      <c r="W106" s="22">
        <v>0.41666666666666669</v>
      </c>
      <c r="X106" s="22">
        <v>0.39166666666666666</v>
      </c>
      <c r="Y106" s="22">
        <v>0.56597222222222221</v>
      </c>
      <c r="Z106" s="22">
        <v>0.78888888888888886</v>
      </c>
      <c r="AA106" s="22">
        <v>0.18124999999999999</v>
      </c>
      <c r="AB106" s="22">
        <v>0.78125</v>
      </c>
      <c r="AC106" s="22">
        <v>0.43194444444444446</v>
      </c>
      <c r="AD106" s="22">
        <v>0.23611111111111113</v>
      </c>
      <c r="AE106" s="22">
        <v>0.70277777777777783</v>
      </c>
      <c r="AF106" s="22">
        <v>0.37986111111111115</v>
      </c>
      <c r="AG106" s="22">
        <v>0.58888888888888891</v>
      </c>
      <c r="AH106" s="215">
        <v>0.49027777777777781</v>
      </c>
      <c r="AI106" s="22">
        <v>0.42569444444444443</v>
      </c>
      <c r="AJ106" s="22">
        <v>0.63888888888888895</v>
      </c>
      <c r="AK106" s="22">
        <v>0.3520833333333333</v>
      </c>
      <c r="AL106" s="22">
        <v>0.2590277777777778</v>
      </c>
      <c r="AM106" s="22">
        <v>0.17986111111111111</v>
      </c>
      <c r="AN106" s="22">
        <v>0.50555555555555554</v>
      </c>
      <c r="AO106" s="22">
        <v>0.37708333333333338</v>
      </c>
      <c r="AP106" s="22">
        <v>0.26180555555555557</v>
      </c>
      <c r="AQ106" s="22">
        <v>0.4375</v>
      </c>
    </row>
    <row r="107" spans="1:43" ht="17.25" customHeight="1" x14ac:dyDescent="0.35">
      <c r="A107" s="169" t="s">
        <v>170</v>
      </c>
      <c r="B107" s="170" t="s">
        <v>390</v>
      </c>
      <c r="C107" s="170" t="s">
        <v>216</v>
      </c>
      <c r="D107" s="169" t="s">
        <v>68</v>
      </c>
      <c r="E107" s="169" t="s">
        <v>461</v>
      </c>
      <c r="F107" s="121">
        <v>0.5</v>
      </c>
      <c r="G107" s="195">
        <f>Table436[[#This Row],[Min Daily Hours]]*24</f>
        <v>12</v>
      </c>
      <c r="H107" s="76">
        <v>4.8</v>
      </c>
      <c r="I107" s="22">
        <f>Table4[[#This Row],[Available Hours for Service]]</f>
        <v>29.902777777781012</v>
      </c>
      <c r="J107" s="65">
        <v>8900</v>
      </c>
      <c r="K107" s="123">
        <f>Table436[[#This Row],[Min Daily Hours]]*J$199</f>
        <v>15</v>
      </c>
      <c r="L107" s="123">
        <f>SUM(Table436[[#This Row],[1]:[31]])</f>
        <v>12.779166666666669</v>
      </c>
      <c r="M107" s="121">
        <v>0.32291666666666669</v>
      </c>
      <c r="N107" s="121">
        <v>0.14583333333333334</v>
      </c>
      <c r="O107" s="121">
        <v>0.14375000000000002</v>
      </c>
      <c r="P107" s="121">
        <v>0.23333333333333331</v>
      </c>
      <c r="Q107" s="121">
        <v>0.25</v>
      </c>
      <c r="R107" s="121">
        <v>0.26527777777777778</v>
      </c>
      <c r="S107" s="121">
        <v>0.375</v>
      </c>
      <c r="T107" s="121">
        <v>0.26527777777777778</v>
      </c>
      <c r="U107" s="121">
        <v>0.375</v>
      </c>
      <c r="V107" s="121">
        <v>0.4069444444444445</v>
      </c>
      <c r="W107" s="22">
        <v>0.29166666666666669</v>
      </c>
      <c r="X107" s="22">
        <v>0.41319444444444442</v>
      </c>
      <c r="Y107" s="22">
        <v>0.5</v>
      </c>
      <c r="Z107" s="22">
        <v>0.76388888888888884</v>
      </c>
      <c r="AA107" s="22">
        <v>0.57291666666666663</v>
      </c>
      <c r="AB107" s="22">
        <v>0.63055555555555554</v>
      </c>
      <c r="AC107" s="22">
        <v>0.48125000000000001</v>
      </c>
      <c r="AD107" s="22">
        <v>0.4055555555555555</v>
      </c>
      <c r="AE107" s="22">
        <v>0.73472222222222217</v>
      </c>
      <c r="AF107" s="22">
        <v>0.31527777777777777</v>
      </c>
      <c r="AG107" s="22">
        <v>0.62777777777777777</v>
      </c>
      <c r="AH107" s="215">
        <v>0.34027777777777773</v>
      </c>
      <c r="AI107" s="22">
        <v>0.42569444444444443</v>
      </c>
      <c r="AJ107" s="22">
        <v>0.6166666666666667</v>
      </c>
      <c r="AK107" s="22">
        <v>0.3444444444444445</v>
      </c>
      <c r="AL107" s="22">
        <v>0.21249999999999999</v>
      </c>
      <c r="AM107" s="22">
        <v>0.18194444444444444</v>
      </c>
      <c r="AN107" s="22">
        <v>0.60902777777777783</v>
      </c>
      <c r="AO107" s="22">
        <v>0.47222222222222227</v>
      </c>
      <c r="AP107" s="22">
        <v>0.30555555555555552</v>
      </c>
      <c r="AQ107" s="22">
        <v>0.75069444444444444</v>
      </c>
    </row>
    <row r="108" spans="1:43" ht="17.25" customHeight="1" x14ac:dyDescent="0.35">
      <c r="A108" s="169" t="s">
        <v>176</v>
      </c>
      <c r="B108" s="170" t="s">
        <v>391</v>
      </c>
      <c r="C108" s="170" t="s">
        <v>226</v>
      </c>
      <c r="D108" s="169" t="s">
        <v>473</v>
      </c>
      <c r="E108" s="169" t="s">
        <v>461</v>
      </c>
      <c r="F108" s="121">
        <v>0.5</v>
      </c>
      <c r="G108" s="195">
        <f>Table436[[#This Row],[Min Daily Hours]]*24</f>
        <v>12</v>
      </c>
      <c r="H108" s="76">
        <v>5.8</v>
      </c>
      <c r="I108" s="22">
        <f>Table4[[#This Row],[Available Hours for Service]]</f>
        <v>30</v>
      </c>
      <c r="J108" s="65">
        <v>12650</v>
      </c>
      <c r="K108" s="123">
        <f>Table436[[#This Row],[Min Daily Hours]]*J$199</f>
        <v>15</v>
      </c>
      <c r="L108" s="123">
        <f>SUM(Table436[[#This Row],[1]:[31]])</f>
        <v>11.557638888888889</v>
      </c>
      <c r="M108" s="121">
        <v>0.3659722222222222</v>
      </c>
      <c r="N108" s="121">
        <v>5.347222222222222E-2</v>
      </c>
      <c r="O108" s="121">
        <v>0.21805555555555556</v>
      </c>
      <c r="P108" s="121">
        <v>0.23333333333333331</v>
      </c>
      <c r="Q108" s="121">
        <v>0.16666666666666666</v>
      </c>
      <c r="R108" s="121">
        <v>0.3215277777777778</v>
      </c>
      <c r="S108" s="121">
        <v>0.375</v>
      </c>
      <c r="T108" s="121">
        <v>0.3215277777777778</v>
      </c>
      <c r="U108" s="121">
        <v>0.375</v>
      </c>
      <c r="V108" s="121">
        <v>0.46875</v>
      </c>
      <c r="W108" s="22">
        <v>8.3333333333333329E-2</v>
      </c>
      <c r="X108" s="22">
        <v>0.30763888888888891</v>
      </c>
      <c r="Y108" s="22">
        <v>0.625</v>
      </c>
      <c r="Z108" s="22">
        <v>0.65138888888888891</v>
      </c>
      <c r="AA108" s="22">
        <v>0.56805555555555554</v>
      </c>
      <c r="AB108" s="22">
        <v>0.72916666666666663</v>
      </c>
      <c r="AC108" s="22">
        <v>0.36805555555555558</v>
      </c>
      <c r="AD108" s="22">
        <v>0.16666666666666666</v>
      </c>
      <c r="AE108" s="22">
        <v>0.13680555555555554</v>
      </c>
      <c r="AF108" s="22">
        <v>0.24513888888888888</v>
      </c>
      <c r="AG108" s="22">
        <v>0.5</v>
      </c>
      <c r="AH108" s="215">
        <v>0.24305555555555555</v>
      </c>
      <c r="AI108" s="22">
        <v>0.59305555555555556</v>
      </c>
      <c r="AJ108" s="22">
        <v>0.57777777777777783</v>
      </c>
      <c r="AK108" s="22">
        <v>0.42152777777777778</v>
      </c>
      <c r="AL108" s="22">
        <v>0.31111111111111112</v>
      </c>
      <c r="AM108" s="22">
        <v>0.12708333333333333</v>
      </c>
      <c r="AN108" s="22">
        <v>0.59861111111111109</v>
      </c>
      <c r="AO108" s="22">
        <v>0.3888888888888889</v>
      </c>
      <c r="AP108" s="22">
        <v>0.38819444444444445</v>
      </c>
      <c r="AQ108" s="22">
        <v>0.62777777777777777</v>
      </c>
    </row>
    <row r="109" spans="1:43" ht="17.25" customHeight="1" x14ac:dyDescent="0.35">
      <c r="A109" s="169" t="s">
        <v>176</v>
      </c>
      <c r="B109" s="170" t="s">
        <v>391</v>
      </c>
      <c r="C109" s="170" t="s">
        <v>226</v>
      </c>
      <c r="D109" s="169" t="s">
        <v>191</v>
      </c>
      <c r="E109" s="169" t="s">
        <v>461</v>
      </c>
      <c r="F109" s="121">
        <v>0.5</v>
      </c>
      <c r="G109" s="195">
        <f>Table436[[#This Row],[Min Daily Hours]]*24</f>
        <v>12</v>
      </c>
      <c r="H109" s="76">
        <v>3.7</v>
      </c>
      <c r="I109" s="22">
        <f>Table4[[#This Row],[Available Hours for Service]]</f>
        <v>28.890277777776646</v>
      </c>
      <c r="J109" s="65">
        <v>9250</v>
      </c>
      <c r="K109" s="123">
        <f>Table436[[#This Row],[Min Daily Hours]]*J$199</f>
        <v>15</v>
      </c>
      <c r="L109" s="123">
        <f>SUM(Table436[[#This Row],[1]:[31]])</f>
        <v>12.6875</v>
      </c>
      <c r="M109" s="121">
        <v>0.20833333333333334</v>
      </c>
      <c r="N109" s="121">
        <v>5.347222222222222E-2</v>
      </c>
      <c r="O109" s="121">
        <v>0.20833333333333334</v>
      </c>
      <c r="P109" s="121">
        <v>0</v>
      </c>
      <c r="Q109" s="121">
        <v>0.36736111111111108</v>
      </c>
      <c r="R109" s="121">
        <v>0.2298611111111111</v>
      </c>
      <c r="S109" s="121">
        <v>0.32222222222222224</v>
      </c>
      <c r="T109" s="121">
        <v>0.2298611111111111</v>
      </c>
      <c r="U109" s="121">
        <v>0.32222222222222224</v>
      </c>
      <c r="V109" s="121">
        <v>0.5</v>
      </c>
      <c r="W109" s="22">
        <v>0.46597222222222223</v>
      </c>
      <c r="X109" s="22">
        <v>5.9027777777777783E-2</v>
      </c>
      <c r="Y109" s="22">
        <v>0.65486111111111112</v>
      </c>
      <c r="Z109" s="22">
        <v>0.58680555555555558</v>
      </c>
      <c r="AA109" s="22">
        <v>0.66666666666666663</v>
      </c>
      <c r="AB109" s="22">
        <v>0.54166666666666663</v>
      </c>
      <c r="AC109" s="22">
        <v>0.60277777777777775</v>
      </c>
      <c r="AD109" s="22">
        <v>0.32430555555555557</v>
      </c>
      <c r="AE109" s="22">
        <v>0.8520833333333333</v>
      </c>
      <c r="AF109" s="22">
        <v>0.3611111111111111</v>
      </c>
      <c r="AG109" s="22">
        <v>0.59375</v>
      </c>
      <c r="AH109" s="215">
        <v>0.37222222222222223</v>
      </c>
      <c r="AI109" s="22">
        <v>0.43124999999999997</v>
      </c>
      <c r="AJ109" s="22">
        <v>0.67013888888888884</v>
      </c>
      <c r="AK109" s="22">
        <v>0.4291666666666667</v>
      </c>
      <c r="AL109" s="22">
        <v>0.32222222222222224</v>
      </c>
      <c r="AM109" s="22">
        <v>0.21249999999999999</v>
      </c>
      <c r="AN109" s="22">
        <v>0.45069444444444445</v>
      </c>
      <c r="AO109" s="22">
        <v>0.42986111111111108</v>
      </c>
      <c r="AP109" s="22">
        <v>0.52916666666666667</v>
      </c>
      <c r="AQ109" s="22">
        <v>0.68958333333333333</v>
      </c>
    </row>
    <row r="110" spans="1:43" ht="17.25" customHeight="1" x14ac:dyDescent="0.35">
      <c r="A110" s="169" t="s">
        <v>170</v>
      </c>
      <c r="B110" s="170" t="s">
        <v>390</v>
      </c>
      <c r="C110" s="170" t="s">
        <v>216</v>
      </c>
      <c r="D110" s="169" t="s">
        <v>71</v>
      </c>
      <c r="E110" s="169" t="s">
        <v>461</v>
      </c>
      <c r="F110" s="121">
        <v>0.5</v>
      </c>
      <c r="G110" s="195">
        <f>Table436[[#This Row],[Min Daily Hours]]*24</f>
        <v>12</v>
      </c>
      <c r="H110" s="76">
        <v>2.7</v>
      </c>
      <c r="I110" s="22">
        <f>Table4[[#This Row],[Available Hours for Service]]</f>
        <v>29.902777777773736</v>
      </c>
      <c r="J110" s="65">
        <v>7250</v>
      </c>
      <c r="K110" s="123">
        <f>Table436[[#This Row],[Min Daily Hours]]*J$199</f>
        <v>15</v>
      </c>
      <c r="L110" s="123">
        <f>SUM(Table436[[#This Row],[1]:[31]])</f>
        <v>15.146527777777779</v>
      </c>
      <c r="M110" s="121">
        <v>0.2638888888888889</v>
      </c>
      <c r="N110" s="121">
        <v>0.16666666666666666</v>
      </c>
      <c r="O110" s="121">
        <v>0.23263888888888887</v>
      </c>
      <c r="P110" s="121">
        <v>0.36249999999999999</v>
      </c>
      <c r="Q110" s="121">
        <v>0.24097222222222223</v>
      </c>
      <c r="R110" s="121">
        <v>0.40902777777777777</v>
      </c>
      <c r="S110" s="121">
        <v>0.23750000000000002</v>
      </c>
      <c r="T110" s="121">
        <v>0.40902777777777777</v>
      </c>
      <c r="U110" s="121">
        <v>0.23750000000000002</v>
      </c>
      <c r="V110" s="121">
        <v>0.6020833333333333</v>
      </c>
      <c r="W110" s="22">
        <v>0.3923611111111111</v>
      </c>
      <c r="X110" s="22">
        <v>0.47430555555555554</v>
      </c>
      <c r="Y110" s="22">
        <v>0.79999999999999993</v>
      </c>
      <c r="Z110" s="22">
        <v>0.79305555555555562</v>
      </c>
      <c r="AA110" s="22">
        <v>0.63402777777777775</v>
      </c>
      <c r="AB110" s="22">
        <v>0.64444444444444449</v>
      </c>
      <c r="AC110" s="22">
        <v>0.56944444444444442</v>
      </c>
      <c r="AD110" s="22">
        <v>0.47500000000000003</v>
      </c>
      <c r="AE110" s="22">
        <v>0.93958333333333333</v>
      </c>
      <c r="AF110" s="22">
        <v>0.55902777777777779</v>
      </c>
      <c r="AG110" s="22">
        <v>0.58680555555555558</v>
      </c>
      <c r="AH110" s="215">
        <v>0.55555555555555558</v>
      </c>
      <c r="AI110" s="22">
        <v>0.56805555555555554</v>
      </c>
      <c r="AJ110" s="22">
        <v>0.75347222222222221</v>
      </c>
      <c r="AK110" s="121">
        <v>0.3833333333333333</v>
      </c>
      <c r="AL110" s="22">
        <v>0.31041666666666667</v>
      </c>
      <c r="AM110" s="22">
        <v>0.18124999999999999</v>
      </c>
      <c r="AN110" s="22">
        <v>0.54236111111111118</v>
      </c>
      <c r="AO110" s="22">
        <v>0.54027777777777775</v>
      </c>
      <c r="AP110" s="22">
        <v>0.63611111111111118</v>
      </c>
      <c r="AQ110" s="22">
        <v>0.64583333333333337</v>
      </c>
    </row>
    <row r="111" spans="1:43" ht="17.25" customHeight="1" x14ac:dyDescent="0.35">
      <c r="A111" s="169" t="s">
        <v>170</v>
      </c>
      <c r="B111" s="170" t="s">
        <v>390</v>
      </c>
      <c r="C111" s="170" t="s">
        <v>216</v>
      </c>
      <c r="D111" s="169" t="s">
        <v>72</v>
      </c>
      <c r="E111" s="169" t="s">
        <v>461</v>
      </c>
      <c r="F111" s="121">
        <v>0.5</v>
      </c>
      <c r="G111" s="195">
        <f>Table436[[#This Row],[Min Daily Hours]]*24</f>
        <v>12</v>
      </c>
      <c r="H111" s="76">
        <v>4.9000000000000004</v>
      </c>
      <c r="I111" s="22">
        <f>Table4[[#This Row],[Available Hours for Service]]</f>
        <v>29.978472222224809</v>
      </c>
      <c r="J111" s="65">
        <v>10425</v>
      </c>
      <c r="K111" s="123">
        <f>Table436[[#This Row],[Min Daily Hours]]*J$199</f>
        <v>15</v>
      </c>
      <c r="L111" s="123">
        <f>SUM(Table436[[#This Row],[1]:[31]])</f>
        <v>14.113888888888891</v>
      </c>
      <c r="M111" s="121">
        <v>0.34861111111111115</v>
      </c>
      <c r="N111" s="121">
        <v>9.9999999999999992E-2</v>
      </c>
      <c r="O111" s="121">
        <v>0.20833333333333334</v>
      </c>
      <c r="P111" s="121">
        <v>0.25</v>
      </c>
      <c r="Q111" s="121">
        <v>0.22291666666666665</v>
      </c>
      <c r="R111" s="121">
        <v>0.29166666666666669</v>
      </c>
      <c r="S111" s="121">
        <v>0.41666666666666669</v>
      </c>
      <c r="T111" s="121">
        <v>0.29166666666666669</v>
      </c>
      <c r="U111" s="121">
        <v>0.41666666666666669</v>
      </c>
      <c r="V111" s="121">
        <v>0.45833333333333331</v>
      </c>
      <c r="W111" s="22">
        <v>0.40625</v>
      </c>
      <c r="X111" s="22">
        <v>0.36736111111111108</v>
      </c>
      <c r="Y111" s="22">
        <v>0.70833333333333337</v>
      </c>
      <c r="Z111" s="22">
        <v>0.74861111111111101</v>
      </c>
      <c r="AA111" s="22">
        <v>0.72222222222222221</v>
      </c>
      <c r="AB111" s="22">
        <v>0.58750000000000002</v>
      </c>
      <c r="AC111" s="22">
        <v>0.53749999999999998</v>
      </c>
      <c r="AD111" s="22">
        <v>0.30972222222222223</v>
      </c>
      <c r="AE111" s="22">
        <v>0.83958333333333324</v>
      </c>
      <c r="AF111" s="22">
        <v>0.40486111111111112</v>
      </c>
      <c r="AG111" s="22">
        <v>0.72916666666666663</v>
      </c>
      <c r="AH111" s="215">
        <v>0.61249999999999993</v>
      </c>
      <c r="AI111" s="22">
        <v>0.4069444444444445</v>
      </c>
      <c r="AJ111" s="22">
        <v>0.61041666666666672</v>
      </c>
      <c r="AK111" s="121">
        <v>0.42083333333333334</v>
      </c>
      <c r="AL111" s="22">
        <v>0.32569444444444445</v>
      </c>
      <c r="AM111" s="22">
        <v>0.18124999999999999</v>
      </c>
      <c r="AN111" s="22">
        <v>0.57916666666666672</v>
      </c>
      <c r="AO111" s="22">
        <v>0.37013888888888885</v>
      </c>
      <c r="AP111" s="22">
        <v>0.53333333333333333</v>
      </c>
      <c r="AQ111" s="22">
        <v>0.70763888888888893</v>
      </c>
    </row>
    <row r="112" spans="1:43" ht="17.25" customHeight="1" x14ac:dyDescent="0.35">
      <c r="A112" s="169" t="s">
        <v>170</v>
      </c>
      <c r="B112" s="170" t="s">
        <v>392</v>
      </c>
      <c r="C112" s="170" t="s">
        <v>350</v>
      </c>
      <c r="D112" s="169" t="s">
        <v>108</v>
      </c>
      <c r="E112" s="169" t="s">
        <v>457</v>
      </c>
      <c r="F112" s="121">
        <v>0.83333333333333337</v>
      </c>
      <c r="G112" s="195">
        <f>Table436[[#This Row],[Min Daily Hours]]*24</f>
        <v>20</v>
      </c>
      <c r="H112" s="76">
        <v>1.3</v>
      </c>
      <c r="I112" s="22">
        <f>Table4[[#This Row],[Available Hours for Service]]</f>
        <v>30</v>
      </c>
      <c r="J112" s="65">
        <v>6100</v>
      </c>
      <c r="K112" s="123">
        <f>Table436[[#This Row],[Min Daily Hours]]*J$199</f>
        <v>25</v>
      </c>
      <c r="L112" s="123">
        <f>SUM(Table436[[#This Row],[1]:[31]])</f>
        <v>27.714583333333337</v>
      </c>
      <c r="M112" s="121">
        <v>0.94027777777777777</v>
      </c>
      <c r="N112" s="121">
        <v>1</v>
      </c>
      <c r="O112" s="121">
        <v>0.51736111111111105</v>
      </c>
      <c r="P112" s="121">
        <v>0.97569444444444453</v>
      </c>
      <c r="Q112" s="121">
        <v>1</v>
      </c>
      <c r="R112" s="121">
        <v>1</v>
      </c>
      <c r="S112" s="121">
        <v>1</v>
      </c>
      <c r="T112" s="121">
        <v>1</v>
      </c>
      <c r="U112" s="121">
        <v>1</v>
      </c>
      <c r="V112" s="121">
        <v>1</v>
      </c>
      <c r="W112" s="22">
        <v>1</v>
      </c>
      <c r="X112" s="22">
        <v>0.98055555555555562</v>
      </c>
      <c r="Y112" s="22">
        <v>1</v>
      </c>
      <c r="Z112" s="22">
        <v>1</v>
      </c>
      <c r="AA112" s="22">
        <v>1</v>
      </c>
      <c r="AB112" s="22">
        <v>1</v>
      </c>
      <c r="AC112" s="22">
        <v>0.45069444444444445</v>
      </c>
      <c r="AD112" s="22">
        <v>0.95833333333333337</v>
      </c>
      <c r="AE112" s="22">
        <v>0.9868055555555556</v>
      </c>
      <c r="AF112" s="22">
        <v>0.60902777777777783</v>
      </c>
      <c r="AG112" s="22">
        <v>0.96319444444444446</v>
      </c>
      <c r="AH112" s="215">
        <v>0.98125000000000007</v>
      </c>
      <c r="AI112" s="22">
        <v>0.62569444444444444</v>
      </c>
      <c r="AJ112" s="22">
        <v>0.3972222222222222</v>
      </c>
      <c r="AK112" s="22">
        <v>0.95277777777777783</v>
      </c>
      <c r="AL112" s="22">
        <v>0.99513888888888891</v>
      </c>
      <c r="AM112" s="22">
        <v>0.72777777777777775</v>
      </c>
      <c r="AN112" s="22">
        <v>0.88055555555555554</v>
      </c>
      <c r="AO112" s="22">
        <v>1</v>
      </c>
      <c r="AP112" s="121">
        <v>0.77222222222222225</v>
      </c>
      <c r="AQ112" s="22">
        <v>1</v>
      </c>
    </row>
    <row r="113" spans="1:43" ht="17.25" customHeight="1" x14ac:dyDescent="0.35">
      <c r="A113" s="169" t="s">
        <v>170</v>
      </c>
      <c r="B113" s="170" t="s">
        <v>392</v>
      </c>
      <c r="C113" s="170" t="s">
        <v>350</v>
      </c>
      <c r="D113" s="169" t="s">
        <v>474</v>
      </c>
      <c r="E113" s="169" t="s">
        <v>457</v>
      </c>
      <c r="F113" s="121">
        <v>0.83333333333333337</v>
      </c>
      <c r="G113" s="195">
        <f>Table436[[#This Row],[Min Daily Hours]]*24</f>
        <v>20</v>
      </c>
      <c r="H113" s="76">
        <v>4.4000000000000004</v>
      </c>
      <c r="I113" s="22">
        <f>Table4[[#This Row],[Available Hours for Service]]</f>
        <v>30</v>
      </c>
      <c r="J113" s="65">
        <v>13450</v>
      </c>
      <c r="K113" s="123">
        <f>Table436[[#This Row],[Min Daily Hours]]*J$199</f>
        <v>25</v>
      </c>
      <c r="L113" s="123">
        <f>SUM(Table436[[#This Row],[1]:[31]])</f>
        <v>27.3</v>
      </c>
      <c r="M113" s="121">
        <v>0.875</v>
      </c>
      <c r="N113" s="121">
        <v>1</v>
      </c>
      <c r="O113" s="121">
        <v>0.51041666666666663</v>
      </c>
      <c r="P113" s="121">
        <v>0.97569444444444453</v>
      </c>
      <c r="Q113" s="121">
        <v>1</v>
      </c>
      <c r="R113" s="121">
        <v>1</v>
      </c>
      <c r="S113" s="121">
        <v>0.98958333333333337</v>
      </c>
      <c r="T113" s="121">
        <v>1</v>
      </c>
      <c r="U113" s="121">
        <v>1</v>
      </c>
      <c r="V113" s="121">
        <v>1</v>
      </c>
      <c r="W113" s="22">
        <v>1</v>
      </c>
      <c r="X113" s="22">
        <v>1</v>
      </c>
      <c r="Y113" s="22">
        <v>1</v>
      </c>
      <c r="Z113" s="22">
        <v>1</v>
      </c>
      <c r="AA113" s="22">
        <v>1</v>
      </c>
      <c r="AB113" s="22">
        <v>1</v>
      </c>
      <c r="AC113" s="22">
        <v>0.45069444444444445</v>
      </c>
      <c r="AD113" s="22">
        <v>0.95833333333333337</v>
      </c>
      <c r="AE113" s="22">
        <v>0.98125000000000007</v>
      </c>
      <c r="AF113" s="22">
        <v>0.31875000000000003</v>
      </c>
      <c r="AG113" s="22">
        <v>0.96319444444444446</v>
      </c>
      <c r="AH113" s="215">
        <v>0.93819444444444444</v>
      </c>
      <c r="AI113" s="121">
        <v>0.62569444444444444</v>
      </c>
      <c r="AJ113" s="22">
        <v>0.3972222222222222</v>
      </c>
      <c r="AK113" s="22">
        <v>0.95277777777777783</v>
      </c>
      <c r="AL113" s="22">
        <v>0.99513888888888891</v>
      </c>
      <c r="AM113" s="22">
        <v>0.72777777777777775</v>
      </c>
      <c r="AN113" s="22">
        <v>0.88055555555555554</v>
      </c>
      <c r="AO113" s="22">
        <v>1</v>
      </c>
      <c r="AP113" s="121">
        <v>0.77222222222222225</v>
      </c>
      <c r="AQ113" s="121">
        <v>0.98749999999999993</v>
      </c>
    </row>
    <row r="114" spans="1:43" ht="17.25" customHeight="1" x14ac:dyDescent="0.35">
      <c r="A114" s="169" t="s">
        <v>172</v>
      </c>
      <c r="B114" s="170" t="s">
        <v>392</v>
      </c>
      <c r="C114" s="170" t="s">
        <v>220</v>
      </c>
      <c r="D114" s="169" t="s">
        <v>109</v>
      </c>
      <c r="E114" s="169" t="s">
        <v>461</v>
      </c>
      <c r="F114" s="121">
        <v>0.5</v>
      </c>
      <c r="G114" s="195">
        <f>Table436[[#This Row],[Min Daily Hours]]*24</f>
        <v>12</v>
      </c>
      <c r="H114" s="76">
        <v>3.7</v>
      </c>
      <c r="I114" s="22">
        <f>Table4[[#This Row],[Available Hours for Service]]</f>
        <v>29.843055555560568</v>
      </c>
      <c r="J114" s="65">
        <v>7950</v>
      </c>
      <c r="K114" s="123">
        <f>Table436[[#This Row],[Min Daily Hours]]*J$199</f>
        <v>15</v>
      </c>
      <c r="L114" s="123">
        <f>SUM(Table436[[#This Row],[1]:[31]])</f>
        <v>17.149305555555557</v>
      </c>
      <c r="M114" s="121">
        <v>0.4055555555555555</v>
      </c>
      <c r="N114" s="121">
        <v>0.8666666666666667</v>
      </c>
      <c r="O114" s="121">
        <v>0.51041666666666663</v>
      </c>
      <c r="P114" s="121">
        <v>0.47500000000000003</v>
      </c>
      <c r="Q114" s="121">
        <v>0.47916666666666669</v>
      </c>
      <c r="R114" s="121">
        <v>0.625</v>
      </c>
      <c r="S114" s="121">
        <v>0.4777777777777778</v>
      </c>
      <c r="T114" s="121">
        <v>0.4375</v>
      </c>
      <c r="U114" s="121">
        <v>0.75</v>
      </c>
      <c r="V114" s="121">
        <v>1</v>
      </c>
      <c r="W114" s="22">
        <v>0.91666666666666663</v>
      </c>
      <c r="X114" s="22">
        <v>1</v>
      </c>
      <c r="Y114" s="22">
        <v>0.60416666666666663</v>
      </c>
      <c r="Z114" s="22">
        <v>0.48055555555555557</v>
      </c>
      <c r="AA114" s="22">
        <v>0.41319444444444442</v>
      </c>
      <c r="AB114" s="22">
        <v>0.41388888888888892</v>
      </c>
      <c r="AC114" s="22">
        <v>0.35555555555555557</v>
      </c>
      <c r="AD114" s="22">
        <v>0.52083333333333337</v>
      </c>
      <c r="AE114" s="22">
        <v>0.61319444444444449</v>
      </c>
      <c r="AF114" s="22">
        <v>0.60902777777777783</v>
      </c>
      <c r="AG114" s="22">
        <v>0.51250000000000007</v>
      </c>
      <c r="AH114" s="215">
        <v>0.48333333333333334</v>
      </c>
      <c r="AI114" s="22">
        <v>0.48472222222222222</v>
      </c>
      <c r="AJ114" s="22">
        <v>0.3354166666666667</v>
      </c>
      <c r="AK114" s="22">
        <v>0.51874999999999993</v>
      </c>
      <c r="AL114" s="22">
        <v>0.53541666666666665</v>
      </c>
      <c r="AM114" s="22">
        <v>0.3125</v>
      </c>
      <c r="AN114" s="22">
        <v>0.45208333333333334</v>
      </c>
      <c r="AO114" s="22">
        <v>0.47013888888888888</v>
      </c>
      <c r="AP114" s="22">
        <v>0.40833333333333338</v>
      </c>
      <c r="AQ114" s="22">
        <v>0.68194444444444446</v>
      </c>
    </row>
    <row r="115" spans="1:43" ht="17.25" customHeight="1" x14ac:dyDescent="0.35">
      <c r="A115" s="169" t="s">
        <v>172</v>
      </c>
      <c r="B115" s="170" t="s">
        <v>393</v>
      </c>
      <c r="C115" s="170" t="s">
        <v>220</v>
      </c>
      <c r="D115" s="169" t="s">
        <v>494</v>
      </c>
      <c r="E115" s="169"/>
      <c r="F115" s="121">
        <v>0.83333333333333337</v>
      </c>
      <c r="G115" s="195">
        <f>Table436[[#This Row],[Min Daily Hours]]*24</f>
        <v>20</v>
      </c>
      <c r="H115" s="76">
        <v>2.7</v>
      </c>
      <c r="I115" s="22">
        <f>Table4[[#This Row],[Available Hours for Service]]</f>
        <v>30</v>
      </c>
      <c r="J115" s="65">
        <v>5500</v>
      </c>
      <c r="K115" s="123">
        <f>Table436[[#This Row],[Min Daily Hours]]*J$199</f>
        <v>25</v>
      </c>
      <c r="L115" s="123">
        <f>SUM(Table436[[#This Row],[1]:[31]])</f>
        <v>27.417361111111109</v>
      </c>
      <c r="M115" s="215">
        <v>0.92569444444444438</v>
      </c>
      <c r="N115" s="121">
        <v>0.77986111111111101</v>
      </c>
      <c r="O115" s="121">
        <v>1</v>
      </c>
      <c r="P115" s="121">
        <v>0.5</v>
      </c>
      <c r="Q115" s="121">
        <v>1</v>
      </c>
      <c r="R115" s="121">
        <v>1</v>
      </c>
      <c r="S115" s="121">
        <v>0.56527777777777777</v>
      </c>
      <c r="T115" s="121">
        <v>1</v>
      </c>
      <c r="U115" s="121">
        <v>1</v>
      </c>
      <c r="V115" s="121">
        <v>1</v>
      </c>
      <c r="W115" s="22">
        <v>0.98749999999999993</v>
      </c>
      <c r="X115" s="22">
        <v>0.875</v>
      </c>
      <c r="Y115" s="22">
        <v>1</v>
      </c>
      <c r="Z115" s="22">
        <v>0.95972222222222225</v>
      </c>
      <c r="AA115" s="22">
        <v>0.85277777777777775</v>
      </c>
      <c r="AB115" s="22">
        <v>1</v>
      </c>
      <c r="AC115" s="22">
        <v>0.84652777777777777</v>
      </c>
      <c r="AD115" s="22">
        <v>0.875</v>
      </c>
      <c r="AE115" s="22">
        <v>0.92083333333333339</v>
      </c>
      <c r="AF115" s="22">
        <v>0.54305555555555551</v>
      </c>
      <c r="AG115" s="22">
        <v>0.93611111111111101</v>
      </c>
      <c r="AH115" s="215">
        <v>0.5756944444444444</v>
      </c>
      <c r="AI115" s="22">
        <v>0.58472222222222225</v>
      </c>
      <c r="AJ115" s="22">
        <v>1</v>
      </c>
      <c r="AK115" s="22">
        <v>0.9194444444444444</v>
      </c>
      <c r="AL115" s="22">
        <v>0.98749999999999993</v>
      </c>
      <c r="AM115" s="22">
        <v>0.98958333333333337</v>
      </c>
      <c r="AN115" s="22">
        <v>1</v>
      </c>
      <c r="AO115" s="22">
        <v>0.8965277777777777</v>
      </c>
      <c r="AP115" s="22">
        <v>0.8965277777777777</v>
      </c>
      <c r="AQ115" s="22">
        <v>1</v>
      </c>
    </row>
    <row r="116" spans="1:43" ht="17.25" customHeight="1" x14ac:dyDescent="0.35">
      <c r="A116" s="169" t="s">
        <v>172</v>
      </c>
      <c r="B116" s="170" t="s">
        <v>394</v>
      </c>
      <c r="C116" s="170" t="s">
        <v>220</v>
      </c>
      <c r="D116" s="169" t="s">
        <v>107</v>
      </c>
      <c r="E116" s="169" t="s">
        <v>461</v>
      </c>
      <c r="F116" s="121">
        <v>0.5</v>
      </c>
      <c r="G116" s="195">
        <f>Table436[[#This Row],[Min Daily Hours]]*24</f>
        <v>12</v>
      </c>
      <c r="H116" s="76">
        <v>2.9</v>
      </c>
      <c r="I116" s="22">
        <f>Table4[[#This Row],[Available Hours for Service]]</f>
        <v>29.88749999999709</v>
      </c>
      <c r="J116" s="65">
        <v>5800</v>
      </c>
      <c r="K116" s="123">
        <f>Table436[[#This Row],[Min Daily Hours]]*J$199</f>
        <v>15</v>
      </c>
      <c r="L116" s="123">
        <f>SUM(Table436[[#This Row],[1]:[31]])</f>
        <v>23.302083333333329</v>
      </c>
      <c r="M116" s="121">
        <v>0.625</v>
      </c>
      <c r="N116" s="121">
        <v>0.5</v>
      </c>
      <c r="O116" s="121">
        <v>1</v>
      </c>
      <c r="P116" s="121">
        <v>0.27916666666666667</v>
      </c>
      <c r="Q116" s="121">
        <v>0.52638888888888891</v>
      </c>
      <c r="R116" s="121">
        <v>0.66666666666666663</v>
      </c>
      <c r="S116" s="121">
        <v>0.30902777777777779</v>
      </c>
      <c r="T116" s="121">
        <v>0.73402777777777783</v>
      </c>
      <c r="U116" s="121">
        <v>1</v>
      </c>
      <c r="V116" s="121">
        <v>1</v>
      </c>
      <c r="W116" s="22">
        <v>0.98749999999999993</v>
      </c>
      <c r="X116" s="22">
        <v>0.875</v>
      </c>
      <c r="Y116" s="22">
        <v>0.91666666666666663</v>
      </c>
      <c r="Z116" s="22">
        <v>0.4909722222222222</v>
      </c>
      <c r="AA116" s="22">
        <v>0.7729166666666667</v>
      </c>
      <c r="AB116" s="22">
        <v>0.99305555555555547</v>
      </c>
      <c r="AC116" s="22">
        <v>0.84652777777777777</v>
      </c>
      <c r="AD116" s="22">
        <v>0.49027777777777781</v>
      </c>
      <c r="AE116" s="22">
        <v>0.89930555555555547</v>
      </c>
      <c r="AF116" s="22">
        <v>0.54166666666666663</v>
      </c>
      <c r="AG116" s="22">
        <v>0.93611111111111101</v>
      </c>
      <c r="AH116" s="215">
        <v>0.5756944444444444</v>
      </c>
      <c r="AI116" s="22">
        <v>0.58472222222222225</v>
      </c>
      <c r="AJ116" s="22">
        <v>0.90555555555555556</v>
      </c>
      <c r="AK116" s="22">
        <v>0.7895833333333333</v>
      </c>
      <c r="AL116" s="22">
        <v>0.7631944444444444</v>
      </c>
      <c r="AM116" s="22">
        <v>0.72083333333333333</v>
      </c>
      <c r="AN116" s="22">
        <v>0.88888888888888884</v>
      </c>
      <c r="AO116" s="22">
        <v>0.84166666666666667</v>
      </c>
      <c r="AP116" s="22">
        <v>0.84166666666666667</v>
      </c>
      <c r="AQ116" s="22">
        <v>1</v>
      </c>
    </row>
    <row r="117" spans="1:43" ht="17.25" customHeight="1" x14ac:dyDescent="0.35">
      <c r="A117" s="169" t="s">
        <v>172</v>
      </c>
      <c r="B117" s="170" t="s">
        <v>395</v>
      </c>
      <c r="C117" s="170" t="s">
        <v>218</v>
      </c>
      <c r="D117" s="169" t="s">
        <v>106</v>
      </c>
      <c r="E117" s="169" t="s">
        <v>457</v>
      </c>
      <c r="F117" s="121">
        <v>0.83333333333333337</v>
      </c>
      <c r="G117" s="195">
        <f>Table436[[#This Row],[Min Daily Hours]]*24</f>
        <v>20</v>
      </c>
      <c r="H117" s="76">
        <v>3</v>
      </c>
      <c r="I117" s="22">
        <f>Table4[[#This Row],[Available Hours for Service]]</f>
        <v>30</v>
      </c>
      <c r="J117" s="65">
        <v>7000</v>
      </c>
      <c r="K117" s="123">
        <f>Table436[[#This Row],[Min Daily Hours]]*J$199</f>
        <v>25</v>
      </c>
      <c r="L117" s="123">
        <f>SUM(Table436[[#This Row],[1]:[31]])</f>
        <v>23.020138888888887</v>
      </c>
      <c r="M117" s="121">
        <v>0.4916666666666667</v>
      </c>
      <c r="N117" s="121">
        <v>0.64583333333333337</v>
      </c>
      <c r="O117" s="121">
        <v>0.7993055555555556</v>
      </c>
      <c r="P117" s="121">
        <v>0.85416666666666663</v>
      </c>
      <c r="Q117" s="121">
        <v>0.63194444444444442</v>
      </c>
      <c r="R117" s="121">
        <v>0.98958333333333337</v>
      </c>
      <c r="S117" s="121">
        <v>0.98958333333333337</v>
      </c>
      <c r="T117" s="121">
        <v>0.94444444444444453</v>
      </c>
      <c r="U117" s="121">
        <v>0.875</v>
      </c>
      <c r="V117" s="121">
        <v>0.86388888888888893</v>
      </c>
      <c r="W117" s="22">
        <v>0.93888888888888899</v>
      </c>
      <c r="X117" s="22">
        <v>0.85416666666666663</v>
      </c>
      <c r="Y117" s="22">
        <v>0.9902777777777777</v>
      </c>
      <c r="Z117" s="22">
        <v>0.94097222222222221</v>
      </c>
      <c r="AA117" s="22">
        <v>0.85069444444444453</v>
      </c>
      <c r="AB117" s="22">
        <v>1</v>
      </c>
      <c r="AC117" s="22">
        <v>0.6875</v>
      </c>
      <c r="AD117" s="22">
        <v>0.22222222222222221</v>
      </c>
      <c r="AE117" s="22">
        <v>0.89583333333333337</v>
      </c>
      <c r="AF117" s="22">
        <v>0.51388888888888895</v>
      </c>
      <c r="AG117" s="22">
        <v>0.95833333333333337</v>
      </c>
      <c r="AH117" s="215">
        <v>0.28055555555555556</v>
      </c>
      <c r="AI117" s="22">
        <v>0.21527777777777779</v>
      </c>
      <c r="AJ117" s="22">
        <v>0.92222222222222217</v>
      </c>
      <c r="AK117" s="22">
        <v>0.63888888888888895</v>
      </c>
      <c r="AL117" s="22">
        <v>0.77708333333333324</v>
      </c>
      <c r="AM117" s="22">
        <v>0.72986111111111107</v>
      </c>
      <c r="AN117" s="22">
        <v>0.35416666666666669</v>
      </c>
      <c r="AO117" s="22">
        <v>0.94861111111111107</v>
      </c>
      <c r="AP117" s="22">
        <v>0.84027777777777779</v>
      </c>
      <c r="AQ117" s="22">
        <v>0.375</v>
      </c>
    </row>
    <row r="118" spans="1:43" ht="17.25" customHeight="1" x14ac:dyDescent="0.35">
      <c r="A118" s="169" t="s">
        <v>172</v>
      </c>
      <c r="B118" s="170" t="s">
        <v>396</v>
      </c>
      <c r="C118" s="170" t="s">
        <v>218</v>
      </c>
      <c r="D118" s="169" t="s">
        <v>110</v>
      </c>
      <c r="E118" s="169" t="s">
        <v>461</v>
      </c>
      <c r="F118" s="121">
        <v>0.5</v>
      </c>
      <c r="G118" s="195">
        <f>Table436[[#This Row],[Min Daily Hours]]*24</f>
        <v>12</v>
      </c>
      <c r="H118" s="76">
        <v>2.4</v>
      </c>
      <c r="I118" s="22">
        <f>Table4[[#This Row],[Available Hours for Service]]</f>
        <v>29.168055555550382</v>
      </c>
      <c r="J118" s="65">
        <v>11000</v>
      </c>
      <c r="K118" s="123">
        <f>Table436[[#This Row],[Min Daily Hours]]*J$199</f>
        <v>15</v>
      </c>
      <c r="L118" s="123">
        <f>SUM(Table436[[#This Row],[1]:[31]])</f>
        <v>15.514583333333336</v>
      </c>
      <c r="M118" s="121">
        <v>0.52083333333333337</v>
      </c>
      <c r="N118" s="121">
        <v>0.25972222222222224</v>
      </c>
      <c r="O118" s="121">
        <v>0.29166666666666669</v>
      </c>
      <c r="P118" s="121">
        <v>0.39583333333333331</v>
      </c>
      <c r="Q118" s="121">
        <v>0.33333333333333331</v>
      </c>
      <c r="R118" s="121">
        <v>0.25</v>
      </c>
      <c r="S118" s="121">
        <v>0.41666666666666669</v>
      </c>
      <c r="T118" s="121">
        <v>0.375</v>
      </c>
      <c r="U118" s="121">
        <v>0.375</v>
      </c>
      <c r="V118" s="121">
        <v>0.45833333333333331</v>
      </c>
      <c r="W118" s="22">
        <v>0.64652777777777781</v>
      </c>
      <c r="X118" s="22">
        <v>0.7402777777777777</v>
      </c>
      <c r="Y118" s="22">
        <v>0.90694444444444444</v>
      </c>
      <c r="Z118" s="22">
        <v>0.5854166666666667</v>
      </c>
      <c r="AA118" s="22">
        <v>0.37152777777777773</v>
      </c>
      <c r="AB118" s="22">
        <v>0.6875</v>
      </c>
      <c r="AC118" s="22">
        <v>0.75347222222222221</v>
      </c>
      <c r="AD118" s="22">
        <v>0.3347222222222222</v>
      </c>
      <c r="AE118" s="22">
        <v>0.84375</v>
      </c>
      <c r="AF118" s="22">
        <v>0.54513888888888895</v>
      </c>
      <c r="AG118" s="22">
        <v>0.66388888888888886</v>
      </c>
      <c r="AH118" s="215">
        <v>0.25625000000000003</v>
      </c>
      <c r="AI118" s="22">
        <v>0.11597222222222221</v>
      </c>
      <c r="AJ118" s="22">
        <v>0.89374999999999993</v>
      </c>
      <c r="AK118" s="22">
        <v>0.34722222222222227</v>
      </c>
      <c r="AL118" s="22">
        <v>0.60763888888888895</v>
      </c>
      <c r="AM118" s="22">
        <v>0.29930555555555555</v>
      </c>
      <c r="AN118" s="22">
        <v>0.22569444444444445</v>
      </c>
      <c r="AO118" s="22">
        <v>0.69652777777777775</v>
      </c>
      <c r="AP118" s="22">
        <v>0.50763888888888886</v>
      </c>
      <c r="AQ118" s="22">
        <v>0.80902777777777779</v>
      </c>
    </row>
    <row r="119" spans="1:43" ht="17.25" customHeight="1" x14ac:dyDescent="0.35">
      <c r="A119" s="169" t="s">
        <v>172</v>
      </c>
      <c r="B119" s="170" t="s">
        <v>396</v>
      </c>
      <c r="C119" s="170" t="s">
        <v>218</v>
      </c>
      <c r="D119" s="169" t="s">
        <v>111</v>
      </c>
      <c r="E119" s="169" t="s">
        <v>458</v>
      </c>
      <c r="F119" s="121">
        <v>0.66666666666666663</v>
      </c>
      <c r="G119" s="195">
        <f>Table436[[#This Row],[Min Daily Hours]]*24</f>
        <v>16</v>
      </c>
      <c r="H119" s="76">
        <v>1.5</v>
      </c>
      <c r="I119" s="22">
        <f>Table4[[#This Row],[Available Hours for Service]]</f>
        <v>30</v>
      </c>
      <c r="J119" s="65">
        <v>5000</v>
      </c>
      <c r="K119" s="123">
        <f>Table436[[#This Row],[Min Daily Hours]]*J$199</f>
        <v>20</v>
      </c>
      <c r="L119" s="123">
        <f>SUM(Table436[[#This Row],[1]:[31]])</f>
        <v>16.953472222222224</v>
      </c>
      <c r="M119" s="121">
        <v>0.59722222222222221</v>
      </c>
      <c r="N119" s="121">
        <v>0.23958333333333334</v>
      </c>
      <c r="O119" s="121">
        <v>0.33333333333333331</v>
      </c>
      <c r="P119" s="121">
        <v>0.39583333333333331</v>
      </c>
      <c r="Q119" s="121">
        <v>0.36458333333333331</v>
      </c>
      <c r="R119" s="121">
        <v>0.38472222222222219</v>
      </c>
      <c r="S119" s="121">
        <v>0.13472222222222222</v>
      </c>
      <c r="T119" s="121">
        <v>0.53055555555555556</v>
      </c>
      <c r="U119" s="121">
        <v>0.35833333333333334</v>
      </c>
      <c r="V119" s="121">
        <v>0.5625</v>
      </c>
      <c r="W119" s="22">
        <v>0.57500000000000007</v>
      </c>
      <c r="X119" s="22">
        <v>0.8652777777777777</v>
      </c>
      <c r="Y119" s="22">
        <v>0.90694444444444444</v>
      </c>
      <c r="Z119" s="22">
        <v>0.62708333333333333</v>
      </c>
      <c r="AA119" s="22">
        <v>0.37361111111111112</v>
      </c>
      <c r="AB119" s="22">
        <v>0.76388888888888884</v>
      </c>
      <c r="AC119" s="22">
        <v>0.75347222222222221</v>
      </c>
      <c r="AD119" s="22">
        <v>0.45416666666666666</v>
      </c>
      <c r="AE119" s="22">
        <v>0.84027777777777779</v>
      </c>
      <c r="AF119" s="22">
        <v>0.42986111111111108</v>
      </c>
      <c r="AG119" s="22">
        <v>0.69930555555555562</v>
      </c>
      <c r="AH119" s="215">
        <v>0.37777777777777777</v>
      </c>
      <c r="AI119" s="22">
        <v>0.51597222222222217</v>
      </c>
      <c r="AJ119" s="22">
        <v>0.89374999999999993</v>
      </c>
      <c r="AK119" s="22">
        <v>0.4201388888888889</v>
      </c>
      <c r="AL119" s="22">
        <v>0.63541666666666663</v>
      </c>
      <c r="AM119" s="22">
        <v>0.41736111111111113</v>
      </c>
      <c r="AN119" s="22">
        <v>0.27083333333333331</v>
      </c>
      <c r="AO119" s="22">
        <v>0.66180555555555554</v>
      </c>
      <c r="AP119" s="22">
        <v>0.6743055555555556</v>
      </c>
      <c r="AQ119" s="22">
        <v>0.89583333333333337</v>
      </c>
    </row>
    <row r="120" spans="1:43" ht="17.25" customHeight="1" x14ac:dyDescent="0.35">
      <c r="A120" s="169" t="s">
        <v>172</v>
      </c>
      <c r="B120" s="170" t="s">
        <v>411</v>
      </c>
      <c r="C120" s="170" t="s">
        <v>219</v>
      </c>
      <c r="D120" s="169" t="s">
        <v>143</v>
      </c>
      <c r="E120" s="169" t="s">
        <v>461</v>
      </c>
      <c r="F120" s="121">
        <v>0.5</v>
      </c>
      <c r="G120" s="195">
        <f>Table436[[#This Row],[Min Daily Hours]]*24</f>
        <v>12</v>
      </c>
      <c r="H120" s="76">
        <v>0.2</v>
      </c>
      <c r="I120" s="22">
        <f>Table4[[#This Row],[Available Hours for Service]]</f>
        <v>30</v>
      </c>
      <c r="J120" s="65">
        <v>2550</v>
      </c>
      <c r="K120" s="123">
        <f>Table436[[#This Row],[Min Daily Hours]]*J$199</f>
        <v>15</v>
      </c>
      <c r="L120" s="123">
        <f>SUM(Table436[[#This Row],[1]:[31]])</f>
        <v>6.9673611111111091</v>
      </c>
      <c r="M120" s="121">
        <v>0.19236111111111112</v>
      </c>
      <c r="N120" s="121">
        <v>0.32500000000000001</v>
      </c>
      <c r="O120" s="121">
        <v>0.20486111111111113</v>
      </c>
      <c r="P120" s="121">
        <v>0.31458333333333333</v>
      </c>
      <c r="Q120" s="121">
        <v>0.4916666666666667</v>
      </c>
      <c r="R120" s="121">
        <v>0</v>
      </c>
      <c r="S120" s="121">
        <v>0</v>
      </c>
      <c r="T120" s="121">
        <v>0</v>
      </c>
      <c r="U120" s="121">
        <v>0</v>
      </c>
      <c r="V120" s="121">
        <v>0</v>
      </c>
      <c r="W120" s="22">
        <v>0</v>
      </c>
      <c r="X120" s="22">
        <v>0</v>
      </c>
      <c r="Y120" s="22">
        <v>0</v>
      </c>
      <c r="Z120" s="22">
        <v>0</v>
      </c>
      <c r="AA120" s="22">
        <v>0</v>
      </c>
      <c r="AB120" s="22">
        <v>0.45</v>
      </c>
      <c r="AC120" s="22">
        <v>0.25277777777777777</v>
      </c>
      <c r="AD120" s="22">
        <v>0.22083333333333333</v>
      </c>
      <c r="AE120" s="22">
        <v>0.1673611111111111</v>
      </c>
      <c r="AF120" s="22">
        <v>0</v>
      </c>
      <c r="AG120" s="22">
        <v>0.55972222222222223</v>
      </c>
      <c r="AH120" s="215">
        <v>0.27638888888888885</v>
      </c>
      <c r="AI120" s="22">
        <v>0.1986111111111111</v>
      </c>
      <c r="AJ120" s="22">
        <v>0.70833333333333337</v>
      </c>
      <c r="AK120" s="22">
        <v>0.20833333333333334</v>
      </c>
      <c r="AL120" s="22">
        <v>0.30416666666666664</v>
      </c>
      <c r="AM120" s="22">
        <v>0.27291666666666664</v>
      </c>
      <c r="AN120" s="22">
        <v>0.35902777777777778</v>
      </c>
      <c r="AO120" s="22">
        <v>0.30555555555555552</v>
      </c>
      <c r="AP120" s="22">
        <v>0.34027777777777773</v>
      </c>
      <c r="AQ120" s="22">
        <v>0.81458333333333333</v>
      </c>
    </row>
    <row r="121" spans="1:43" ht="17.25" customHeight="1" x14ac:dyDescent="0.35">
      <c r="A121" s="169" t="s">
        <v>172</v>
      </c>
      <c r="B121" s="170" t="s">
        <v>411</v>
      </c>
      <c r="C121" s="170" t="s">
        <v>219</v>
      </c>
      <c r="D121" s="169" t="s">
        <v>144</v>
      </c>
      <c r="E121" s="169" t="s">
        <v>459</v>
      </c>
      <c r="F121" s="121">
        <v>0.16666666666666666</v>
      </c>
      <c r="G121" s="195">
        <f>Table436[[#This Row],[Min Daily Hours]]*24</f>
        <v>4</v>
      </c>
      <c r="H121" s="76">
        <v>1.6</v>
      </c>
      <c r="I121" s="22">
        <f>Table4[[#This Row],[Available Hours for Service]]</f>
        <v>30</v>
      </c>
      <c r="J121" s="65">
        <v>4250</v>
      </c>
      <c r="K121" s="123">
        <f>Table436[[#This Row],[Min Daily Hours]]*J$199</f>
        <v>5</v>
      </c>
      <c r="L121" s="123">
        <f>SUM(Table436[[#This Row],[1]:[31]])</f>
        <v>5.5041666666666664</v>
      </c>
      <c r="M121" s="121">
        <v>0.1125</v>
      </c>
      <c r="N121" s="121">
        <v>0.32500000000000001</v>
      </c>
      <c r="O121" s="121">
        <v>0.20486111111111113</v>
      </c>
      <c r="P121" s="121">
        <v>0.31458333333333333</v>
      </c>
      <c r="Q121" s="121">
        <v>0.4916666666666667</v>
      </c>
      <c r="R121" s="121">
        <v>0</v>
      </c>
      <c r="S121" s="121">
        <v>0</v>
      </c>
      <c r="T121" s="121">
        <v>0</v>
      </c>
      <c r="U121" s="121">
        <v>0</v>
      </c>
      <c r="V121" s="121">
        <v>0</v>
      </c>
      <c r="W121" s="22">
        <v>0</v>
      </c>
      <c r="X121" s="22">
        <v>0</v>
      </c>
      <c r="Y121" s="22">
        <v>0</v>
      </c>
      <c r="Z121" s="22">
        <v>0</v>
      </c>
      <c r="AA121" s="22">
        <v>0</v>
      </c>
      <c r="AB121" s="22">
        <v>0.45</v>
      </c>
      <c r="AC121" s="22">
        <v>0.25277777777777777</v>
      </c>
      <c r="AD121" s="22">
        <v>0.22083333333333333</v>
      </c>
      <c r="AE121" s="22">
        <v>0.1673611111111111</v>
      </c>
      <c r="AF121" s="22">
        <v>0</v>
      </c>
      <c r="AG121" s="22">
        <v>0.41250000000000003</v>
      </c>
      <c r="AH121" s="215">
        <v>0.24166666666666667</v>
      </c>
      <c r="AI121" s="121">
        <v>0.10069444444444443</v>
      </c>
      <c r="AJ121" s="121">
        <v>0.25</v>
      </c>
      <c r="AK121" s="22">
        <v>0.20833333333333334</v>
      </c>
      <c r="AL121" s="22">
        <v>0.30416666666666664</v>
      </c>
      <c r="AM121" s="22">
        <v>0.27291666666666664</v>
      </c>
      <c r="AN121" s="22">
        <v>0.33194444444444443</v>
      </c>
      <c r="AO121" s="121">
        <v>0.30555555555555552</v>
      </c>
      <c r="AP121" s="121">
        <v>0.1875</v>
      </c>
      <c r="AQ121" s="121">
        <v>0.34930555555555554</v>
      </c>
    </row>
    <row r="122" spans="1:43" ht="17.25" customHeight="1" x14ac:dyDescent="0.35">
      <c r="A122" s="169" t="s">
        <v>171</v>
      </c>
      <c r="B122" s="170" t="s">
        <v>397</v>
      </c>
      <c r="C122" s="170" t="s">
        <v>257</v>
      </c>
      <c r="D122" s="169" t="s">
        <v>60</v>
      </c>
      <c r="E122" s="169" t="s">
        <v>457</v>
      </c>
      <c r="F122" s="121">
        <v>0.83333333333333337</v>
      </c>
      <c r="G122" s="195">
        <f>Table436[[#This Row],[Min Daily Hours]]*24</f>
        <v>20</v>
      </c>
      <c r="H122" s="76">
        <v>4.5</v>
      </c>
      <c r="I122" s="22">
        <f>Table4[[#This Row],[Available Hours for Service]]</f>
        <v>28.749305555553292</v>
      </c>
      <c r="J122" s="65">
        <v>24375</v>
      </c>
      <c r="K122" s="123">
        <f>Table436[[#This Row],[Min Daily Hours]]*J$199</f>
        <v>25</v>
      </c>
      <c r="L122" s="123">
        <f>SUM(Table436[[#This Row],[1]:[31]])</f>
        <v>21.036111111111111</v>
      </c>
      <c r="M122" s="121">
        <v>0.73611111111111116</v>
      </c>
      <c r="N122" s="121">
        <v>0.61805555555555558</v>
      </c>
      <c r="O122" s="121">
        <v>0.4826388888888889</v>
      </c>
      <c r="P122" s="121">
        <v>0.7006944444444444</v>
      </c>
      <c r="Q122" s="121">
        <v>0.53472222222222221</v>
      </c>
      <c r="R122" s="121">
        <v>0.54166666666666663</v>
      </c>
      <c r="S122" s="121">
        <v>0.4861111111111111</v>
      </c>
      <c r="T122" s="121">
        <v>0.64930555555555558</v>
      </c>
      <c r="U122" s="121">
        <v>0.76250000000000007</v>
      </c>
      <c r="V122" s="121">
        <v>0.93125000000000002</v>
      </c>
      <c r="W122" s="22">
        <v>1</v>
      </c>
      <c r="X122" s="22">
        <v>0.63958333333333328</v>
      </c>
      <c r="Y122" s="22">
        <v>0.52083333333333337</v>
      </c>
      <c r="Z122" s="22">
        <v>0.8125</v>
      </c>
      <c r="AA122" s="22">
        <v>0.85555555555555562</v>
      </c>
      <c r="AB122" s="22">
        <v>0.72916666666666663</v>
      </c>
      <c r="AC122" s="22">
        <v>0.65277777777777779</v>
      </c>
      <c r="AD122" s="22">
        <v>0.3659722222222222</v>
      </c>
      <c r="AE122" s="22">
        <v>0.96527777777777779</v>
      </c>
      <c r="AF122" s="22">
        <v>0.45277777777777778</v>
      </c>
      <c r="AG122" s="22">
        <v>0.64374999999999993</v>
      </c>
      <c r="AH122" s="215">
        <v>0.85416666666666663</v>
      </c>
      <c r="AI122" s="22">
        <v>0.57638888888888895</v>
      </c>
      <c r="AJ122" s="22">
        <v>0.47013888888888888</v>
      </c>
      <c r="AK122" s="22">
        <v>0.75763888888888886</v>
      </c>
      <c r="AL122" s="22">
        <v>0.59722222222222221</v>
      </c>
      <c r="AM122" s="22">
        <v>0.52222222222222225</v>
      </c>
      <c r="AN122" s="22">
        <v>0.84166666666666667</v>
      </c>
      <c r="AO122" s="22">
        <v>0.78472222222222221</v>
      </c>
      <c r="AP122" s="22">
        <v>0.68958333333333333</v>
      </c>
      <c r="AQ122" s="22">
        <v>0.86111111111111116</v>
      </c>
    </row>
    <row r="123" spans="1:43" ht="17.25" customHeight="1" x14ac:dyDescent="0.35">
      <c r="A123" s="169" t="s">
        <v>171</v>
      </c>
      <c r="B123" s="170" t="s">
        <v>397</v>
      </c>
      <c r="C123" s="170" t="s">
        <v>443</v>
      </c>
      <c r="D123" s="169" t="s">
        <v>61</v>
      </c>
      <c r="E123" s="169" t="s">
        <v>458</v>
      </c>
      <c r="F123" s="121">
        <v>0.66666666666666663</v>
      </c>
      <c r="G123" s="195">
        <f>Table436[[#This Row],[Min Daily Hours]]*24</f>
        <v>16</v>
      </c>
      <c r="H123" s="76">
        <v>2.7</v>
      </c>
      <c r="I123" s="22">
        <f>Table4[[#This Row],[Available Hours for Service]]</f>
        <v>44813.756944444445</v>
      </c>
      <c r="J123" s="65">
        <v>13050</v>
      </c>
      <c r="K123" s="123">
        <f>Table436[[#This Row],[Min Daily Hours]]*J$199</f>
        <v>20</v>
      </c>
      <c r="L123" s="123">
        <f>SUM(Table436[[#This Row],[1]:[31]])</f>
        <v>19.354861111111106</v>
      </c>
      <c r="M123" s="121">
        <v>0.65972222222222221</v>
      </c>
      <c r="N123" s="121">
        <v>0.5</v>
      </c>
      <c r="O123" s="121">
        <v>0.54166666666666663</v>
      </c>
      <c r="P123" s="121">
        <v>0.70833333333333337</v>
      </c>
      <c r="Q123" s="121">
        <v>0.52083333333333337</v>
      </c>
      <c r="R123" s="121">
        <v>0.61527777777777781</v>
      </c>
      <c r="S123" s="121">
        <v>0.375</v>
      </c>
      <c r="T123" s="121">
        <v>0.375</v>
      </c>
      <c r="U123" s="121">
        <v>0.69097222222222221</v>
      </c>
      <c r="V123" s="121">
        <v>0.93125000000000002</v>
      </c>
      <c r="W123" s="22">
        <v>0.77777777777777779</v>
      </c>
      <c r="X123" s="22">
        <v>0.72986111111111107</v>
      </c>
      <c r="Y123" s="22">
        <v>0.42569444444444443</v>
      </c>
      <c r="Z123" s="22">
        <v>0.80972222222222223</v>
      </c>
      <c r="AA123" s="22">
        <v>0.7402777777777777</v>
      </c>
      <c r="AB123" s="22">
        <v>0.72222222222222221</v>
      </c>
      <c r="AC123" s="22">
        <v>0.65138888888888891</v>
      </c>
      <c r="AD123" s="22">
        <v>0.52916666666666667</v>
      </c>
      <c r="AE123" s="22">
        <v>0.76388888888888884</v>
      </c>
      <c r="AF123" s="22">
        <v>0.28472222222222221</v>
      </c>
      <c r="AG123" s="22">
        <v>0.7055555555555556</v>
      </c>
      <c r="AH123" s="215">
        <v>0.96180555555555547</v>
      </c>
      <c r="AI123" s="22">
        <v>0.47847222222222219</v>
      </c>
      <c r="AJ123" s="22">
        <v>0.65763888888888888</v>
      </c>
      <c r="AK123" s="22">
        <v>0.52083333333333337</v>
      </c>
      <c r="AL123" s="22">
        <v>0.51736111111111105</v>
      </c>
      <c r="AM123" s="22">
        <v>0.55625000000000002</v>
      </c>
      <c r="AN123" s="22">
        <v>0.76458333333333339</v>
      </c>
      <c r="AO123" s="22">
        <v>0.4548611111111111</v>
      </c>
      <c r="AP123" s="22">
        <v>0.59652777777777777</v>
      </c>
      <c r="AQ123" s="22">
        <v>0.78819444444444453</v>
      </c>
    </row>
    <row r="124" spans="1:43" ht="17.25" customHeight="1" x14ac:dyDescent="0.35">
      <c r="A124" s="169" t="s">
        <v>171</v>
      </c>
      <c r="B124" s="170" t="s">
        <v>397</v>
      </c>
      <c r="C124" s="170" t="s">
        <v>443</v>
      </c>
      <c r="D124" s="169" t="s">
        <v>64</v>
      </c>
      <c r="E124" s="169" t="s">
        <v>458</v>
      </c>
      <c r="F124" s="121">
        <v>0.66666666666666663</v>
      </c>
      <c r="G124" s="195">
        <f>Table436[[#This Row],[Min Daily Hours]]*24</f>
        <v>16</v>
      </c>
      <c r="H124" s="76">
        <v>3.7</v>
      </c>
      <c r="I124" s="22">
        <f>Table4[[#This Row],[Available Hours for Service]]</f>
        <v>29.229166666671517</v>
      </c>
      <c r="J124" s="65">
        <v>9150</v>
      </c>
      <c r="K124" s="123">
        <f>Table436[[#This Row],[Min Daily Hours]]*J$199</f>
        <v>20</v>
      </c>
      <c r="L124" s="123">
        <f>SUM(Table436[[#This Row],[1]:[31]])</f>
        <v>21.27708333333333</v>
      </c>
      <c r="M124" s="121">
        <v>0.73263888888888884</v>
      </c>
      <c r="N124" s="121">
        <v>0.72777777777777775</v>
      </c>
      <c r="O124" s="121">
        <v>0.43194444444444446</v>
      </c>
      <c r="P124" s="121">
        <v>0.60277777777777775</v>
      </c>
      <c r="Q124" s="121">
        <v>0.58333333333333337</v>
      </c>
      <c r="R124" s="121">
        <v>0.73819444444444438</v>
      </c>
      <c r="S124" s="121">
        <v>0.4375</v>
      </c>
      <c r="T124" s="121">
        <v>0.6791666666666667</v>
      </c>
      <c r="U124" s="121">
        <v>0.76458333333333339</v>
      </c>
      <c r="V124" s="121">
        <v>0.93125000000000002</v>
      </c>
      <c r="W124" s="22">
        <v>0.95138888888888884</v>
      </c>
      <c r="X124" s="22">
        <v>0.625</v>
      </c>
      <c r="Y124" s="22">
        <v>0.63888888888888895</v>
      </c>
      <c r="Z124" s="22">
        <v>0.82638888888888884</v>
      </c>
      <c r="AA124" s="22">
        <v>0.87777777777777777</v>
      </c>
      <c r="AB124" s="22">
        <v>0.96527777777777779</v>
      </c>
      <c r="AC124" s="22">
        <v>0.82777777777777783</v>
      </c>
      <c r="AD124" s="22">
        <v>0.50347222222222221</v>
      </c>
      <c r="AE124" s="22">
        <v>0.85416666666666663</v>
      </c>
      <c r="AF124" s="22">
        <v>0.40972222222222227</v>
      </c>
      <c r="AG124" s="22">
        <v>0.71388888888888891</v>
      </c>
      <c r="AH124" s="215">
        <v>0.84722222222222221</v>
      </c>
      <c r="AI124" s="22">
        <v>0.51736111111111105</v>
      </c>
      <c r="AJ124" s="22">
        <v>0.55902777777777779</v>
      </c>
      <c r="AK124" s="22">
        <v>0.56944444444444442</v>
      </c>
      <c r="AL124" s="22">
        <v>0.44444444444444442</v>
      </c>
      <c r="AM124" s="22">
        <v>0.50902777777777775</v>
      </c>
      <c r="AN124" s="22">
        <v>0.60277777777777775</v>
      </c>
      <c r="AO124" s="22">
        <v>0.77777777777777779</v>
      </c>
      <c r="AP124" s="22">
        <v>0.7270833333333333</v>
      </c>
      <c r="AQ124" s="22">
        <v>0.9</v>
      </c>
    </row>
    <row r="125" spans="1:43" ht="17.25" customHeight="1" x14ac:dyDescent="0.35">
      <c r="A125" s="169" t="s">
        <v>171</v>
      </c>
      <c r="B125" s="170" t="s">
        <v>398</v>
      </c>
      <c r="C125" s="170" t="s">
        <v>257</v>
      </c>
      <c r="D125" s="169" t="s">
        <v>62</v>
      </c>
      <c r="E125" s="169" t="s">
        <v>457</v>
      </c>
      <c r="F125" s="121">
        <v>0.83333333333333337</v>
      </c>
      <c r="G125" s="195">
        <f>Table436[[#This Row],[Min Daily Hours]]*24</f>
        <v>20</v>
      </c>
      <c r="H125" s="76">
        <v>4.3</v>
      </c>
      <c r="I125" s="22">
        <f>Table4[[#This Row],[Available Hours for Service]]</f>
        <v>-30.73194444445835</v>
      </c>
      <c r="J125" s="65">
        <v>18350</v>
      </c>
      <c r="K125" s="123">
        <f>Table436[[#This Row],[Min Daily Hours]]*J$199</f>
        <v>25</v>
      </c>
      <c r="L125" s="123">
        <f>SUM(Table436[[#This Row],[1]:[31]])</f>
        <v>20.327777777777779</v>
      </c>
      <c r="M125" s="121">
        <v>0.72361111111111109</v>
      </c>
      <c r="N125" s="121">
        <v>0.375</v>
      </c>
      <c r="O125" s="121">
        <v>0.4770833333333333</v>
      </c>
      <c r="P125" s="121">
        <v>0.72222222222222221</v>
      </c>
      <c r="Q125" s="121">
        <v>0.80555555555555547</v>
      </c>
      <c r="R125" s="121">
        <v>0.38472222222222219</v>
      </c>
      <c r="S125" s="121">
        <v>0.55694444444444446</v>
      </c>
      <c r="T125" s="121">
        <v>0.80208333333333337</v>
      </c>
      <c r="U125" s="121">
        <v>0.91666666666666663</v>
      </c>
      <c r="V125" s="121">
        <v>0.96805555555555556</v>
      </c>
      <c r="W125" s="22">
        <v>0.73472222222222217</v>
      </c>
      <c r="X125" s="22">
        <v>0.75</v>
      </c>
      <c r="Y125" s="22">
        <v>1</v>
      </c>
      <c r="Z125" s="22">
        <v>0.3263888888888889</v>
      </c>
      <c r="AA125" s="22">
        <v>0.76180555555555562</v>
      </c>
      <c r="AB125" s="22">
        <v>0.93055555555555547</v>
      </c>
      <c r="AC125" s="22">
        <v>0.90416666666666667</v>
      </c>
      <c r="AD125" s="22">
        <v>0.40208333333333335</v>
      </c>
      <c r="AE125" s="22">
        <v>0.88055555555555554</v>
      </c>
      <c r="AF125" s="22">
        <v>0.60416666666666663</v>
      </c>
      <c r="AG125" s="22">
        <v>0.50208333333333333</v>
      </c>
      <c r="AH125" s="215">
        <v>0.64583333333333337</v>
      </c>
      <c r="AI125" s="22">
        <v>0.47916666666666669</v>
      </c>
      <c r="AJ125" s="22">
        <v>0.4680555555555555</v>
      </c>
      <c r="AK125" s="22">
        <v>0.48749999999999999</v>
      </c>
      <c r="AL125" s="22">
        <v>0.73472222222222217</v>
      </c>
      <c r="AM125" s="22">
        <v>0.26180555555555557</v>
      </c>
      <c r="AN125" s="22">
        <v>0.49236111111111108</v>
      </c>
      <c r="AO125" s="22">
        <v>0.60277777777777775</v>
      </c>
      <c r="AP125" s="22">
        <v>0.73819444444444438</v>
      </c>
      <c r="AQ125" s="22">
        <v>0.88888888888888884</v>
      </c>
    </row>
    <row r="126" spans="1:43" ht="17.25" customHeight="1" x14ac:dyDescent="0.35">
      <c r="A126" s="169" t="s">
        <v>171</v>
      </c>
      <c r="B126" s="170" t="s">
        <v>398</v>
      </c>
      <c r="C126" s="170" t="s">
        <v>257</v>
      </c>
      <c r="D126" s="169" t="s">
        <v>63</v>
      </c>
      <c r="E126" s="169" t="s">
        <v>457</v>
      </c>
      <c r="F126" s="121">
        <v>0.83333333333333337</v>
      </c>
      <c r="G126" s="195">
        <f>Table436[[#This Row],[Min Daily Hours]]*24</f>
        <v>20</v>
      </c>
      <c r="H126" s="76">
        <v>4.5</v>
      </c>
      <c r="I126" s="22">
        <f>Table4[[#This Row],[Available Hours for Service]]</f>
        <v>29.75277777777228</v>
      </c>
      <c r="J126" s="65">
        <v>18025</v>
      </c>
      <c r="K126" s="123">
        <f>Table436[[#This Row],[Min Daily Hours]]*J$199</f>
        <v>25</v>
      </c>
      <c r="L126" s="123">
        <f>SUM(Table436[[#This Row],[1]:[31]])</f>
        <v>23.222222222222214</v>
      </c>
      <c r="M126" s="121">
        <v>0.68263888888888891</v>
      </c>
      <c r="N126" s="121">
        <v>0.69097222222222221</v>
      </c>
      <c r="O126" s="121">
        <v>0.66666666666666663</v>
      </c>
      <c r="P126" s="121">
        <v>0.72222222222222221</v>
      </c>
      <c r="Q126" s="121">
        <v>0.80555555555555547</v>
      </c>
      <c r="R126" s="121">
        <v>0.58333333333333337</v>
      </c>
      <c r="S126" s="121">
        <v>0.55694444444444446</v>
      </c>
      <c r="T126" s="121">
        <v>0.77083333333333337</v>
      </c>
      <c r="U126" s="121">
        <v>0.82430555555555562</v>
      </c>
      <c r="V126" s="121">
        <v>0.96805555555555556</v>
      </c>
      <c r="W126" s="22">
        <v>1</v>
      </c>
      <c r="X126" s="22">
        <v>0.54166666666666663</v>
      </c>
      <c r="Y126" s="22">
        <v>0.43055555555555558</v>
      </c>
      <c r="Z126" s="22">
        <v>0.8125</v>
      </c>
      <c r="AA126" s="22">
        <v>0.86944444444444446</v>
      </c>
      <c r="AB126" s="22">
        <v>0.80555555555555547</v>
      </c>
      <c r="AC126" s="22">
        <v>0.89444444444444438</v>
      </c>
      <c r="AD126" s="22">
        <v>0.59444444444444444</v>
      </c>
      <c r="AE126" s="22">
        <v>0.96180555555555547</v>
      </c>
      <c r="AF126" s="22">
        <v>0.60416666666666663</v>
      </c>
      <c r="AG126" s="22">
        <v>0.69930555555555562</v>
      </c>
      <c r="AH126" s="215">
        <v>0.96180555555555547</v>
      </c>
      <c r="AI126" s="22">
        <v>0.5805555555555556</v>
      </c>
      <c r="AJ126" s="22">
        <v>0.75347222222222221</v>
      </c>
      <c r="AK126" s="22">
        <v>0.75347222222222221</v>
      </c>
      <c r="AL126" s="22">
        <v>0.64583333333333337</v>
      </c>
      <c r="AM126" s="22">
        <v>0.61944444444444446</v>
      </c>
      <c r="AN126" s="22">
        <v>0.96250000000000002</v>
      </c>
      <c r="AO126" s="22">
        <v>0.76388888888888884</v>
      </c>
      <c r="AP126" s="22">
        <v>0.84444444444444444</v>
      </c>
      <c r="AQ126" s="22">
        <v>0.85138888888888886</v>
      </c>
    </row>
    <row r="127" spans="1:43" ht="17.25" customHeight="1" x14ac:dyDescent="0.35">
      <c r="A127" s="169" t="s">
        <v>171</v>
      </c>
      <c r="B127" s="170" t="s">
        <v>399</v>
      </c>
      <c r="C127" s="170" t="s">
        <v>221</v>
      </c>
      <c r="D127" s="169" t="s">
        <v>476</v>
      </c>
      <c r="E127" s="169" t="s">
        <v>458</v>
      </c>
      <c r="F127" s="121">
        <v>0.66666666666666663</v>
      </c>
      <c r="G127" s="195">
        <f>Table436[[#This Row],[Min Daily Hours]]*24</f>
        <v>16</v>
      </c>
      <c r="H127" s="76">
        <v>3.7</v>
      </c>
      <c r="I127" s="22">
        <f>Table4[[#This Row],[Available Hours for Service]]</f>
        <v>30</v>
      </c>
      <c r="J127" s="65">
        <v>10950</v>
      </c>
      <c r="K127" s="123">
        <f>Table436[[#This Row],[Min Daily Hours]]*J$199</f>
        <v>20</v>
      </c>
      <c r="L127" s="123">
        <f>SUM(Table436[[#This Row],[1]:[31]])</f>
        <v>14.052083333333332</v>
      </c>
      <c r="M127" s="121">
        <v>0.74652777777777779</v>
      </c>
      <c r="N127" s="121">
        <v>0.44444444444444442</v>
      </c>
      <c r="O127" s="121">
        <v>0.20833333333333334</v>
      </c>
      <c r="P127" s="121">
        <v>0.45069444444444445</v>
      </c>
      <c r="Q127" s="121">
        <v>0.54166666666666663</v>
      </c>
      <c r="R127" s="121">
        <v>0.34791666666666665</v>
      </c>
      <c r="S127" s="121">
        <v>0.47222222222222227</v>
      </c>
      <c r="T127" s="121">
        <v>0.28472222222222221</v>
      </c>
      <c r="U127" s="121">
        <v>0.41666666666666669</v>
      </c>
      <c r="V127" s="121">
        <v>0.41666666666666669</v>
      </c>
      <c r="W127" s="22">
        <v>0.72430555555555554</v>
      </c>
      <c r="X127" s="22">
        <v>0.40416666666666662</v>
      </c>
      <c r="Y127" s="22">
        <v>0.22222222222222221</v>
      </c>
      <c r="Z127" s="22">
        <v>0.81111111111111101</v>
      </c>
      <c r="AA127" s="22">
        <v>0.46388888888888885</v>
      </c>
      <c r="AB127" s="22">
        <v>0.54027777777777775</v>
      </c>
      <c r="AC127" s="22">
        <v>0.53680555555555554</v>
      </c>
      <c r="AD127" s="22">
        <v>0.34513888888888888</v>
      </c>
      <c r="AE127" s="22">
        <v>0.83958333333333324</v>
      </c>
      <c r="AF127" s="22">
        <v>0.23611111111111113</v>
      </c>
      <c r="AG127" s="22">
        <v>0.72361111111111109</v>
      </c>
      <c r="AH127" s="215">
        <v>0.47916666666666669</v>
      </c>
      <c r="AI127" s="22">
        <v>0.20138888888888887</v>
      </c>
      <c r="AJ127" s="22">
        <v>0.4770833333333333</v>
      </c>
      <c r="AK127" s="22">
        <v>0.43055555555555558</v>
      </c>
      <c r="AL127" s="22">
        <v>0.42499999999999999</v>
      </c>
      <c r="AM127" s="22">
        <v>0.26805555555555555</v>
      </c>
      <c r="AN127" s="22">
        <v>0.27916666666666667</v>
      </c>
      <c r="AO127" s="22">
        <v>0.44444444444444442</v>
      </c>
      <c r="AP127" s="22">
        <v>0.55208333333333337</v>
      </c>
      <c r="AQ127" s="22">
        <v>0.31805555555555554</v>
      </c>
    </row>
    <row r="128" spans="1:43" ht="17.25" customHeight="1" x14ac:dyDescent="0.35">
      <c r="A128" s="169" t="s">
        <v>171</v>
      </c>
      <c r="B128" s="170" t="s">
        <v>399</v>
      </c>
      <c r="C128" s="170" t="s">
        <v>443</v>
      </c>
      <c r="D128" s="169" t="s">
        <v>65</v>
      </c>
      <c r="E128" s="169" t="s">
        <v>461</v>
      </c>
      <c r="F128" s="121">
        <v>0.5</v>
      </c>
      <c r="G128" s="195">
        <f>Table436[[#This Row],[Min Daily Hours]]*24</f>
        <v>12</v>
      </c>
      <c r="H128" s="76">
        <v>3.7</v>
      </c>
      <c r="I128" s="22">
        <f>Table4[[#This Row],[Available Hours for Service]]</f>
        <v>29.328472222216078</v>
      </c>
      <c r="J128" s="65">
        <v>10474</v>
      </c>
      <c r="K128" s="123">
        <f>Table436[[#This Row],[Min Daily Hours]]*J$199</f>
        <v>15</v>
      </c>
      <c r="L128" s="123">
        <f>SUM(Table436[[#This Row],[1]:[31]])</f>
        <v>13.280555555555551</v>
      </c>
      <c r="M128" s="121">
        <v>0.20555555555555557</v>
      </c>
      <c r="N128" s="121">
        <v>0.5</v>
      </c>
      <c r="O128" s="121">
        <v>0.22708333333333333</v>
      </c>
      <c r="P128" s="121">
        <v>0.3125</v>
      </c>
      <c r="Q128" s="121">
        <v>0.51388888888888895</v>
      </c>
      <c r="R128" s="121">
        <v>0.22569444444444445</v>
      </c>
      <c r="S128" s="121">
        <v>0.31388888888888888</v>
      </c>
      <c r="T128" s="121">
        <v>0.21944444444444444</v>
      </c>
      <c r="U128" s="121">
        <v>0.45833333333333331</v>
      </c>
      <c r="V128" s="121">
        <v>0.96805555555555556</v>
      </c>
      <c r="W128" s="22">
        <v>0.69097222222222221</v>
      </c>
      <c r="X128" s="22">
        <v>0.5</v>
      </c>
      <c r="Y128" s="22">
        <v>0.30555555555555552</v>
      </c>
      <c r="Z128" s="22">
        <v>0.61111111111111105</v>
      </c>
      <c r="AA128" s="22">
        <v>0.53333333333333333</v>
      </c>
      <c r="AB128" s="22">
        <v>0.59722222222222221</v>
      </c>
      <c r="AC128" s="22">
        <v>0.63750000000000007</v>
      </c>
      <c r="AD128" s="22">
        <v>0.22222222222222221</v>
      </c>
      <c r="AE128" s="22">
        <v>0.61805555555555558</v>
      </c>
      <c r="AF128" s="22">
        <v>0.35416666666666669</v>
      </c>
      <c r="AG128" s="22">
        <v>0.3979166666666667</v>
      </c>
      <c r="AH128" s="215">
        <v>0.47916666666666669</v>
      </c>
      <c r="AI128" s="22">
        <v>0.40972222222222227</v>
      </c>
      <c r="AJ128" s="22">
        <v>0.43888888888888888</v>
      </c>
      <c r="AK128" s="22">
        <v>0.35416666666666669</v>
      </c>
      <c r="AL128" s="22">
        <v>0.42708333333333331</v>
      </c>
      <c r="AM128" s="22">
        <v>0.31388888888888888</v>
      </c>
      <c r="AN128" s="22">
        <v>0.32013888888888892</v>
      </c>
      <c r="AO128" s="22">
        <v>0.43055555555555558</v>
      </c>
      <c r="AP128" s="22">
        <v>0.36944444444444446</v>
      </c>
      <c r="AQ128" s="22">
        <v>0.32500000000000001</v>
      </c>
    </row>
    <row r="129" spans="1:43" ht="17.25" customHeight="1" x14ac:dyDescent="0.35">
      <c r="A129" s="169" t="s">
        <v>171</v>
      </c>
      <c r="B129" s="170" t="s">
        <v>400</v>
      </c>
      <c r="C129" s="170" t="s">
        <v>257</v>
      </c>
      <c r="D129" s="169" t="s">
        <v>66</v>
      </c>
      <c r="E129" s="169" t="s">
        <v>457</v>
      </c>
      <c r="F129" s="121">
        <v>0.83333333333333337</v>
      </c>
      <c r="G129" s="195">
        <f>Table436[[#This Row],[Min Daily Hours]]*24</f>
        <v>20</v>
      </c>
      <c r="H129" s="76">
        <v>0.9</v>
      </c>
      <c r="I129" s="22">
        <f>Table4[[#This Row],[Available Hours for Service]]</f>
        <v>29.402777777781012</v>
      </c>
      <c r="J129" s="65">
        <v>10440</v>
      </c>
      <c r="K129" s="123">
        <f>Table436[[#This Row],[Min Daily Hours]]*J$199</f>
        <v>25</v>
      </c>
      <c r="L129" s="123">
        <f>SUM(Table436[[#This Row],[1]:[31]])</f>
        <v>23.481249999999999</v>
      </c>
      <c r="M129" s="121">
        <v>0.83333333333333337</v>
      </c>
      <c r="N129" s="121">
        <v>0.87083333333333324</v>
      </c>
      <c r="O129" s="121">
        <v>0.91666666666666663</v>
      </c>
      <c r="P129" s="121">
        <v>0.81319444444444444</v>
      </c>
      <c r="Q129" s="121">
        <v>0.66666666666666663</v>
      </c>
      <c r="R129" s="121">
        <v>0.80694444444444446</v>
      </c>
      <c r="S129" s="121">
        <v>0.4861111111111111</v>
      </c>
      <c r="T129" s="121">
        <v>0.54166666666666663</v>
      </c>
      <c r="U129" s="121">
        <v>0.44166666666666665</v>
      </c>
      <c r="V129" s="121">
        <v>0.91666666666666663</v>
      </c>
      <c r="W129" s="22">
        <v>0.875</v>
      </c>
      <c r="X129" s="22">
        <v>0.7680555555555556</v>
      </c>
      <c r="Y129" s="22">
        <v>0.9819444444444444</v>
      </c>
      <c r="Z129" s="22">
        <v>0.75347222222222221</v>
      </c>
      <c r="AA129" s="22">
        <v>0.96597222222222223</v>
      </c>
      <c r="AB129" s="22">
        <v>0.80972222222222223</v>
      </c>
      <c r="AC129" s="22">
        <v>0.57152777777777775</v>
      </c>
      <c r="AD129" s="22">
        <v>8.3333333333333329E-2</v>
      </c>
      <c r="AE129" s="22">
        <v>0.96458333333333324</v>
      </c>
      <c r="AF129" s="22">
        <v>0.65833333333333333</v>
      </c>
      <c r="AG129" s="22">
        <v>0.90625</v>
      </c>
      <c r="AH129" s="215">
        <v>0.8652777777777777</v>
      </c>
      <c r="AI129" s="22">
        <v>0.59583333333333333</v>
      </c>
      <c r="AJ129" s="22">
        <v>0.77638888888888891</v>
      </c>
      <c r="AK129" s="22">
        <v>0.99097222222222225</v>
      </c>
      <c r="AL129" s="22">
        <v>0.49305555555555558</v>
      </c>
      <c r="AM129" s="22">
        <v>0.80763888888888891</v>
      </c>
      <c r="AN129" s="22">
        <v>0.9868055555555556</v>
      </c>
      <c r="AO129" s="22">
        <v>0.9590277777777777</v>
      </c>
      <c r="AP129" s="22">
        <v>0.72777777777777775</v>
      </c>
      <c r="AQ129" s="22">
        <v>0.64652777777777781</v>
      </c>
    </row>
    <row r="130" spans="1:43" ht="17.25" customHeight="1" x14ac:dyDescent="0.35">
      <c r="A130" s="169" t="s">
        <v>176</v>
      </c>
      <c r="B130" s="170" t="s">
        <v>401</v>
      </c>
      <c r="C130" s="170" t="s">
        <v>226</v>
      </c>
      <c r="D130" s="169" t="s">
        <v>67</v>
      </c>
      <c r="E130" s="169" t="s">
        <v>457</v>
      </c>
      <c r="F130" s="121">
        <v>0.83333333333333337</v>
      </c>
      <c r="G130" s="195">
        <f>Table436[[#This Row],[Min Daily Hours]]*24</f>
        <v>20</v>
      </c>
      <c r="H130" s="76">
        <v>0.4</v>
      </c>
      <c r="I130" s="22">
        <f>Table4[[#This Row],[Available Hours for Service]]</f>
        <v>44814.061111111114</v>
      </c>
      <c r="J130" s="65">
        <v>17900</v>
      </c>
      <c r="K130" s="123">
        <f>Table436[[#This Row],[Min Daily Hours]]*J$199</f>
        <v>25</v>
      </c>
      <c r="L130" s="123">
        <f>SUM(Table436[[#This Row],[1]:[31]])</f>
        <v>18.915277777777778</v>
      </c>
      <c r="M130" s="121">
        <v>0.39930555555555558</v>
      </c>
      <c r="N130" s="121">
        <v>0.70833333333333337</v>
      </c>
      <c r="O130" s="121">
        <v>0.91666666666666663</v>
      </c>
      <c r="P130" s="121">
        <v>0.375</v>
      </c>
      <c r="Q130" s="121">
        <v>0.64583333333333337</v>
      </c>
      <c r="R130" s="121">
        <v>0.68055555555555547</v>
      </c>
      <c r="S130" s="121">
        <v>0.2590277777777778</v>
      </c>
      <c r="T130" s="121">
        <v>0.89722222222222225</v>
      </c>
      <c r="U130" s="121">
        <v>0.41666666666666669</v>
      </c>
      <c r="V130" s="121">
        <v>0.91666666666666663</v>
      </c>
      <c r="W130" s="22">
        <v>0.875</v>
      </c>
      <c r="X130" s="22">
        <v>0.52222222222222225</v>
      </c>
      <c r="Y130" s="22">
        <v>0.68472222222222223</v>
      </c>
      <c r="Z130" s="22">
        <v>0.21180555555555555</v>
      </c>
      <c r="AA130" s="22">
        <v>0.3659722222222222</v>
      </c>
      <c r="AB130" s="22">
        <v>0.22500000000000001</v>
      </c>
      <c r="AC130" s="22">
        <v>0.55138888888888882</v>
      </c>
      <c r="AD130" s="22">
        <v>3.1944444444444449E-2</v>
      </c>
      <c r="AE130" s="22">
        <v>0.52916666666666667</v>
      </c>
      <c r="AF130" s="22">
        <v>0.65138888888888891</v>
      </c>
      <c r="AG130" s="22">
        <v>0.90625</v>
      </c>
      <c r="AH130" s="215">
        <v>0.85416666666666663</v>
      </c>
      <c r="AI130" s="22">
        <v>0.59583333333333333</v>
      </c>
      <c r="AJ130" s="22">
        <v>0.88263888888888886</v>
      </c>
      <c r="AK130" s="22">
        <v>0.99097222222222225</v>
      </c>
      <c r="AL130" s="22">
        <v>0.38958333333333334</v>
      </c>
      <c r="AM130" s="22">
        <v>0.72291666666666676</v>
      </c>
      <c r="AN130" s="22">
        <v>0.35833333333333334</v>
      </c>
      <c r="AO130" s="22">
        <v>0.74305555555555547</v>
      </c>
      <c r="AP130" s="22">
        <v>0.90416666666666667</v>
      </c>
      <c r="AQ130" s="22">
        <v>0.70347222222222217</v>
      </c>
    </row>
    <row r="131" spans="1:43" ht="17.25" customHeight="1" x14ac:dyDescent="0.35">
      <c r="A131" s="169" t="s">
        <v>176</v>
      </c>
      <c r="B131" s="170" t="s">
        <v>404</v>
      </c>
      <c r="C131" s="170" t="s">
        <v>226</v>
      </c>
      <c r="D131" s="169" t="s">
        <v>99</v>
      </c>
      <c r="E131" s="169" t="s">
        <v>458</v>
      </c>
      <c r="F131" s="121">
        <v>0.66666666666666663</v>
      </c>
      <c r="G131" s="195">
        <f>Table436[[#This Row],[Min Daily Hours]]*24</f>
        <v>16</v>
      </c>
      <c r="H131" s="76">
        <v>1.7</v>
      </c>
      <c r="I131" s="22">
        <f>Table4[[#This Row],[Available Hours for Service]]</f>
        <v>29.770833333335759</v>
      </c>
      <c r="J131" s="65">
        <v>3700</v>
      </c>
      <c r="K131" s="123">
        <f>Table436[[#This Row],[Min Daily Hours]]*J$199</f>
        <v>20</v>
      </c>
      <c r="L131" s="123">
        <f>SUM(Table436[[#This Row],[1]:[31]])</f>
        <v>14.560138888888886</v>
      </c>
      <c r="M131" s="121">
        <v>0.17847222222222223</v>
      </c>
      <c r="N131" s="121">
        <v>1</v>
      </c>
      <c r="O131" s="121">
        <v>0.69861111111111107</v>
      </c>
      <c r="P131" s="121">
        <v>0.19305555555555554</v>
      </c>
      <c r="Q131" s="121">
        <v>0.24166666666666667</v>
      </c>
      <c r="R131" s="121">
        <v>0.35069444444444442</v>
      </c>
      <c r="S131" s="121">
        <v>0.50902777777777775</v>
      </c>
      <c r="T131" s="121">
        <v>0.60625000000000007</v>
      </c>
      <c r="U131" s="121">
        <v>0.75</v>
      </c>
      <c r="V131" s="121">
        <v>0.64722222222222225</v>
      </c>
      <c r="W131" s="22">
        <v>0.34375</v>
      </c>
      <c r="X131" s="22">
        <v>0.68055555555555547</v>
      </c>
      <c r="Y131" s="22">
        <v>0.45833333333333331</v>
      </c>
      <c r="Z131" s="22">
        <v>0.65347222222222223</v>
      </c>
      <c r="AA131" s="22">
        <v>0.76388888888888884</v>
      </c>
      <c r="AB131" s="22">
        <v>0.35000000000000003</v>
      </c>
      <c r="AC131" s="22">
        <v>0.10208333333333335</v>
      </c>
      <c r="AD131" s="22">
        <v>0.26944444444444443</v>
      </c>
      <c r="AE131" s="22">
        <v>1</v>
      </c>
      <c r="AF131" s="22">
        <v>0.10694444444444444</v>
      </c>
      <c r="AG131" s="22">
        <v>0.2902777777777778</v>
      </c>
      <c r="AH131" s="215">
        <v>0.14027777777777778</v>
      </c>
      <c r="AI131" s="22">
        <v>0.34</v>
      </c>
      <c r="AJ131" s="22">
        <v>0.64236111111111105</v>
      </c>
      <c r="AK131" s="22">
        <v>0.44791666666666669</v>
      </c>
      <c r="AL131" s="22">
        <v>0.88680555555555562</v>
      </c>
      <c r="AM131" s="22">
        <v>0.75138888888888899</v>
      </c>
      <c r="AN131" s="22">
        <v>0.34652777777777777</v>
      </c>
      <c r="AO131" s="22">
        <v>0.13541666666666666</v>
      </c>
      <c r="AP131" s="22">
        <v>0.34236111111111112</v>
      </c>
      <c r="AQ131" s="22">
        <v>0.33333333333333331</v>
      </c>
    </row>
    <row r="132" spans="1:43" ht="17.25" customHeight="1" x14ac:dyDescent="0.35">
      <c r="A132" s="169" t="s">
        <v>176</v>
      </c>
      <c r="B132" s="170" t="s">
        <v>404</v>
      </c>
      <c r="C132" s="170" t="s">
        <v>226</v>
      </c>
      <c r="D132" s="169" t="s">
        <v>101</v>
      </c>
      <c r="E132" s="169" t="s">
        <v>461</v>
      </c>
      <c r="F132" s="121">
        <v>0.5</v>
      </c>
      <c r="G132" s="195">
        <f>Table436[[#This Row],[Min Daily Hours]]*24</f>
        <v>12</v>
      </c>
      <c r="H132" s="76">
        <v>4</v>
      </c>
      <c r="I132" s="22">
        <f>Table4[[#This Row],[Available Hours for Service]]</f>
        <v>27.281249999992724</v>
      </c>
      <c r="J132" s="65">
        <v>8100</v>
      </c>
      <c r="K132" s="123">
        <f>Table436[[#This Row],[Min Daily Hours]]*J$199</f>
        <v>15</v>
      </c>
      <c r="L132" s="123">
        <f>SUM(Table436[[#This Row],[1]:[31]])</f>
        <v>8.9622222222222199</v>
      </c>
      <c r="M132" s="121">
        <v>0.10694444444444444</v>
      </c>
      <c r="N132" s="121">
        <v>0.56458333333333333</v>
      </c>
      <c r="O132" s="121">
        <v>0.4368055555555555</v>
      </c>
      <c r="P132" s="121">
        <v>6.805555555555555E-2</v>
      </c>
      <c r="Q132" s="121">
        <v>0</v>
      </c>
      <c r="R132" s="121">
        <v>0.16666666666666666</v>
      </c>
      <c r="S132" s="121">
        <v>0.43958333333333338</v>
      </c>
      <c r="T132" s="121">
        <v>8.3333333333333329E-2</v>
      </c>
      <c r="U132" s="121">
        <v>0.30277777777777776</v>
      </c>
      <c r="V132" s="121">
        <v>0.6069444444444444</v>
      </c>
      <c r="W132" s="22">
        <v>0.66666666666666663</v>
      </c>
      <c r="X132" s="22">
        <v>0.54166666666666663</v>
      </c>
      <c r="Y132" s="22">
        <v>3.1944444444444449E-2</v>
      </c>
      <c r="Z132" s="22">
        <v>0.65069444444444446</v>
      </c>
      <c r="AA132" s="22">
        <v>0.57222222222222219</v>
      </c>
      <c r="AB132" s="22">
        <v>0.13194444444444445</v>
      </c>
      <c r="AC132" s="22">
        <v>8.5416666666666655E-2</v>
      </c>
      <c r="AD132" s="22">
        <v>0.16666666666666666</v>
      </c>
      <c r="AE132" s="22">
        <v>0.56666666666666665</v>
      </c>
      <c r="AF132" s="22">
        <v>5.1388888888888894E-2</v>
      </c>
      <c r="AG132" s="22">
        <v>0.25</v>
      </c>
      <c r="AH132" s="215">
        <v>2.0833333333333333E-3</v>
      </c>
      <c r="AI132" s="22">
        <v>0.34</v>
      </c>
      <c r="AJ132" s="22">
        <v>0.14375000000000002</v>
      </c>
      <c r="AK132" s="22">
        <v>0.22083333333333333</v>
      </c>
      <c r="AL132" s="22">
        <v>0.61041666666666672</v>
      </c>
      <c r="AM132" s="22">
        <v>0.47013888888888888</v>
      </c>
      <c r="AN132" s="22">
        <v>0.14652777777777778</v>
      </c>
      <c r="AO132" s="22">
        <v>0.11805555555555557</v>
      </c>
      <c r="AP132" s="22">
        <v>0.14861111111111111</v>
      </c>
      <c r="AQ132" s="22">
        <v>0.27083333333333331</v>
      </c>
    </row>
    <row r="133" spans="1:43" ht="17.25" customHeight="1" x14ac:dyDescent="0.35">
      <c r="A133" s="169" t="s">
        <v>176</v>
      </c>
      <c r="B133" s="170" t="s">
        <v>405</v>
      </c>
      <c r="C133" s="170" t="s">
        <v>226</v>
      </c>
      <c r="D133" s="169" t="s">
        <v>100</v>
      </c>
      <c r="E133" s="169" t="s">
        <v>461</v>
      </c>
      <c r="F133" s="121">
        <v>0.5</v>
      </c>
      <c r="G133" s="195">
        <f>Table436[[#This Row],[Min Daily Hours]]*24</f>
        <v>12</v>
      </c>
      <c r="H133" s="76">
        <v>4</v>
      </c>
      <c r="I133" s="22">
        <f>Table4[[#This Row],[Available Hours for Service]]</f>
        <v>-29.322916666664241</v>
      </c>
      <c r="J133" s="65">
        <v>10050</v>
      </c>
      <c r="K133" s="123">
        <f>Table436[[#This Row],[Min Daily Hours]]*J$199</f>
        <v>15</v>
      </c>
      <c r="L133" s="123">
        <f>SUM(Table436[[#This Row],[1]:[31]])</f>
        <v>9.5226388888888884</v>
      </c>
      <c r="M133" s="121">
        <v>0.47569444444444442</v>
      </c>
      <c r="N133" s="121">
        <v>0.47291666666666665</v>
      </c>
      <c r="O133" s="121">
        <v>0.4069444444444445</v>
      </c>
      <c r="P133" s="121">
        <v>0.125</v>
      </c>
      <c r="Q133" s="121">
        <v>4.1666666666666664E-2</v>
      </c>
      <c r="R133" s="121">
        <v>0.18055555555555555</v>
      </c>
      <c r="S133" s="121">
        <v>0.52847222222222223</v>
      </c>
      <c r="T133" s="121">
        <v>0.41666666666666669</v>
      </c>
      <c r="U133" s="121">
        <v>0.51527777777777783</v>
      </c>
      <c r="V133" s="121">
        <v>0.39861111111111108</v>
      </c>
      <c r="W133" s="22">
        <v>0.29166666666666669</v>
      </c>
      <c r="X133" s="22">
        <v>0.56597222222222221</v>
      </c>
      <c r="Y133" s="22">
        <v>0.11666666666666665</v>
      </c>
      <c r="Z133" s="22">
        <v>0.20694444444444446</v>
      </c>
      <c r="AA133" s="22">
        <v>0.39097222222222222</v>
      </c>
      <c r="AB133" s="22">
        <v>0.14097222222222222</v>
      </c>
      <c r="AC133" s="22">
        <v>6.1111111111111116E-2</v>
      </c>
      <c r="AD133" s="22">
        <v>0.26944444444444443</v>
      </c>
      <c r="AE133" s="22">
        <v>0.83333333333333337</v>
      </c>
      <c r="AF133" s="22">
        <v>7.9166666666666663E-2</v>
      </c>
      <c r="AG133" s="22">
        <v>0.1013888888888889</v>
      </c>
      <c r="AH133" s="215">
        <v>0.1388888888888889</v>
      </c>
      <c r="AI133" s="22">
        <v>0.34</v>
      </c>
      <c r="AJ133" s="22">
        <v>0.46458333333333335</v>
      </c>
      <c r="AK133" s="22">
        <v>0.22638888888888889</v>
      </c>
      <c r="AL133" s="22">
        <v>0.58611111111111114</v>
      </c>
      <c r="AM133" s="22">
        <v>0.55208333333333337</v>
      </c>
      <c r="AN133" s="22">
        <v>0.13958333333333334</v>
      </c>
      <c r="AO133" s="121">
        <v>0.1423611111111111</v>
      </c>
      <c r="AP133" s="22">
        <v>8.9583333333333334E-2</v>
      </c>
      <c r="AQ133" s="22">
        <v>0.22361111111111109</v>
      </c>
    </row>
    <row r="134" spans="1:43" ht="17.25" customHeight="1" x14ac:dyDescent="0.35">
      <c r="A134" s="169" t="s">
        <v>176</v>
      </c>
      <c r="B134" s="170" t="s">
        <v>406</v>
      </c>
      <c r="C134" s="170" t="s">
        <v>224</v>
      </c>
      <c r="D134" s="169" t="s">
        <v>112</v>
      </c>
      <c r="E134" s="169" t="s">
        <v>460</v>
      </c>
      <c r="F134" s="121">
        <v>0.33333333333333331</v>
      </c>
      <c r="G134" s="195">
        <f>Table436[[#This Row],[Min Daily Hours]]*24</f>
        <v>8</v>
      </c>
      <c r="H134" s="76">
        <v>2.2999999999999998</v>
      </c>
      <c r="I134" s="22">
        <f>Table4[[#This Row],[Available Hours for Service]]</f>
        <v>26.490277777782467</v>
      </c>
      <c r="J134" s="65">
        <v>11700</v>
      </c>
      <c r="K134" s="123">
        <f>Table436[[#This Row],[Min Daily Hours]]*J$199</f>
        <v>10</v>
      </c>
      <c r="L134" s="123">
        <f>SUM(Table436[[#This Row],[1]:[31]])</f>
        <v>12.447916666666668</v>
      </c>
      <c r="M134" s="121">
        <v>8.3333333333333329E-2</v>
      </c>
      <c r="N134" s="121">
        <v>0.29166666666666669</v>
      </c>
      <c r="O134" s="121">
        <v>0.31388888888888888</v>
      </c>
      <c r="P134" s="121">
        <v>0.33333333333333331</v>
      </c>
      <c r="Q134" s="121">
        <v>0.22291666666666665</v>
      </c>
      <c r="R134" s="121">
        <v>0.16666666666666666</v>
      </c>
      <c r="S134" s="121">
        <v>0.44097222222222227</v>
      </c>
      <c r="T134" s="121">
        <v>0.54166666666666663</v>
      </c>
      <c r="U134" s="121">
        <v>0.625</v>
      </c>
      <c r="V134" s="121">
        <v>0.625</v>
      </c>
      <c r="W134" s="22">
        <v>0.58333333333333337</v>
      </c>
      <c r="X134" s="22">
        <v>0.45069444444444445</v>
      </c>
      <c r="Y134" s="22">
        <v>0.10069444444444443</v>
      </c>
      <c r="Z134" s="22">
        <v>0.59444444444444444</v>
      </c>
      <c r="AA134" s="22">
        <v>0.3666666666666667</v>
      </c>
      <c r="AB134" s="22">
        <v>0.65902777777777777</v>
      </c>
      <c r="AC134" s="22">
        <v>0.55833333333333335</v>
      </c>
      <c r="AD134" s="22">
        <v>0.17291666666666669</v>
      </c>
      <c r="AE134" s="22">
        <v>0.69930555555555562</v>
      </c>
      <c r="AF134" s="22">
        <v>0.35625000000000001</v>
      </c>
      <c r="AG134" s="22">
        <v>0.43263888888888885</v>
      </c>
      <c r="AH134" s="215">
        <v>0.49305555555555558</v>
      </c>
      <c r="AI134" s="220">
        <v>0.12013888888888889</v>
      </c>
      <c r="AJ134" s="22">
        <v>0.72569444444444453</v>
      </c>
      <c r="AK134" s="22">
        <v>0.38055555555555554</v>
      </c>
      <c r="AL134" s="22">
        <v>0.28194444444444444</v>
      </c>
      <c r="AM134" s="22">
        <v>0.125</v>
      </c>
      <c r="AN134" s="22">
        <v>0.11875000000000001</v>
      </c>
      <c r="AO134" s="22">
        <v>0.60138888888888886</v>
      </c>
      <c r="AP134" s="22">
        <v>0.21666666666666667</v>
      </c>
      <c r="AQ134" s="22">
        <v>0.76597222222222217</v>
      </c>
    </row>
    <row r="135" spans="1:43" ht="17.25" customHeight="1" x14ac:dyDescent="0.35">
      <c r="A135" s="169" t="s">
        <v>176</v>
      </c>
      <c r="B135" s="170" t="s">
        <v>406</v>
      </c>
      <c r="C135" s="170" t="s">
        <v>224</v>
      </c>
      <c r="D135" s="169" t="s">
        <v>113</v>
      </c>
      <c r="E135" s="169" t="s">
        <v>457</v>
      </c>
      <c r="F135" s="121">
        <v>0.83333333333333337</v>
      </c>
      <c r="G135" s="195">
        <f>Table436[[#This Row],[Min Daily Hours]]*24</f>
        <v>20</v>
      </c>
      <c r="H135" s="76">
        <v>0.7</v>
      </c>
      <c r="I135" s="22">
        <f>Table4[[#This Row],[Available Hours for Service]]</f>
        <v>29.338194444440887</v>
      </c>
      <c r="J135" s="65">
        <v>4550</v>
      </c>
      <c r="K135" s="123">
        <f>Table436[[#This Row],[Min Daily Hours]]*J$199</f>
        <v>25</v>
      </c>
      <c r="L135" s="123">
        <f>SUM(Table436[[#This Row],[1]:[31]])</f>
        <v>16.741666666666667</v>
      </c>
      <c r="M135" s="121">
        <v>0.5625</v>
      </c>
      <c r="N135" s="121">
        <v>0.5</v>
      </c>
      <c r="O135" s="121">
        <v>0.25</v>
      </c>
      <c r="P135" s="121">
        <v>0.61875000000000002</v>
      </c>
      <c r="Q135" s="121">
        <v>0.23472222222222219</v>
      </c>
      <c r="R135" s="121">
        <v>0.21736111111111112</v>
      </c>
      <c r="S135" s="121">
        <v>0.57222222222222219</v>
      </c>
      <c r="T135" s="121">
        <v>0.54166666666666663</v>
      </c>
      <c r="U135" s="121">
        <v>0.44027777777777777</v>
      </c>
      <c r="V135" s="121">
        <v>0.625</v>
      </c>
      <c r="W135" s="22">
        <v>0.58333333333333337</v>
      </c>
      <c r="X135" s="22">
        <v>0.52569444444444446</v>
      </c>
      <c r="Y135" s="22">
        <v>0.375</v>
      </c>
      <c r="Z135" s="22">
        <v>0.83750000000000002</v>
      </c>
      <c r="AA135" s="22">
        <v>0.48472222222222222</v>
      </c>
      <c r="AB135" s="22">
        <v>0.65902777777777777</v>
      </c>
      <c r="AC135" s="22">
        <v>0.5756944444444444</v>
      </c>
      <c r="AD135" s="22">
        <v>0.51111111111111118</v>
      </c>
      <c r="AE135" s="22">
        <v>0.69930555555555562</v>
      </c>
      <c r="AF135" s="22">
        <v>0.45208333333333334</v>
      </c>
      <c r="AG135" s="22">
        <v>0.6875</v>
      </c>
      <c r="AH135" s="215">
        <v>0.58124999999999993</v>
      </c>
      <c r="AI135" s="220">
        <v>0.34930555555555554</v>
      </c>
      <c r="AJ135" s="22">
        <v>0.72569444444444453</v>
      </c>
      <c r="AK135" s="22">
        <v>0.64236111111111105</v>
      </c>
      <c r="AL135" s="22">
        <v>0.65486111111111112</v>
      </c>
      <c r="AM135" s="22">
        <v>0.23750000000000002</v>
      </c>
      <c r="AN135" s="22">
        <v>0.56736111111111109</v>
      </c>
      <c r="AO135" s="22">
        <v>0.72361111111111109</v>
      </c>
      <c r="AP135" s="22">
        <v>0.54027777777777775</v>
      </c>
      <c r="AQ135" s="22">
        <v>0.76597222222222217</v>
      </c>
    </row>
    <row r="136" spans="1:43" ht="17.25" customHeight="1" x14ac:dyDescent="0.35">
      <c r="A136" s="169" t="s">
        <v>176</v>
      </c>
      <c r="B136" s="170" t="s">
        <v>406</v>
      </c>
      <c r="C136" s="170" t="s">
        <v>224</v>
      </c>
      <c r="D136" s="169" t="s">
        <v>114</v>
      </c>
      <c r="E136" s="169" t="s">
        <v>460</v>
      </c>
      <c r="F136" s="121">
        <v>0.33333333333333331</v>
      </c>
      <c r="G136" s="195">
        <f>Table436[[#This Row],[Min Daily Hours]]*24</f>
        <v>8</v>
      </c>
      <c r="H136" s="76">
        <v>1</v>
      </c>
      <c r="I136" s="22">
        <f>Table4[[#This Row],[Available Hours for Service]]</f>
        <v>30</v>
      </c>
      <c r="J136" s="65">
        <v>5550</v>
      </c>
      <c r="K136" s="123">
        <f>Table436[[#This Row],[Min Daily Hours]]*J$199</f>
        <v>10</v>
      </c>
      <c r="L136" s="123">
        <f>SUM(Table436[[#This Row],[1]:[31]])</f>
        <v>14.709722222222224</v>
      </c>
      <c r="M136" s="121">
        <v>0.48888888888888887</v>
      </c>
      <c r="N136" s="121">
        <v>0.4777777777777778</v>
      </c>
      <c r="O136" s="121">
        <v>0.31388888888888888</v>
      </c>
      <c r="P136" s="121">
        <v>0.625</v>
      </c>
      <c r="Q136" s="121">
        <v>0.23472222222222219</v>
      </c>
      <c r="R136" s="121">
        <v>0.16666666666666666</v>
      </c>
      <c r="S136" s="121">
        <v>0.57222222222222219</v>
      </c>
      <c r="T136" s="121">
        <v>0.54166666666666663</v>
      </c>
      <c r="U136" s="121">
        <v>0.66666666666666663</v>
      </c>
      <c r="V136" s="121">
        <v>0.625</v>
      </c>
      <c r="W136" s="22">
        <v>0.58333333333333337</v>
      </c>
      <c r="X136" s="22">
        <v>0.45069444444444445</v>
      </c>
      <c r="Y136" s="22">
        <v>0.375</v>
      </c>
      <c r="Z136" s="22">
        <v>0.81388888888888899</v>
      </c>
      <c r="AA136" s="22">
        <v>0.4055555555555555</v>
      </c>
      <c r="AB136" s="22">
        <v>0.65902777777777777</v>
      </c>
      <c r="AC136" s="22">
        <v>0.63124999999999998</v>
      </c>
      <c r="AD136" s="22">
        <v>0.51111111111111118</v>
      </c>
      <c r="AE136" s="22">
        <v>0.69930555555555562</v>
      </c>
      <c r="AF136" s="22">
        <v>0.35625000000000001</v>
      </c>
      <c r="AG136" s="22">
        <v>0.3743055555555555</v>
      </c>
      <c r="AH136" s="215">
        <v>0.74305555555555547</v>
      </c>
      <c r="AI136" s="22">
        <v>0.34930555555555554</v>
      </c>
      <c r="AJ136" s="22">
        <v>0.38819444444444445</v>
      </c>
      <c r="AK136" s="22">
        <v>0.38055555555555554</v>
      </c>
      <c r="AL136" s="22">
        <v>0.28194444444444444</v>
      </c>
      <c r="AM136" s="22">
        <v>0.15625</v>
      </c>
      <c r="AN136" s="22">
        <v>0</v>
      </c>
      <c r="AO136" s="22">
        <v>0.53194444444444444</v>
      </c>
      <c r="AP136" s="22">
        <v>0.54027777777777775</v>
      </c>
      <c r="AQ136" s="22">
        <v>0.76597222222222217</v>
      </c>
    </row>
    <row r="137" spans="1:43" ht="17.25" customHeight="1" x14ac:dyDescent="0.35">
      <c r="A137" s="169" t="s">
        <v>176</v>
      </c>
      <c r="B137" s="170" t="s">
        <v>407</v>
      </c>
      <c r="C137" s="170" t="s">
        <v>353</v>
      </c>
      <c r="D137" s="169" t="s">
        <v>102</v>
      </c>
      <c r="E137" s="169" t="s">
        <v>461</v>
      </c>
      <c r="F137" s="121">
        <v>0.5</v>
      </c>
      <c r="G137" s="195">
        <f>Table436[[#This Row],[Min Daily Hours]]*24</f>
        <v>12</v>
      </c>
      <c r="H137" s="76">
        <v>2.1</v>
      </c>
      <c r="I137" s="22">
        <f>Table4[[#This Row],[Available Hours for Service]]</f>
        <v>29.632638888891961</v>
      </c>
      <c r="J137" s="65">
        <v>4000</v>
      </c>
      <c r="K137" s="123">
        <f>Table436[[#This Row],[Min Daily Hours]]*J$199</f>
        <v>15</v>
      </c>
      <c r="L137" s="123">
        <f>SUM(Table436[[#This Row],[1]:[31]])</f>
        <v>20.925000000000001</v>
      </c>
      <c r="M137" s="121">
        <v>0.45833333333333331</v>
      </c>
      <c r="N137" s="121">
        <v>0.375</v>
      </c>
      <c r="O137" s="121">
        <v>0.5</v>
      </c>
      <c r="P137" s="121">
        <v>0.54166666666666663</v>
      </c>
      <c r="Q137" s="121">
        <v>0.53125</v>
      </c>
      <c r="R137" s="121">
        <v>0.76041666666666663</v>
      </c>
      <c r="S137" s="121">
        <v>0.4375</v>
      </c>
      <c r="T137" s="121">
        <v>0.7319444444444444</v>
      </c>
      <c r="U137" s="121">
        <v>0.80208333333333337</v>
      </c>
      <c r="V137" s="121">
        <v>0.875</v>
      </c>
      <c r="W137" s="22">
        <v>0.66666666666666663</v>
      </c>
      <c r="X137" s="22">
        <v>0.625</v>
      </c>
      <c r="Y137" s="22">
        <v>0.76666666666666661</v>
      </c>
      <c r="Z137" s="22">
        <v>0.9819444444444444</v>
      </c>
      <c r="AA137" s="22">
        <v>0.70833333333333337</v>
      </c>
      <c r="AB137" s="22">
        <v>0.91666666666666663</v>
      </c>
      <c r="AC137" s="22">
        <v>0.66666666666666663</v>
      </c>
      <c r="AD137" s="22">
        <v>0.38194444444444442</v>
      </c>
      <c r="AE137" s="22">
        <v>0.91666666666666663</v>
      </c>
      <c r="AF137" s="22">
        <v>0.58333333333333337</v>
      </c>
      <c r="AG137" s="22">
        <v>0.69305555555555554</v>
      </c>
      <c r="AH137" s="215">
        <v>0.86736111111111114</v>
      </c>
      <c r="AI137" s="22">
        <v>0.55347222222222225</v>
      </c>
      <c r="AJ137" s="22">
        <v>0.83333333333333337</v>
      </c>
      <c r="AK137" s="22">
        <v>0.86111111111111116</v>
      </c>
      <c r="AL137" s="22">
        <v>0.94444444444444453</v>
      </c>
      <c r="AM137" s="22">
        <v>0.41666666666666669</v>
      </c>
      <c r="AN137" s="22">
        <v>0.375</v>
      </c>
      <c r="AO137" s="22">
        <v>0.54236111111111118</v>
      </c>
      <c r="AP137" s="22">
        <v>0.87638888888888899</v>
      </c>
      <c r="AQ137" s="22">
        <v>0.73472222222222217</v>
      </c>
    </row>
    <row r="138" spans="1:43" ht="17.25" customHeight="1" x14ac:dyDescent="0.35">
      <c r="A138" s="169" t="s">
        <v>176</v>
      </c>
      <c r="B138" s="170" t="s">
        <v>407</v>
      </c>
      <c r="C138" s="170" t="s">
        <v>353</v>
      </c>
      <c r="D138" s="169" t="s">
        <v>482</v>
      </c>
      <c r="E138" s="169" t="s">
        <v>457</v>
      </c>
      <c r="F138" s="121">
        <v>0.83333333333333337</v>
      </c>
      <c r="G138" s="195">
        <f>Table436[[#This Row],[Min Daily Hours]]*24</f>
        <v>20</v>
      </c>
      <c r="H138" s="76">
        <v>0.2</v>
      </c>
      <c r="I138" s="22">
        <f>Table4[[#This Row],[Available Hours for Service]]</f>
        <v>30</v>
      </c>
      <c r="J138" s="65">
        <v>2100</v>
      </c>
      <c r="K138" s="123">
        <f>Table436[[#This Row],[Min Daily Hours]]*J$199</f>
        <v>25</v>
      </c>
      <c r="L138" s="123">
        <f>SUM(Table436[[#This Row],[1]:[31]])</f>
        <v>0</v>
      </c>
      <c r="M138" s="121"/>
      <c r="N138" s="121"/>
      <c r="O138" s="121"/>
      <c r="P138" s="121"/>
      <c r="Q138" s="121"/>
      <c r="R138" s="121"/>
      <c r="S138" s="121"/>
      <c r="T138" s="121"/>
      <c r="U138" s="121"/>
      <c r="V138" s="121"/>
      <c r="W138" s="22"/>
      <c r="X138" s="22"/>
      <c r="Y138" s="22"/>
      <c r="Z138" s="22"/>
      <c r="AA138" s="22"/>
      <c r="AB138" s="22"/>
      <c r="AC138" s="22"/>
      <c r="AD138" s="22"/>
      <c r="AE138" s="22"/>
      <c r="AF138" s="22"/>
      <c r="AG138" s="22"/>
      <c r="AH138" s="215"/>
      <c r="AI138" s="22"/>
      <c r="AJ138" s="22"/>
      <c r="AK138" s="22"/>
      <c r="AL138" s="22"/>
      <c r="AM138" s="22"/>
      <c r="AN138" s="22"/>
      <c r="AO138" s="22"/>
      <c r="AP138" s="22"/>
      <c r="AQ138" s="22"/>
    </row>
    <row r="139" spans="1:43" s="157" customFormat="1" ht="17.25" customHeight="1" x14ac:dyDescent="0.35">
      <c r="A139" s="169" t="s">
        <v>176</v>
      </c>
      <c r="B139" s="170" t="s">
        <v>407</v>
      </c>
      <c r="C139" s="170" t="s">
        <v>353</v>
      </c>
      <c r="D139" s="169" t="s">
        <v>491</v>
      </c>
      <c r="E139" s="169"/>
      <c r="F139" s="121"/>
      <c r="G139" s="195">
        <f>Table436[[#This Row],[Min Daily Hours]]*24</f>
        <v>0</v>
      </c>
      <c r="H139" s="76"/>
      <c r="I139" s="121">
        <f>Table4[[#This Row],[Available Hours for Service]]</f>
        <v>30</v>
      </c>
      <c r="J139" s="65"/>
      <c r="K139" s="123">
        <f>Table436[[#This Row],[Min Daily Hours]]*J$199</f>
        <v>0</v>
      </c>
      <c r="L139" s="123">
        <f>SUM(Table436[[#This Row],[1]:[31]])</f>
        <v>12.769444444444447</v>
      </c>
      <c r="M139" s="220"/>
      <c r="N139" s="220"/>
      <c r="O139" s="220"/>
      <c r="P139" s="220"/>
      <c r="Q139" s="220"/>
      <c r="R139" s="220"/>
      <c r="S139" s="220"/>
      <c r="T139" s="220"/>
      <c r="U139" s="220"/>
      <c r="V139" s="220"/>
      <c r="W139" s="220"/>
      <c r="X139" s="220"/>
      <c r="Y139" s="220"/>
      <c r="Z139" s="121">
        <v>0.98888888888888893</v>
      </c>
      <c r="AA139" s="121">
        <v>0.92708333333333337</v>
      </c>
      <c r="AB139" s="121">
        <v>0.93402777777777779</v>
      </c>
      <c r="AC139" s="121">
        <v>0.69236111111111109</v>
      </c>
      <c r="AD139" s="121">
        <v>1</v>
      </c>
      <c r="AE139" s="121">
        <v>1</v>
      </c>
      <c r="AF139" s="121">
        <v>0.625</v>
      </c>
      <c r="AG139" s="121">
        <v>0.80833333333333324</v>
      </c>
      <c r="AH139" s="215">
        <v>0.87430555555555556</v>
      </c>
      <c r="AI139" s="121">
        <v>0.58819444444444446</v>
      </c>
      <c r="AJ139" s="121">
        <v>0.9159722222222223</v>
      </c>
      <c r="AK139" s="121">
        <v>0.8666666666666667</v>
      </c>
      <c r="AL139" s="220"/>
      <c r="AM139" s="220"/>
      <c r="AN139" s="220"/>
      <c r="AO139" s="121">
        <v>0.81944444444444453</v>
      </c>
      <c r="AP139" s="121">
        <v>0.98958333333333337</v>
      </c>
      <c r="AQ139" s="121">
        <v>0.73958333333333337</v>
      </c>
    </row>
    <row r="140" spans="1:43" ht="17.25" customHeight="1" x14ac:dyDescent="0.35">
      <c r="A140" s="169" t="s">
        <v>176</v>
      </c>
      <c r="B140" s="170" t="s">
        <v>408</v>
      </c>
      <c r="C140" s="170" t="s">
        <v>224</v>
      </c>
      <c r="D140" s="169" t="s">
        <v>115</v>
      </c>
      <c r="E140" s="169" t="s">
        <v>458</v>
      </c>
      <c r="F140" s="121">
        <v>0.66666666666666663</v>
      </c>
      <c r="G140" s="195">
        <f>Table436[[#This Row],[Min Daily Hours]]*24</f>
        <v>16</v>
      </c>
      <c r="H140" s="76">
        <v>3.3</v>
      </c>
      <c r="I140" s="22">
        <f>Table4[[#This Row],[Available Hours for Service]]</f>
        <v>29.96736111111386</v>
      </c>
      <c r="J140" s="65">
        <v>13050</v>
      </c>
      <c r="K140" s="123">
        <f>Table436[[#This Row],[Min Daily Hours]]*J$199</f>
        <v>20</v>
      </c>
      <c r="L140" s="123">
        <f>SUM(Table436[[#This Row],[1]:[31]])</f>
        <v>17.776388888888889</v>
      </c>
      <c r="M140" s="121">
        <v>0.56944444444444442</v>
      </c>
      <c r="N140" s="121">
        <v>0.26319444444444445</v>
      </c>
      <c r="O140" s="121">
        <v>0.51388888888888895</v>
      </c>
      <c r="P140" s="121">
        <v>0.22569444444444445</v>
      </c>
      <c r="Q140" s="121">
        <v>0.70833333333333337</v>
      </c>
      <c r="R140" s="121">
        <v>0.29166666666666669</v>
      </c>
      <c r="S140" s="121">
        <v>0.57222222222222219</v>
      </c>
      <c r="T140" s="121">
        <v>0.71944444444444444</v>
      </c>
      <c r="U140" s="121">
        <v>0.5</v>
      </c>
      <c r="V140" s="121">
        <v>0.89374999999999993</v>
      </c>
      <c r="W140" s="22">
        <v>0.6430555555555556</v>
      </c>
      <c r="X140" s="22">
        <v>0.81527777777777777</v>
      </c>
      <c r="Y140" s="22">
        <v>0.80138888888888893</v>
      </c>
      <c r="Z140" s="22">
        <v>0.68263888888888891</v>
      </c>
      <c r="AA140" s="22">
        <v>0.66249999999999998</v>
      </c>
      <c r="AB140" s="22">
        <v>0.75069444444444444</v>
      </c>
      <c r="AC140" s="22">
        <v>0.75208333333333333</v>
      </c>
      <c r="AD140" s="22">
        <v>0.19097222222222221</v>
      </c>
      <c r="AE140" s="22">
        <v>0.68541666666666667</v>
      </c>
      <c r="AF140" s="22">
        <v>0.41111111111111115</v>
      </c>
      <c r="AG140" s="22">
        <v>0.66527777777777775</v>
      </c>
      <c r="AH140" s="215">
        <v>0.57847222222222217</v>
      </c>
      <c r="AI140" s="22">
        <v>0.50972222222222219</v>
      </c>
      <c r="AJ140" s="22">
        <v>0.82986111111111116</v>
      </c>
      <c r="AK140" s="22">
        <v>0.55347222222222225</v>
      </c>
      <c r="AL140" s="22">
        <v>0.3611111111111111</v>
      </c>
      <c r="AM140" s="22">
        <v>0.3979166666666667</v>
      </c>
      <c r="AN140" s="22">
        <v>0.51736111111111105</v>
      </c>
      <c r="AO140" s="22">
        <v>0.60138888888888886</v>
      </c>
      <c r="AP140" s="22">
        <v>0.46875</v>
      </c>
      <c r="AQ140" s="22">
        <v>0.64027777777777783</v>
      </c>
    </row>
    <row r="141" spans="1:43" ht="17.25" customHeight="1" x14ac:dyDescent="0.35">
      <c r="A141" s="169" t="s">
        <v>176</v>
      </c>
      <c r="B141" s="170" t="s">
        <v>408</v>
      </c>
      <c r="C141" s="170" t="s">
        <v>224</v>
      </c>
      <c r="D141" s="169" t="s">
        <v>116</v>
      </c>
      <c r="E141" s="169" t="s">
        <v>458</v>
      </c>
      <c r="F141" s="121">
        <v>0.66666666666666663</v>
      </c>
      <c r="G141" s="195">
        <f>Table436[[#This Row],[Min Daily Hours]]*24</f>
        <v>16</v>
      </c>
      <c r="H141" s="76">
        <v>3</v>
      </c>
      <c r="I141" s="22">
        <f>Table4[[#This Row],[Available Hours for Service]]</f>
        <v>29.651388888887595</v>
      </c>
      <c r="J141" s="65">
        <v>8300</v>
      </c>
      <c r="K141" s="123">
        <f>Table436[[#This Row],[Min Daily Hours]]*J$199</f>
        <v>20</v>
      </c>
      <c r="L141" s="123">
        <f>SUM(Table436[[#This Row],[1]:[31]])</f>
        <v>18.279861111111114</v>
      </c>
      <c r="M141" s="121">
        <v>0.56944444444444442</v>
      </c>
      <c r="N141" s="121">
        <v>0.26319444444444445</v>
      </c>
      <c r="O141" s="121">
        <v>0.40416666666666662</v>
      </c>
      <c r="P141" s="121">
        <v>0.25</v>
      </c>
      <c r="Q141" s="121">
        <v>0.70833333333333337</v>
      </c>
      <c r="R141" s="121">
        <v>0.34722222222222227</v>
      </c>
      <c r="S141" s="121">
        <v>0.57222222222222219</v>
      </c>
      <c r="T141" s="121">
        <v>0.73888888888888893</v>
      </c>
      <c r="U141" s="121">
        <v>0.65347222222222223</v>
      </c>
      <c r="V141" s="121">
        <v>0.89374999999999993</v>
      </c>
      <c r="W141" s="22">
        <v>0.6430555555555556</v>
      </c>
      <c r="X141" s="22">
        <v>0.81527777777777777</v>
      </c>
      <c r="Y141" s="22">
        <v>0.80138888888888893</v>
      </c>
      <c r="Z141" s="22">
        <v>0.70486111111111116</v>
      </c>
      <c r="AA141" s="22">
        <v>0.69930555555555562</v>
      </c>
      <c r="AB141" s="22">
        <v>0.69444444444444453</v>
      </c>
      <c r="AC141" s="22">
        <v>0.70347222222222217</v>
      </c>
      <c r="AD141" s="22">
        <v>0.45416666666666666</v>
      </c>
      <c r="AE141" s="22">
        <v>0.73611111111111116</v>
      </c>
      <c r="AF141" s="22">
        <v>0.43402777777777773</v>
      </c>
      <c r="AG141" s="22">
        <v>0.66527777777777775</v>
      </c>
      <c r="AH141" s="215">
        <v>0.60486111111111118</v>
      </c>
      <c r="AI141" s="220">
        <v>0.50972222222222219</v>
      </c>
      <c r="AJ141" s="22">
        <v>0.82708333333333339</v>
      </c>
      <c r="AK141" s="22">
        <v>0.58958333333333335</v>
      </c>
      <c r="AL141" s="22">
        <v>0.29722222222222222</v>
      </c>
      <c r="AM141" s="22">
        <v>0.3979166666666667</v>
      </c>
      <c r="AN141" s="22">
        <v>0.58194444444444449</v>
      </c>
      <c r="AO141" s="22">
        <v>0.61041666666666672</v>
      </c>
      <c r="AP141" s="22">
        <v>0.46875</v>
      </c>
      <c r="AQ141" s="121">
        <v>0.64027777777777783</v>
      </c>
    </row>
    <row r="142" spans="1:43" ht="17.25" customHeight="1" x14ac:dyDescent="0.35">
      <c r="A142" s="169" t="s">
        <v>171</v>
      </c>
      <c r="B142" s="170" t="s">
        <v>416</v>
      </c>
      <c r="C142" s="170" t="s">
        <v>225</v>
      </c>
      <c r="D142" s="169" t="s">
        <v>73</v>
      </c>
      <c r="E142" s="169" t="s">
        <v>457</v>
      </c>
      <c r="F142" s="121">
        <v>0.83333333333333337</v>
      </c>
      <c r="G142" s="195">
        <f>Table436[[#This Row],[Min Daily Hours]]*24</f>
        <v>20</v>
      </c>
      <c r="H142" s="76">
        <v>1.7</v>
      </c>
      <c r="I142" s="22">
        <f>Table4[[#This Row],[Available Hours for Service]]</f>
        <v>29.471527777779556</v>
      </c>
      <c r="J142" s="65">
        <v>850</v>
      </c>
      <c r="K142" s="123">
        <f>Table436[[#This Row],[Min Daily Hours]]*J$199</f>
        <v>25</v>
      </c>
      <c r="L142" s="123">
        <f>SUM(Table436[[#This Row],[1]:[31]])</f>
        <v>21.462500000000006</v>
      </c>
      <c r="M142" s="121">
        <v>0.75</v>
      </c>
      <c r="N142" s="121">
        <v>0.63472222222222219</v>
      </c>
      <c r="O142" s="121">
        <v>0.56527777777777777</v>
      </c>
      <c r="P142" s="121">
        <v>0.4916666666666667</v>
      </c>
      <c r="Q142" s="121">
        <v>0.56805555555555554</v>
      </c>
      <c r="R142" s="121">
        <v>0.71666666666666667</v>
      </c>
      <c r="S142" s="121">
        <v>0.81736111111111109</v>
      </c>
      <c r="T142" s="121">
        <v>0.40416666666666662</v>
      </c>
      <c r="U142" s="121">
        <v>0.8652777777777777</v>
      </c>
      <c r="V142" s="121">
        <v>1</v>
      </c>
      <c r="W142" s="22">
        <v>0.77013888888888893</v>
      </c>
      <c r="X142" s="22">
        <v>0.72083333333333333</v>
      </c>
      <c r="Y142" s="22">
        <v>0.29930555555555555</v>
      </c>
      <c r="Z142" s="22">
        <v>0.95138888888888884</v>
      </c>
      <c r="AA142" s="22">
        <v>0.87638888888888899</v>
      </c>
      <c r="AB142" s="22">
        <v>0.84444444444444444</v>
      </c>
      <c r="AC142" s="22">
        <v>0.58333333333333337</v>
      </c>
      <c r="AD142" s="22">
        <v>0.1013888888888889</v>
      </c>
      <c r="AE142" s="22">
        <v>0.90069444444444446</v>
      </c>
      <c r="AF142" s="22">
        <v>0.4826388888888889</v>
      </c>
      <c r="AG142" s="22">
        <v>0.97361111111111109</v>
      </c>
      <c r="AH142" s="215">
        <v>0.83263888888888893</v>
      </c>
      <c r="AI142" s="22">
        <v>0.57777777777777783</v>
      </c>
      <c r="AJ142" s="22">
        <v>0.75208333333333333</v>
      </c>
      <c r="AK142" s="22">
        <v>0.8534722222222223</v>
      </c>
      <c r="AL142" s="22">
        <v>0.71944444444444444</v>
      </c>
      <c r="AM142" s="22">
        <v>0.53749999999999998</v>
      </c>
      <c r="AN142" s="22">
        <v>0.58333333333333337</v>
      </c>
      <c r="AO142" s="22">
        <v>0.62013888888888891</v>
      </c>
      <c r="AP142" s="22">
        <v>0.6791666666666667</v>
      </c>
      <c r="AQ142" s="22">
        <v>0.98958333333333337</v>
      </c>
    </row>
    <row r="143" spans="1:43" ht="17.25" customHeight="1" x14ac:dyDescent="0.35">
      <c r="A143" s="169" t="s">
        <v>171</v>
      </c>
      <c r="B143" s="170" t="s">
        <v>416</v>
      </c>
      <c r="C143" s="170" t="s">
        <v>221</v>
      </c>
      <c r="D143" s="169" t="s">
        <v>77</v>
      </c>
      <c r="E143" s="169" t="s">
        <v>460</v>
      </c>
      <c r="F143" s="121">
        <v>0.33333333333333331</v>
      </c>
      <c r="G143" s="195">
        <f>Table436[[#This Row],[Min Daily Hours]]*24</f>
        <v>8</v>
      </c>
      <c r="H143" s="76">
        <v>3</v>
      </c>
      <c r="I143" s="22">
        <f>Table4[[#This Row],[Available Hours for Service]]</f>
        <v>28.870833333334303</v>
      </c>
      <c r="J143" s="65">
        <v>8400</v>
      </c>
      <c r="K143" s="123">
        <f>Table436[[#This Row],[Min Daily Hours]]*J$199</f>
        <v>10</v>
      </c>
      <c r="L143" s="123">
        <f>SUM(Table436[[#This Row],[1]:[31]])</f>
        <v>14.90138888888889</v>
      </c>
      <c r="M143" s="121">
        <v>0.32083333333333336</v>
      </c>
      <c r="N143" s="121">
        <v>0.3125</v>
      </c>
      <c r="O143" s="121">
        <v>0.56527777777777777</v>
      </c>
      <c r="P143" s="121">
        <v>0.31319444444444444</v>
      </c>
      <c r="Q143" s="121">
        <v>0.38680555555555557</v>
      </c>
      <c r="R143" s="121">
        <v>0.29166666666666669</v>
      </c>
      <c r="S143" s="121">
        <v>0.81388888888888899</v>
      </c>
      <c r="T143" s="121">
        <v>0.41666666666666669</v>
      </c>
      <c r="U143" s="121">
        <v>0.8652777777777777</v>
      </c>
      <c r="V143" s="121">
        <v>0.9277777777777777</v>
      </c>
      <c r="W143" s="22">
        <v>0.77013888888888893</v>
      </c>
      <c r="X143" s="22">
        <v>0.57430555555555551</v>
      </c>
      <c r="Y143" s="22">
        <v>0.43263888888888885</v>
      </c>
      <c r="Z143" s="22">
        <v>0.55555555555555558</v>
      </c>
      <c r="AA143" s="22">
        <v>0.41597222222222219</v>
      </c>
      <c r="AB143" s="22">
        <v>0.47013888888888888</v>
      </c>
      <c r="AC143" s="22">
        <v>0.50694444444444442</v>
      </c>
      <c r="AD143" s="22">
        <v>0.10347222222222223</v>
      </c>
      <c r="AE143" s="22">
        <v>0.49861111111111112</v>
      </c>
      <c r="AF143" s="22">
        <v>0.47916666666666669</v>
      </c>
      <c r="AG143" s="22">
        <v>0.49722222222222223</v>
      </c>
      <c r="AH143" s="215">
        <v>0.70833333333333337</v>
      </c>
      <c r="AI143" s="22">
        <v>0.4381944444444445</v>
      </c>
      <c r="AJ143" s="22">
        <v>0.62361111111111112</v>
      </c>
      <c r="AK143" s="22">
        <v>0.56736111111111109</v>
      </c>
      <c r="AL143" s="22">
        <v>0.25</v>
      </c>
      <c r="AM143" s="22">
        <v>0.19583333333333333</v>
      </c>
      <c r="AN143" s="22">
        <v>0.21875</v>
      </c>
      <c r="AO143" s="22">
        <v>0.33194444444444443</v>
      </c>
      <c r="AP143" s="22">
        <v>0.15277777777777776</v>
      </c>
      <c r="AQ143" s="22">
        <v>0.8965277777777777</v>
      </c>
    </row>
    <row r="144" spans="1:43" ht="17.25" customHeight="1" x14ac:dyDescent="0.35">
      <c r="A144" s="169" t="s">
        <v>171</v>
      </c>
      <c r="B144" s="170" t="s">
        <v>416</v>
      </c>
      <c r="C144" s="170" t="s">
        <v>443</v>
      </c>
      <c r="D144" s="169" t="s">
        <v>76</v>
      </c>
      <c r="E144" s="169" t="s">
        <v>457</v>
      </c>
      <c r="F144" s="121">
        <v>0.83333333333333337</v>
      </c>
      <c r="G144" s="195">
        <f>Table436[[#This Row],[Min Daily Hours]]*24</f>
        <v>20</v>
      </c>
      <c r="H144" s="76">
        <v>2.7</v>
      </c>
      <c r="I144" s="22">
        <f>Table4[[#This Row],[Available Hours for Service]]</f>
        <v>29.210416666661331</v>
      </c>
      <c r="J144" s="65">
        <v>5900</v>
      </c>
      <c r="K144" s="123">
        <f>Table436[[#This Row],[Min Daily Hours]]*J$199</f>
        <v>25</v>
      </c>
      <c r="L144" s="123">
        <f>SUM(Table436[[#This Row],[1]:[31]])</f>
        <v>21.604861111111113</v>
      </c>
      <c r="M144" s="121">
        <v>0.75</v>
      </c>
      <c r="N144" s="121">
        <v>0.63472222222222219</v>
      </c>
      <c r="O144" s="121">
        <v>0.56527777777777777</v>
      </c>
      <c r="P144" s="121">
        <v>0.54166666666666663</v>
      </c>
      <c r="Q144" s="121">
        <v>0.57500000000000007</v>
      </c>
      <c r="R144" s="121">
        <v>0.72013888888888899</v>
      </c>
      <c r="S144" s="121">
        <v>0.81388888888888899</v>
      </c>
      <c r="T144" s="121">
        <v>0.56736111111111109</v>
      </c>
      <c r="U144" s="121">
        <v>0.8652777777777777</v>
      </c>
      <c r="V144" s="121">
        <v>1</v>
      </c>
      <c r="W144" s="22">
        <v>0.77013888888888893</v>
      </c>
      <c r="X144" s="22">
        <v>0.65902777777777777</v>
      </c>
      <c r="Y144" s="22">
        <v>0.30208333333333331</v>
      </c>
      <c r="Z144" s="22">
        <v>0.95138888888888884</v>
      </c>
      <c r="AA144" s="22">
        <v>0.87638888888888899</v>
      </c>
      <c r="AB144" s="22">
        <v>0.84444444444444444</v>
      </c>
      <c r="AC144" s="22">
        <v>0.64583333333333337</v>
      </c>
      <c r="AD144" s="22">
        <v>0.46875</v>
      </c>
      <c r="AE144" s="22">
        <v>0.87222222222222223</v>
      </c>
      <c r="AF144" s="22">
        <v>0.4826388888888889</v>
      </c>
      <c r="AG144" s="22">
        <v>0.97361111111111109</v>
      </c>
      <c r="AH144" s="215">
        <v>0.82777777777777783</v>
      </c>
      <c r="AI144" s="22">
        <v>0.57777777777777783</v>
      </c>
      <c r="AJ144" s="22">
        <v>0.75208333333333333</v>
      </c>
      <c r="AK144" s="22">
        <v>0.98472222222222217</v>
      </c>
      <c r="AL144" s="22">
        <v>0.69513888888888886</v>
      </c>
      <c r="AM144" s="22">
        <v>0.5708333333333333</v>
      </c>
      <c r="AN144" s="22">
        <v>0.25</v>
      </c>
      <c r="AO144" s="22">
        <v>0.62013888888888891</v>
      </c>
      <c r="AP144" s="22">
        <v>0.45694444444444443</v>
      </c>
      <c r="AQ144" s="22">
        <v>0.98958333333333337</v>
      </c>
    </row>
    <row r="145" spans="1:43" ht="17.25" customHeight="1" x14ac:dyDescent="0.35">
      <c r="A145" s="169" t="s">
        <v>171</v>
      </c>
      <c r="B145" s="170" t="s">
        <v>417</v>
      </c>
      <c r="C145" s="170" t="s">
        <v>225</v>
      </c>
      <c r="D145" s="169" t="s">
        <v>74</v>
      </c>
      <c r="E145" s="169" t="s">
        <v>458</v>
      </c>
      <c r="F145" s="121">
        <v>0.66666666666666663</v>
      </c>
      <c r="G145" s="195">
        <f>Table436[[#This Row],[Min Daily Hours]]*24</f>
        <v>16</v>
      </c>
      <c r="H145" s="76">
        <v>2.2000000000000002</v>
      </c>
      <c r="I145" s="22">
        <f>Table4[[#This Row],[Available Hours for Service]]</f>
        <v>29.287499999998545</v>
      </c>
      <c r="J145" s="65">
        <v>13865</v>
      </c>
      <c r="K145" s="123">
        <f>Table436[[#This Row],[Min Daily Hours]]*J$199</f>
        <v>20</v>
      </c>
      <c r="L145" s="123">
        <f>SUM(Table436[[#This Row],[1]:[31]])</f>
        <v>18.637499999999999</v>
      </c>
      <c r="M145" s="121">
        <v>0.72986111111111107</v>
      </c>
      <c r="N145" s="121">
        <v>0.56319444444444444</v>
      </c>
      <c r="O145" s="121">
        <v>0.56527777777777777</v>
      </c>
      <c r="P145" s="121">
        <v>0.3979166666666667</v>
      </c>
      <c r="Q145" s="121">
        <v>0.57500000000000007</v>
      </c>
      <c r="R145" s="121">
        <v>0.5</v>
      </c>
      <c r="S145" s="121">
        <v>0.24305555555555555</v>
      </c>
      <c r="T145" s="121">
        <v>0.56736111111111109</v>
      </c>
      <c r="U145" s="121">
        <v>0.8652777777777777</v>
      </c>
      <c r="V145" s="121">
        <v>1</v>
      </c>
      <c r="W145" s="22">
        <v>0.77013888888888893</v>
      </c>
      <c r="X145" s="22">
        <v>0.72291666666666676</v>
      </c>
      <c r="Y145" s="22">
        <v>0</v>
      </c>
      <c r="Z145" s="22">
        <v>0.12986111111111112</v>
      </c>
      <c r="AA145" s="22">
        <v>0.67986111111111114</v>
      </c>
      <c r="AB145" s="22">
        <v>0.18611111111111112</v>
      </c>
      <c r="AC145" s="22">
        <v>0.65625</v>
      </c>
      <c r="AD145" s="22">
        <v>0.46875</v>
      </c>
      <c r="AE145" s="22">
        <v>0.90069444444444446</v>
      </c>
      <c r="AF145" s="22">
        <v>0.4826388888888889</v>
      </c>
      <c r="AG145" s="22">
        <v>0.90277777777777779</v>
      </c>
      <c r="AH145" s="215">
        <v>0.83333333333333337</v>
      </c>
      <c r="AI145" s="22">
        <v>0.57777777777777783</v>
      </c>
      <c r="AJ145" s="22">
        <v>0.75208333333333333</v>
      </c>
      <c r="AK145" s="22">
        <v>0.66666666666666663</v>
      </c>
      <c r="AL145" s="22">
        <v>0.69513888888888886</v>
      </c>
      <c r="AM145" s="22">
        <v>0.53472222222222221</v>
      </c>
      <c r="AN145" s="22">
        <v>0.86319444444444438</v>
      </c>
      <c r="AO145" s="22">
        <v>0.58194444444444449</v>
      </c>
      <c r="AP145" s="22">
        <v>0.23611111111111113</v>
      </c>
      <c r="AQ145" s="22">
        <v>0.98958333333333337</v>
      </c>
    </row>
    <row r="146" spans="1:43" ht="17.25" customHeight="1" x14ac:dyDescent="0.35">
      <c r="A146" s="169" t="s">
        <v>171</v>
      </c>
      <c r="B146" s="170" t="s">
        <v>417</v>
      </c>
      <c r="C146" s="170" t="s">
        <v>221</v>
      </c>
      <c r="D146" s="169" t="s">
        <v>78</v>
      </c>
      <c r="E146" s="169" t="s">
        <v>460</v>
      </c>
      <c r="F146" s="121">
        <v>0.33333333333333331</v>
      </c>
      <c r="G146" s="195">
        <f>Table436[[#This Row],[Min Daily Hours]]*24</f>
        <v>8</v>
      </c>
      <c r="H146" s="76">
        <v>4.7</v>
      </c>
      <c r="I146" s="22">
        <f>Table4[[#This Row],[Available Hours for Service]]</f>
        <v>29.184027777773736</v>
      </c>
      <c r="J146" s="65">
        <v>10200</v>
      </c>
      <c r="K146" s="123">
        <f>Table436[[#This Row],[Min Daily Hours]]*J$199</f>
        <v>10</v>
      </c>
      <c r="L146" s="123">
        <f>SUM(Table436[[#This Row],[1]:[31]])</f>
        <v>15.052777777777781</v>
      </c>
      <c r="M146" s="121">
        <v>0.24652777777777779</v>
      </c>
      <c r="N146" s="121">
        <v>0.38541666666666669</v>
      </c>
      <c r="O146" s="121">
        <v>0.4694444444444445</v>
      </c>
      <c r="P146" s="121">
        <v>0.48125000000000001</v>
      </c>
      <c r="Q146" s="121">
        <v>0.36736111111111108</v>
      </c>
      <c r="R146" s="121">
        <v>0.25</v>
      </c>
      <c r="S146" s="121">
        <v>0.56319444444444444</v>
      </c>
      <c r="T146" s="121">
        <v>0.56736111111111109</v>
      </c>
      <c r="U146" s="121">
        <v>0.70833333333333337</v>
      </c>
      <c r="V146" s="121">
        <v>0.91666666666666663</v>
      </c>
      <c r="W146" s="22">
        <v>0.77013888888888893</v>
      </c>
      <c r="X146" s="22">
        <v>0.48472222222222222</v>
      </c>
      <c r="Y146" s="22">
        <v>0</v>
      </c>
      <c r="Z146" s="22">
        <v>0.50694444444444442</v>
      </c>
      <c r="AA146" s="22">
        <v>0.33749999999999997</v>
      </c>
      <c r="AB146" s="22">
        <v>0.55972222222222223</v>
      </c>
      <c r="AC146" s="22">
        <v>0.54305555555555551</v>
      </c>
      <c r="AD146" s="22">
        <v>0.41666666666666669</v>
      </c>
      <c r="AE146" s="22">
        <v>0.40833333333333338</v>
      </c>
      <c r="AF146" s="22">
        <v>0.47916666666666669</v>
      </c>
      <c r="AG146" s="22">
        <v>0.52777777777777779</v>
      </c>
      <c r="AH146" s="215">
        <v>0.62361111111111112</v>
      </c>
      <c r="AI146" s="22">
        <v>0.45624999999999999</v>
      </c>
      <c r="AJ146" s="22">
        <v>0.60277777777777775</v>
      </c>
      <c r="AK146" s="22">
        <v>0.70347222222222217</v>
      </c>
      <c r="AL146" s="22">
        <v>0.27638888888888885</v>
      </c>
      <c r="AM146" s="22">
        <v>0.17013888888888887</v>
      </c>
      <c r="AN146" s="22">
        <v>0.54166666666666663</v>
      </c>
      <c r="AO146" s="22">
        <v>0.26874999999999999</v>
      </c>
      <c r="AP146" s="22">
        <v>0.45694444444444443</v>
      </c>
      <c r="AQ146" s="22">
        <v>0.96319444444444446</v>
      </c>
    </row>
    <row r="147" spans="1:43" ht="17.25" customHeight="1" x14ac:dyDescent="0.35">
      <c r="A147" s="169" t="s">
        <v>171</v>
      </c>
      <c r="B147" s="170" t="s">
        <v>418</v>
      </c>
      <c r="C147" s="170" t="s">
        <v>225</v>
      </c>
      <c r="D147" s="169" t="s">
        <v>75</v>
      </c>
      <c r="E147" s="169" t="s">
        <v>457</v>
      </c>
      <c r="F147" s="121">
        <v>0.83333333333333337</v>
      </c>
      <c r="G147" s="195">
        <f>Table436[[#This Row],[Min Daily Hours]]*24</f>
        <v>20</v>
      </c>
      <c r="H147" s="76">
        <v>1.8</v>
      </c>
      <c r="I147" s="22">
        <f>Table4[[#This Row],[Available Hours for Service]]</f>
        <v>30</v>
      </c>
      <c r="J147" s="65">
        <v>12500</v>
      </c>
      <c r="K147" s="123">
        <f>Table436[[#This Row],[Min Daily Hours]]*J$199</f>
        <v>25</v>
      </c>
      <c r="L147" s="123">
        <f>SUM(Table436[[#This Row],[1]:[31]])</f>
        <v>22.036111111111111</v>
      </c>
      <c r="M147" s="121">
        <v>0.56874999999999998</v>
      </c>
      <c r="N147" s="121">
        <v>0.63472222222222219</v>
      </c>
      <c r="O147" s="121">
        <v>0.57152777777777775</v>
      </c>
      <c r="P147" s="121">
        <v>0.625</v>
      </c>
      <c r="Q147" s="121">
        <v>0.57500000000000007</v>
      </c>
      <c r="R147" s="121">
        <v>0.71597222222222223</v>
      </c>
      <c r="S147" s="121">
        <v>0.81388888888888899</v>
      </c>
      <c r="T147" s="121">
        <v>0.56736111111111109</v>
      </c>
      <c r="U147" s="121">
        <v>0.8652777777777777</v>
      </c>
      <c r="V147" s="121">
        <v>1</v>
      </c>
      <c r="W147" s="22">
        <v>0.77013888888888893</v>
      </c>
      <c r="X147" s="22">
        <v>0.72291666666666676</v>
      </c>
      <c r="Y147" s="22">
        <v>0.41666666666666669</v>
      </c>
      <c r="Z147" s="22">
        <v>0.78055555555555556</v>
      </c>
      <c r="AA147" s="22">
        <v>0.87430555555555556</v>
      </c>
      <c r="AB147" s="22">
        <v>0.84444444444444444</v>
      </c>
      <c r="AC147" s="22">
        <v>0.47222222222222227</v>
      </c>
      <c r="AD147" s="22">
        <v>0.46875</v>
      </c>
      <c r="AE147" s="22">
        <v>0.90069444444444446</v>
      </c>
      <c r="AF147" s="22">
        <v>0.4826388888888889</v>
      </c>
      <c r="AG147" s="22">
        <v>0.97361111111111109</v>
      </c>
      <c r="AH147" s="215">
        <v>0.79027777777777775</v>
      </c>
      <c r="AI147" s="22">
        <v>0.57777777777777783</v>
      </c>
      <c r="AJ147" s="22">
        <v>0.67361111111111116</v>
      </c>
      <c r="AK147" s="22">
        <v>0.97777777777777775</v>
      </c>
      <c r="AL147" s="22">
        <v>0.71944444444444444</v>
      </c>
      <c r="AM147" s="22">
        <v>0.59375</v>
      </c>
      <c r="AN147" s="22">
        <v>0.75</v>
      </c>
      <c r="AO147" s="22">
        <v>0.62013888888888891</v>
      </c>
      <c r="AP147" s="22">
        <v>0.69930555555555562</v>
      </c>
      <c r="AQ147" s="22">
        <v>0.98958333333333337</v>
      </c>
    </row>
    <row r="148" spans="1:43" ht="17.25" customHeight="1" x14ac:dyDescent="0.35">
      <c r="A148" s="169" t="s">
        <v>171</v>
      </c>
      <c r="B148" s="170" t="s">
        <v>412</v>
      </c>
      <c r="C148" s="170" t="s">
        <v>221</v>
      </c>
      <c r="D148" s="169" t="s">
        <v>142</v>
      </c>
      <c r="E148" s="169" t="s">
        <v>460</v>
      </c>
      <c r="F148" s="121">
        <v>0.33333333333333331</v>
      </c>
      <c r="G148" s="195">
        <f>Table436[[#This Row],[Min Daily Hours]]*24</f>
        <v>8</v>
      </c>
      <c r="H148" s="76">
        <v>2.2999999999999998</v>
      </c>
      <c r="I148" s="22">
        <f>Table4[[#This Row],[Available Hours for Service]]</f>
        <v>29.534722222226264</v>
      </c>
      <c r="J148" s="65">
        <v>5700</v>
      </c>
      <c r="K148" s="123">
        <f>Table436[[#This Row],[Min Daily Hours]]*J$199</f>
        <v>10</v>
      </c>
      <c r="L148" s="123">
        <f>SUM(Table436[[#This Row],[1]:[31]])</f>
        <v>11.684722222222224</v>
      </c>
      <c r="M148" s="121">
        <v>0.30763888888888891</v>
      </c>
      <c r="N148" s="121">
        <v>0.375</v>
      </c>
      <c r="O148" s="121">
        <v>0.40902777777777777</v>
      </c>
      <c r="P148" s="121">
        <v>0</v>
      </c>
      <c r="Q148" s="121">
        <v>0.33333333333333331</v>
      </c>
      <c r="R148" s="121">
        <v>0.44166666666666665</v>
      </c>
      <c r="S148" s="121">
        <v>0.15138888888888888</v>
      </c>
      <c r="T148" s="121">
        <v>0.65208333333333335</v>
      </c>
      <c r="U148" s="121">
        <v>0.54166666666666663</v>
      </c>
      <c r="V148" s="121">
        <v>0.85763888888888884</v>
      </c>
      <c r="W148" s="22">
        <v>0.45833333333333331</v>
      </c>
      <c r="X148" s="22">
        <v>0.35555555555555557</v>
      </c>
      <c r="Y148" s="22">
        <v>9.2361111111111116E-2</v>
      </c>
      <c r="Z148" s="22">
        <v>0.4152777777777778</v>
      </c>
      <c r="AA148" s="22">
        <v>0.34097222222222223</v>
      </c>
      <c r="AB148" s="22">
        <v>0.22708333333333333</v>
      </c>
      <c r="AC148" s="22">
        <v>0.5</v>
      </c>
      <c r="AD148" s="22">
        <v>0.19375000000000001</v>
      </c>
      <c r="AE148" s="22">
        <v>0.44444444444444442</v>
      </c>
      <c r="AF148" s="22">
        <v>0.28541666666666665</v>
      </c>
      <c r="AG148" s="22">
        <v>0.54097222222222219</v>
      </c>
      <c r="AH148" s="215">
        <v>0.3347222222222222</v>
      </c>
      <c r="AI148" s="22">
        <v>0.2590277777777778</v>
      </c>
      <c r="AJ148" s="22">
        <v>0.75763888888888886</v>
      </c>
      <c r="AK148" s="22">
        <v>0.40833333333333338</v>
      </c>
      <c r="AL148" s="220">
        <v>0.39513888888888887</v>
      </c>
      <c r="AM148" s="22">
        <v>0.21666666666666667</v>
      </c>
      <c r="AN148" s="22">
        <v>8.3333333333333329E-2</v>
      </c>
      <c r="AO148" s="22">
        <v>0.35347222222222219</v>
      </c>
      <c r="AP148" s="22">
        <v>0.1875</v>
      </c>
      <c r="AQ148" s="22">
        <v>0.76527777777777783</v>
      </c>
    </row>
    <row r="149" spans="1:43" s="157" customFormat="1" ht="17.25" customHeight="1" x14ac:dyDescent="0.35">
      <c r="A149" s="169" t="s">
        <v>171</v>
      </c>
      <c r="B149" s="170" t="s">
        <v>412</v>
      </c>
      <c r="C149" s="170" t="s">
        <v>221</v>
      </c>
      <c r="D149" s="169" t="s">
        <v>367</v>
      </c>
      <c r="E149" s="169" t="s">
        <v>457</v>
      </c>
      <c r="F149" s="121">
        <v>0.83333333333333337</v>
      </c>
      <c r="G149" s="195">
        <f>Table436[[#This Row],[Min Daily Hours]]*24</f>
        <v>20</v>
      </c>
      <c r="H149" s="76">
        <v>0.1</v>
      </c>
      <c r="I149" s="121">
        <f>Table4[[#This Row],[Available Hours for Service]]</f>
        <v>29.51597222223063</v>
      </c>
      <c r="J149" s="65">
        <v>850</v>
      </c>
      <c r="K149" s="123">
        <f>Table436[[#This Row],[Min Daily Hours]]*J$199</f>
        <v>25</v>
      </c>
      <c r="L149" s="123">
        <f>SUM(Table436[[#This Row],[1]:[31]])</f>
        <v>15.786805555555551</v>
      </c>
      <c r="M149" s="121">
        <v>0.58333333333333337</v>
      </c>
      <c r="N149" s="121">
        <v>0.45833333333333331</v>
      </c>
      <c r="O149" s="121">
        <v>0.48541666666666666</v>
      </c>
      <c r="P149" s="121">
        <v>0.25</v>
      </c>
      <c r="Q149" s="121">
        <v>5.347222222222222E-2</v>
      </c>
      <c r="R149" s="121">
        <v>0.44166666666666665</v>
      </c>
      <c r="S149" s="121">
        <v>0.44027777777777777</v>
      </c>
      <c r="T149" s="121">
        <v>0.49652777777777773</v>
      </c>
      <c r="U149" s="121">
        <v>0.41666666666666669</v>
      </c>
      <c r="V149" s="121">
        <v>0.7680555555555556</v>
      </c>
      <c r="W149" s="121">
        <v>0.45833333333333331</v>
      </c>
      <c r="X149" s="121">
        <v>0.5</v>
      </c>
      <c r="Y149" s="121">
        <v>6.458333333333334E-2</v>
      </c>
      <c r="Z149" s="121">
        <v>0.60277777777777775</v>
      </c>
      <c r="AA149" s="121">
        <v>0.32083333333333336</v>
      </c>
      <c r="AB149" s="121">
        <v>0.80625000000000002</v>
      </c>
      <c r="AC149" s="121">
        <v>0.7270833333333333</v>
      </c>
      <c r="AD149" s="121">
        <v>0.44166666666666665</v>
      </c>
      <c r="AE149" s="121">
        <v>0.83194444444444438</v>
      </c>
      <c r="AF149" s="121">
        <v>0.55555555555555558</v>
      </c>
      <c r="AG149" s="121">
        <v>0.70000000000000007</v>
      </c>
      <c r="AH149" s="215">
        <v>0.69097222222222221</v>
      </c>
      <c r="AI149" s="121">
        <v>0.48402777777777778</v>
      </c>
      <c r="AJ149" s="121">
        <v>0.31736111111111115</v>
      </c>
      <c r="AK149" s="121">
        <v>0.43055555555555558</v>
      </c>
      <c r="AL149" s="121">
        <v>0.55138888888888882</v>
      </c>
      <c r="AM149" s="121">
        <v>0.50138888888888888</v>
      </c>
      <c r="AN149" s="121">
        <v>0.33402777777777781</v>
      </c>
      <c r="AO149" s="121">
        <v>0.68680555555555556</v>
      </c>
      <c r="AP149" s="121">
        <v>0.4152777777777778</v>
      </c>
      <c r="AQ149" s="121">
        <v>0.97222222222222221</v>
      </c>
    </row>
    <row r="150" spans="1:43" ht="17.25" customHeight="1" x14ac:dyDescent="0.35">
      <c r="A150" s="169" t="s">
        <v>178</v>
      </c>
      <c r="B150" s="170" t="s">
        <v>413</v>
      </c>
      <c r="C150" s="170" t="s">
        <v>13</v>
      </c>
      <c r="D150" s="169" t="s">
        <v>105</v>
      </c>
      <c r="E150" s="169" t="s">
        <v>461</v>
      </c>
      <c r="F150" s="121">
        <v>0.5</v>
      </c>
      <c r="G150" s="195">
        <f>Table436[[#This Row],[Min Daily Hours]]*24</f>
        <v>12</v>
      </c>
      <c r="H150" s="76">
        <v>0.8</v>
      </c>
      <c r="I150" s="22">
        <f>Table4[[#This Row],[Available Hours for Service]]</f>
        <v>30</v>
      </c>
      <c r="J150" s="65">
        <v>2550</v>
      </c>
      <c r="K150" s="123">
        <f>Table436[[#This Row],[Min Daily Hours]]*J$199</f>
        <v>15</v>
      </c>
      <c r="L150" s="123">
        <f>SUM(Table436[[#This Row],[1]:[31]])</f>
        <v>3.5611111111111104</v>
      </c>
      <c r="M150" s="121">
        <v>0</v>
      </c>
      <c r="N150" s="121">
        <v>0</v>
      </c>
      <c r="O150" s="121">
        <v>0</v>
      </c>
      <c r="P150" s="121">
        <v>0.35694444444444445</v>
      </c>
      <c r="Q150" s="121">
        <v>7.7083333333333337E-2</v>
      </c>
      <c r="R150" s="121">
        <v>0.21527777777777779</v>
      </c>
      <c r="S150" s="121">
        <v>0</v>
      </c>
      <c r="T150" s="121">
        <v>0</v>
      </c>
      <c r="U150" s="121">
        <v>6.9444444444444434E-2</v>
      </c>
      <c r="V150" s="121">
        <v>0.25</v>
      </c>
      <c r="W150" s="22">
        <v>0.18541666666666667</v>
      </c>
      <c r="X150" s="22">
        <v>4.1666666666666664E-2</v>
      </c>
      <c r="Y150" s="22">
        <v>0.18055555555555555</v>
      </c>
      <c r="Z150" s="22">
        <v>0.35069444444444442</v>
      </c>
      <c r="AA150" s="22">
        <v>0</v>
      </c>
      <c r="AB150" s="22">
        <v>9.4444444444444442E-2</v>
      </c>
      <c r="AC150" s="22">
        <v>0</v>
      </c>
      <c r="AD150" s="22">
        <v>0</v>
      </c>
      <c r="AE150" s="22">
        <v>0.125</v>
      </c>
      <c r="AF150" s="22">
        <v>6.5277777777777782E-2</v>
      </c>
      <c r="AG150" s="121">
        <v>0.10416666666666667</v>
      </c>
      <c r="AH150" s="215">
        <v>0.35416666666666669</v>
      </c>
      <c r="AI150" s="22">
        <v>1.0416666666666666E-2</v>
      </c>
      <c r="AJ150" s="22">
        <v>0</v>
      </c>
      <c r="AK150" s="22">
        <v>0.21527777777777779</v>
      </c>
      <c r="AL150" s="22">
        <v>0.3125</v>
      </c>
      <c r="AM150" s="22">
        <v>0.11319444444444444</v>
      </c>
      <c r="AN150" s="22">
        <v>9.375E-2</v>
      </c>
      <c r="AO150" s="22">
        <v>0</v>
      </c>
      <c r="AP150" s="22">
        <v>3.125E-2</v>
      </c>
      <c r="AQ150" s="22">
        <v>0.31458333333333333</v>
      </c>
    </row>
    <row r="151" spans="1:43" ht="17.25" customHeight="1" x14ac:dyDescent="0.35">
      <c r="A151" s="169" t="s">
        <v>445</v>
      </c>
      <c r="B151" s="170" t="s">
        <v>414</v>
      </c>
      <c r="C151" s="170" t="s">
        <v>217</v>
      </c>
      <c r="D151" s="169" t="s">
        <v>87</v>
      </c>
      <c r="E151" s="169" t="s">
        <v>457</v>
      </c>
      <c r="F151" s="121">
        <v>0.83333333333333337</v>
      </c>
      <c r="G151" s="195">
        <f>Table436[[#This Row],[Min Daily Hours]]*24</f>
        <v>20</v>
      </c>
      <c r="H151" s="76">
        <v>0</v>
      </c>
      <c r="I151" s="22">
        <f>Table4[[#This Row],[Available Hours for Service]]</f>
        <v>28.357638888890506</v>
      </c>
      <c r="J151" s="65">
        <v>450</v>
      </c>
      <c r="K151" s="123">
        <f>Table436[[#This Row],[Min Daily Hours]]*J$199</f>
        <v>25</v>
      </c>
      <c r="L151" s="123">
        <f>SUM(Table436[[#This Row],[1]:[31]])</f>
        <v>11.302777777777781</v>
      </c>
      <c r="M151" s="121">
        <v>0.60069444444444442</v>
      </c>
      <c r="N151" s="121">
        <v>0.16666666666666666</v>
      </c>
      <c r="O151" s="121">
        <v>0.52986111111111112</v>
      </c>
      <c r="P151" s="121">
        <v>6.6666666666666666E-2</v>
      </c>
      <c r="Q151" s="121">
        <v>0.30555555555555552</v>
      </c>
      <c r="R151" s="121">
        <v>0.78194444444444444</v>
      </c>
      <c r="S151" s="121">
        <v>0.23194444444444443</v>
      </c>
      <c r="T151" s="121">
        <v>0.39930555555555558</v>
      </c>
      <c r="U151" s="121">
        <v>0.81527777777777777</v>
      </c>
      <c r="V151" s="121">
        <v>0.44861111111111113</v>
      </c>
      <c r="W151" s="22">
        <v>0.97569444444444453</v>
      </c>
      <c r="X151" s="22">
        <v>0</v>
      </c>
      <c r="Y151" s="22">
        <v>0</v>
      </c>
      <c r="Z151" s="22">
        <v>0</v>
      </c>
      <c r="AA151" s="22">
        <v>0.4069444444444445</v>
      </c>
      <c r="AB151" s="22">
        <v>0.43472222222222223</v>
      </c>
      <c r="AC151" s="22">
        <v>0.10416666666666667</v>
      </c>
      <c r="AD151" s="22">
        <v>8.3333333333333329E-2</v>
      </c>
      <c r="AE151" s="22">
        <v>0.55208333333333337</v>
      </c>
      <c r="AF151" s="22">
        <v>0.35069444444444442</v>
      </c>
      <c r="AG151" s="22">
        <v>0.17361111111111113</v>
      </c>
      <c r="AH151" s="220">
        <v>0.58472222222222225</v>
      </c>
      <c r="AI151" s="22">
        <v>0.38472222222222219</v>
      </c>
      <c r="AJ151" s="22">
        <v>0.70972222222222225</v>
      </c>
      <c r="AK151" s="22">
        <v>0.43611111111111112</v>
      </c>
      <c r="AL151" s="22">
        <v>0.36458333333333331</v>
      </c>
      <c r="AM151" s="22">
        <v>0.1013888888888889</v>
      </c>
      <c r="AN151" s="220">
        <v>0</v>
      </c>
      <c r="AO151" s="220">
        <v>0.1388888888888889</v>
      </c>
      <c r="AP151" s="220">
        <v>0.63541666666666663</v>
      </c>
      <c r="AQ151" s="22">
        <v>0.51944444444444449</v>
      </c>
    </row>
    <row r="152" spans="1:43" ht="17.25" customHeight="1" x14ac:dyDescent="0.35">
      <c r="A152" s="169" t="s">
        <v>445</v>
      </c>
      <c r="B152" s="170" t="s">
        <v>415</v>
      </c>
      <c r="C152" s="170" t="s">
        <v>217</v>
      </c>
      <c r="D152" s="169" t="s">
        <v>88</v>
      </c>
      <c r="E152" s="169" t="s">
        <v>457</v>
      </c>
      <c r="F152" s="121">
        <v>0.83333333333333337</v>
      </c>
      <c r="G152" s="195">
        <f>Table436[[#This Row],[Min Daily Hours]]*24</f>
        <v>20</v>
      </c>
      <c r="H152" s="76">
        <v>0.4</v>
      </c>
      <c r="I152" s="22">
        <f>Table4[[#This Row],[Available Hours for Service]]</f>
        <v>30</v>
      </c>
      <c r="J152" s="65">
        <v>2000</v>
      </c>
      <c r="K152" s="123">
        <f>Table436[[#This Row],[Min Daily Hours]]*J$199</f>
        <v>25</v>
      </c>
      <c r="L152" s="123">
        <f>SUM(Table436[[#This Row],[1]:[31]])</f>
        <v>10.752083333333335</v>
      </c>
      <c r="M152" s="121">
        <v>0.60069444444444442</v>
      </c>
      <c r="N152" s="121">
        <v>0.44444444444444442</v>
      </c>
      <c r="O152" s="121">
        <v>0.52986111111111112</v>
      </c>
      <c r="P152" s="121">
        <v>6.6666666666666666E-2</v>
      </c>
      <c r="Q152" s="121">
        <v>0.30555555555555552</v>
      </c>
      <c r="R152" s="121">
        <v>0.67083333333333339</v>
      </c>
      <c r="S152" s="121">
        <v>7.0833333333333331E-2</v>
      </c>
      <c r="T152" s="121">
        <v>0.39930555555555558</v>
      </c>
      <c r="U152" s="121">
        <v>0.54166666666666663</v>
      </c>
      <c r="V152" s="121">
        <v>0.375</v>
      </c>
      <c r="W152" s="22">
        <v>0.71944444444444444</v>
      </c>
      <c r="X152" s="22">
        <v>0</v>
      </c>
      <c r="Y152" s="22">
        <v>0</v>
      </c>
      <c r="Z152" s="22">
        <v>0</v>
      </c>
      <c r="AA152" s="22">
        <v>0.46111111111111108</v>
      </c>
      <c r="AB152" s="22">
        <v>0.42777777777777781</v>
      </c>
      <c r="AC152" s="22">
        <v>0.10416666666666667</v>
      </c>
      <c r="AD152" s="22">
        <v>8.3333333333333329E-2</v>
      </c>
      <c r="AE152" s="22">
        <v>0.55208333333333337</v>
      </c>
      <c r="AF152" s="22">
        <v>0.35069444444444442</v>
      </c>
      <c r="AG152" s="22">
        <v>0.17361111111111113</v>
      </c>
      <c r="AH152" s="220">
        <v>0.58472222222222225</v>
      </c>
      <c r="AI152" s="121">
        <v>0.38472222222222219</v>
      </c>
      <c r="AJ152" s="121">
        <v>0.70972222222222225</v>
      </c>
      <c r="AK152" s="121">
        <v>0.43611111111111112</v>
      </c>
      <c r="AL152" s="22">
        <v>0.36458333333333331</v>
      </c>
      <c r="AM152" s="22">
        <v>0.1013888888888889</v>
      </c>
      <c r="AN152" s="220">
        <v>0</v>
      </c>
      <c r="AO152" s="220">
        <v>0.1388888888888889</v>
      </c>
      <c r="AP152" s="220">
        <v>0.63541666666666663</v>
      </c>
      <c r="AQ152" s="22">
        <v>0.51944444444444449</v>
      </c>
    </row>
    <row r="153" spans="1:43" ht="17.25" customHeight="1" x14ac:dyDescent="0.35">
      <c r="A153" s="169" t="s">
        <v>173</v>
      </c>
      <c r="B153" s="170" t="s">
        <v>419</v>
      </c>
      <c r="C153" s="170" t="s">
        <v>12</v>
      </c>
      <c r="D153" s="169" t="s">
        <v>134</v>
      </c>
      <c r="E153" s="169" t="s">
        <v>461</v>
      </c>
      <c r="F153" s="121">
        <v>0.5</v>
      </c>
      <c r="G153" s="195">
        <f>Table436[[#This Row],[Min Daily Hours]]*24</f>
        <v>12</v>
      </c>
      <c r="H153" s="76">
        <v>4.2</v>
      </c>
      <c r="I153" s="22">
        <f>Table4[[#This Row],[Available Hours for Service]]</f>
        <v>27.879861111119681</v>
      </c>
      <c r="J153" s="65">
        <v>16500</v>
      </c>
      <c r="K153" s="123">
        <f>Table436[[#This Row],[Min Daily Hours]]*J$199</f>
        <v>15</v>
      </c>
      <c r="L153" s="123">
        <f>SUM(Table436[[#This Row],[1]:[31]])</f>
        <v>18.406944444444445</v>
      </c>
      <c r="M153" s="121">
        <v>0.54166666666666663</v>
      </c>
      <c r="N153" s="121">
        <v>0.375</v>
      </c>
      <c r="O153" s="121">
        <v>0.64583333333333337</v>
      </c>
      <c r="P153" s="121">
        <v>0.91666666666666663</v>
      </c>
      <c r="Q153" s="121">
        <v>0.91666666666666663</v>
      </c>
      <c r="R153" s="121">
        <v>0.30555555555555552</v>
      </c>
      <c r="S153" s="121">
        <v>0.34722222222222227</v>
      </c>
      <c r="T153" s="220">
        <v>0.83333333333333337</v>
      </c>
      <c r="U153" s="220">
        <v>0.8125</v>
      </c>
      <c r="V153" s="121">
        <v>0.81180555555555556</v>
      </c>
      <c r="W153" s="22">
        <v>0.75</v>
      </c>
      <c r="X153" s="22">
        <v>0.51041666666666663</v>
      </c>
      <c r="Y153" s="22">
        <v>0.47916666666666669</v>
      </c>
      <c r="Z153" s="22">
        <v>0.70833333333333337</v>
      </c>
      <c r="AA153" s="22">
        <v>0.54166666666666663</v>
      </c>
      <c r="AB153" s="22">
        <v>0.75</v>
      </c>
      <c r="AC153" s="22">
        <v>0.83333333333333337</v>
      </c>
      <c r="AD153" s="22">
        <v>0.1076388888888889</v>
      </c>
      <c r="AE153" s="22">
        <v>0.75</v>
      </c>
      <c r="AF153" s="22">
        <v>0.60277777777777775</v>
      </c>
      <c r="AG153" s="22">
        <v>0.64930555555555558</v>
      </c>
      <c r="AH153" s="215">
        <v>0.66666666666666663</v>
      </c>
      <c r="AI153" s="22">
        <v>0.42499999999999999</v>
      </c>
      <c r="AJ153" s="22">
        <v>0.4236111111111111</v>
      </c>
      <c r="AK153" s="22">
        <v>0.375</v>
      </c>
      <c r="AL153" s="22">
        <v>0.58680555555555558</v>
      </c>
      <c r="AM153" s="22">
        <v>0.375</v>
      </c>
      <c r="AN153" s="22">
        <v>0.91736111111111107</v>
      </c>
      <c r="AO153" s="22">
        <v>0.45833333333333331</v>
      </c>
      <c r="AP153" s="22">
        <v>0.55763888888888891</v>
      </c>
      <c r="AQ153" s="22">
        <v>0.43263888888888885</v>
      </c>
    </row>
    <row r="154" spans="1:43" ht="17.25" customHeight="1" x14ac:dyDescent="0.35">
      <c r="A154" s="169" t="s">
        <v>173</v>
      </c>
      <c r="B154" s="170" t="s">
        <v>420</v>
      </c>
      <c r="C154" s="170" t="s">
        <v>12</v>
      </c>
      <c r="D154" s="169" t="s">
        <v>135</v>
      </c>
      <c r="E154" s="169" t="s">
        <v>461</v>
      </c>
      <c r="F154" s="121">
        <v>0.5</v>
      </c>
      <c r="G154" s="195">
        <f>Table436[[#This Row],[Min Daily Hours]]*24</f>
        <v>12</v>
      </c>
      <c r="H154" s="76">
        <v>1.2</v>
      </c>
      <c r="I154" s="22">
        <f>Table4[[#This Row],[Available Hours for Service]]</f>
        <v>30</v>
      </c>
      <c r="J154" s="65">
        <v>4750</v>
      </c>
      <c r="K154" s="123">
        <f>Table436[[#This Row],[Min Daily Hours]]*J$199</f>
        <v>15</v>
      </c>
      <c r="L154" s="123">
        <f>SUM(Table436[[#This Row],[1]:[31]])</f>
        <v>18.824305555555554</v>
      </c>
      <c r="M154" s="121">
        <v>0.54166666666666663</v>
      </c>
      <c r="N154" s="121">
        <v>0.5</v>
      </c>
      <c r="O154" s="121">
        <v>0.70833333333333337</v>
      </c>
      <c r="P154" s="121">
        <v>0.81736111111111109</v>
      </c>
      <c r="Q154" s="121">
        <v>0.91666666666666663</v>
      </c>
      <c r="R154" s="121">
        <v>0.45833333333333331</v>
      </c>
      <c r="S154" s="121">
        <v>0.2638888888888889</v>
      </c>
      <c r="T154" s="220">
        <v>0.79166666666666663</v>
      </c>
      <c r="U154" s="220">
        <v>0.83333333333333337</v>
      </c>
      <c r="V154" s="121">
        <v>0.76874999999999993</v>
      </c>
      <c r="W154" s="22">
        <v>0.83333333333333337</v>
      </c>
      <c r="X154" s="22">
        <v>0.6791666666666667</v>
      </c>
      <c r="Y154" s="22">
        <v>0.85555555555555562</v>
      </c>
      <c r="Z154" s="22">
        <v>0.75</v>
      </c>
      <c r="AA154" s="22">
        <v>0.54166666666666663</v>
      </c>
      <c r="AB154" s="22">
        <v>0.75</v>
      </c>
      <c r="AC154" s="22">
        <v>0.83333333333333337</v>
      </c>
      <c r="AD154" s="22">
        <v>0.1076388888888889</v>
      </c>
      <c r="AE154" s="22">
        <v>0.83333333333333337</v>
      </c>
      <c r="AF154" s="22">
        <v>0.42222222222222222</v>
      </c>
      <c r="AG154" s="22">
        <v>0.20833333333333334</v>
      </c>
      <c r="AH154" s="215">
        <v>0.79166666666666663</v>
      </c>
      <c r="AI154" s="22">
        <v>0.15625</v>
      </c>
      <c r="AJ154" s="22">
        <v>8.3333333333333329E-2</v>
      </c>
      <c r="AK154" s="22">
        <v>0.4861111111111111</v>
      </c>
      <c r="AL154" s="22">
        <v>0.70833333333333337</v>
      </c>
      <c r="AM154" s="22">
        <v>0.65833333333333333</v>
      </c>
      <c r="AN154" s="22">
        <v>0.92638888888888893</v>
      </c>
      <c r="AO154" s="22">
        <v>0.45833333333333331</v>
      </c>
      <c r="AP154" s="22">
        <v>0.55763888888888891</v>
      </c>
      <c r="AQ154" s="22">
        <v>0.58333333333333337</v>
      </c>
    </row>
    <row r="155" spans="1:43" ht="17.25" customHeight="1" x14ac:dyDescent="0.35">
      <c r="A155" s="169" t="s">
        <v>173</v>
      </c>
      <c r="B155" s="170" t="s">
        <v>421</v>
      </c>
      <c r="C155" s="170" t="s">
        <v>12</v>
      </c>
      <c r="D155" s="169" t="s">
        <v>477</v>
      </c>
      <c r="E155" s="169" t="s">
        <v>460</v>
      </c>
      <c r="F155" s="121">
        <v>0.33333333333333331</v>
      </c>
      <c r="G155" s="195">
        <f>Table436[[#This Row],[Min Daily Hours]]*24</f>
        <v>8</v>
      </c>
      <c r="H155" s="76">
        <v>3.3</v>
      </c>
      <c r="I155" s="22">
        <f>Table4[[#This Row],[Available Hours for Service]]</f>
        <v>30</v>
      </c>
      <c r="J155" s="65">
        <v>5000</v>
      </c>
      <c r="K155" s="123">
        <f>Table436[[#This Row],[Min Daily Hours]]*J$199</f>
        <v>10</v>
      </c>
      <c r="L155" s="123">
        <f>SUM(Table436[[#This Row],[1]:[31]])</f>
        <v>21.688194444444449</v>
      </c>
      <c r="M155" s="121">
        <v>0.4465277777777778</v>
      </c>
      <c r="N155" s="121">
        <v>0.58333333333333337</v>
      </c>
      <c r="O155" s="121">
        <v>0.72569444444444453</v>
      </c>
      <c r="P155" s="121">
        <v>0.95833333333333337</v>
      </c>
      <c r="Q155" s="121">
        <v>0.7680555555555556</v>
      </c>
      <c r="R155" s="121">
        <v>0.54861111111111105</v>
      </c>
      <c r="S155" s="121">
        <v>0.43472222222222223</v>
      </c>
      <c r="T155" s="121">
        <v>0.81944444444444453</v>
      </c>
      <c r="U155" s="121">
        <v>0.30138888888888887</v>
      </c>
      <c r="V155" s="121">
        <v>0.3125</v>
      </c>
      <c r="W155" s="22">
        <v>0.53194444444444444</v>
      </c>
      <c r="X155" s="22">
        <v>0.97916666666666663</v>
      </c>
      <c r="Y155" s="22">
        <v>0.97569444444444453</v>
      </c>
      <c r="Z155" s="22">
        <v>0.75694444444444453</v>
      </c>
      <c r="AA155" s="22">
        <v>1</v>
      </c>
      <c r="AB155" s="22">
        <v>0.70833333333333337</v>
      </c>
      <c r="AC155" s="22">
        <v>0.25208333333333333</v>
      </c>
      <c r="AD155" s="22">
        <v>0.27083333333333331</v>
      </c>
      <c r="AE155" s="22">
        <v>0.92222222222222217</v>
      </c>
      <c r="AF155" s="22">
        <v>0.4548611111111111</v>
      </c>
      <c r="AG155" s="22">
        <v>0.75</v>
      </c>
      <c r="AH155" s="215">
        <v>0.95833333333333337</v>
      </c>
      <c r="AI155" s="22">
        <v>0.625</v>
      </c>
      <c r="AJ155" s="22">
        <v>1</v>
      </c>
      <c r="AK155" s="22">
        <v>0.88541666666666663</v>
      </c>
      <c r="AL155" s="22">
        <v>0.83333333333333337</v>
      </c>
      <c r="AM155" s="22">
        <v>0.53819444444444442</v>
      </c>
      <c r="AN155" s="22">
        <v>1</v>
      </c>
      <c r="AO155" s="22">
        <v>0.91666666666666663</v>
      </c>
      <c r="AP155" s="22">
        <v>0.75138888888888899</v>
      </c>
      <c r="AQ155" s="22">
        <v>0.6791666666666667</v>
      </c>
    </row>
    <row r="156" spans="1:43" ht="17.25" customHeight="1" x14ac:dyDescent="0.35">
      <c r="A156" s="169" t="s">
        <v>173</v>
      </c>
      <c r="B156" s="170" t="s">
        <v>422</v>
      </c>
      <c r="C156" s="170" t="s">
        <v>12</v>
      </c>
      <c r="D156" s="169" t="s">
        <v>211</v>
      </c>
      <c r="E156" s="169" t="s">
        <v>458</v>
      </c>
      <c r="F156" s="121">
        <v>0.66666666666666663</v>
      </c>
      <c r="G156" s="195">
        <f>Table436[[#This Row],[Min Daily Hours]]*24</f>
        <v>16</v>
      </c>
      <c r="H156" s="76">
        <v>0.08</v>
      </c>
      <c r="I156" s="22">
        <f>Table4[[#This Row],[Available Hours for Service]]</f>
        <v>30</v>
      </c>
      <c r="J156" s="65"/>
      <c r="K156" s="123">
        <f>Table436[[#This Row],[Min Daily Hours]]*J$199</f>
        <v>20</v>
      </c>
      <c r="L156" s="123">
        <f>SUM(Table436[[#This Row],[1]:[31]])</f>
        <v>24.006944444444446</v>
      </c>
      <c r="M156" s="121">
        <v>0.8965277777777777</v>
      </c>
      <c r="N156" s="121">
        <v>0.98611111111111116</v>
      </c>
      <c r="O156" s="121">
        <v>1</v>
      </c>
      <c r="P156" s="121">
        <v>0.81736111111111109</v>
      </c>
      <c r="Q156" s="121">
        <v>0.88194444444444453</v>
      </c>
      <c r="R156" s="121">
        <v>0.54861111111111105</v>
      </c>
      <c r="S156" s="121">
        <v>0.57638888888888895</v>
      </c>
      <c r="T156" s="121">
        <v>0.52847222222222223</v>
      </c>
      <c r="U156" s="121">
        <v>0.375</v>
      </c>
      <c r="V156" s="121">
        <v>0.3125</v>
      </c>
      <c r="W156" s="22">
        <v>0.82361111111111107</v>
      </c>
      <c r="X156" s="22">
        <v>0.94027777777777777</v>
      </c>
      <c r="Y156" s="22">
        <v>0.97569444444444453</v>
      </c>
      <c r="Z156" s="22">
        <v>0.75694444444444453</v>
      </c>
      <c r="AA156" s="22">
        <v>0.89930555555555547</v>
      </c>
      <c r="AB156" s="22">
        <v>1</v>
      </c>
      <c r="AC156" s="22">
        <v>1</v>
      </c>
      <c r="AD156" s="22">
        <v>0.27083333333333331</v>
      </c>
      <c r="AE156" s="22">
        <v>0.92222222222222217</v>
      </c>
      <c r="AF156" s="22">
        <v>0.59513888888888888</v>
      </c>
      <c r="AG156" s="22">
        <v>0.83333333333333337</v>
      </c>
      <c r="AH156" s="215">
        <v>1</v>
      </c>
      <c r="AI156" s="22">
        <v>0.625</v>
      </c>
      <c r="AJ156" s="22">
        <v>0.91319444444444453</v>
      </c>
      <c r="AK156" s="22">
        <v>0.88541666666666663</v>
      </c>
      <c r="AL156" s="22">
        <v>0.91666666666666663</v>
      </c>
      <c r="AM156" s="22">
        <v>0.79861111111111116</v>
      </c>
      <c r="AN156" s="22">
        <v>0.625</v>
      </c>
      <c r="AO156" s="22">
        <v>0.91666666666666663</v>
      </c>
      <c r="AP156" s="22">
        <v>0.70833333333333337</v>
      </c>
      <c r="AQ156" s="22">
        <v>0.6777777777777777</v>
      </c>
    </row>
    <row r="157" spans="1:43" ht="17.25" customHeight="1" x14ac:dyDescent="0.35">
      <c r="A157" s="169" t="s">
        <v>173</v>
      </c>
      <c r="B157" s="170" t="s">
        <v>423</v>
      </c>
      <c r="C157" s="170" t="s">
        <v>228</v>
      </c>
      <c r="D157" s="169" t="s">
        <v>317</v>
      </c>
      <c r="E157" s="169" t="s">
        <v>460</v>
      </c>
      <c r="F157" s="121">
        <v>0.33333333333333331</v>
      </c>
      <c r="G157" s="195">
        <f>Table436[[#This Row],[Min Daily Hours]]*24</f>
        <v>8</v>
      </c>
      <c r="H157" s="76">
        <v>1.4</v>
      </c>
      <c r="I157" s="22">
        <f>Table4[[#This Row],[Available Hours for Service]]</f>
        <v>29.711805555554747</v>
      </c>
      <c r="J157" s="65">
        <v>3200</v>
      </c>
      <c r="K157" s="123">
        <f>Table436[[#This Row],[Min Daily Hours]]*J$199</f>
        <v>10</v>
      </c>
      <c r="L157" s="123">
        <f>SUM(Table436[[#This Row],[1]:[31]])</f>
        <v>8.7520833333333332</v>
      </c>
      <c r="M157" s="121">
        <v>0.6069444444444444</v>
      </c>
      <c r="N157" s="121">
        <v>0.68055555555555547</v>
      </c>
      <c r="O157" s="121">
        <v>0.56597222222222221</v>
      </c>
      <c r="P157" s="121">
        <v>0.625</v>
      </c>
      <c r="Q157" s="121">
        <v>0.49791666666666662</v>
      </c>
      <c r="R157" s="121">
        <v>0.46736111111111112</v>
      </c>
      <c r="S157" s="121">
        <v>0.26944444444444443</v>
      </c>
      <c r="T157" s="121">
        <v>0.60833333333333328</v>
      </c>
      <c r="U157" s="121">
        <v>0.89722222222222225</v>
      </c>
      <c r="V157" s="121">
        <v>0.58333333333333337</v>
      </c>
      <c r="W157" s="22">
        <v>0.55069444444444449</v>
      </c>
      <c r="X157" s="22">
        <v>0.29166666666666669</v>
      </c>
      <c r="Y157" s="22">
        <v>0</v>
      </c>
      <c r="Z157" s="22">
        <v>0</v>
      </c>
      <c r="AA157" s="22">
        <v>0</v>
      </c>
      <c r="AB157" s="22">
        <v>0</v>
      </c>
      <c r="AC157" s="22">
        <v>0</v>
      </c>
      <c r="AD157" s="22">
        <v>0</v>
      </c>
      <c r="AE157" s="22">
        <v>0</v>
      </c>
      <c r="AF157" s="22">
        <v>0</v>
      </c>
      <c r="AG157" s="22">
        <v>0</v>
      </c>
      <c r="AH157" s="215">
        <v>0</v>
      </c>
      <c r="AI157" s="22">
        <v>0</v>
      </c>
      <c r="AJ157" s="22">
        <v>0</v>
      </c>
      <c r="AK157" s="22">
        <v>0</v>
      </c>
      <c r="AL157" s="22">
        <v>0</v>
      </c>
      <c r="AM157" s="22">
        <v>0</v>
      </c>
      <c r="AN157" s="22">
        <v>0</v>
      </c>
      <c r="AO157" s="22">
        <v>0.4375</v>
      </c>
      <c r="AP157" s="22">
        <v>0.69444444444444453</v>
      </c>
      <c r="AQ157" s="22">
        <v>0.97569444444444453</v>
      </c>
    </row>
    <row r="158" spans="1:43" ht="17.25" customHeight="1" x14ac:dyDescent="0.35">
      <c r="A158" s="169" t="s">
        <v>173</v>
      </c>
      <c r="B158" s="170" t="s">
        <v>424</v>
      </c>
      <c r="C158" s="170" t="s">
        <v>228</v>
      </c>
      <c r="D158" s="169" t="s">
        <v>318</v>
      </c>
      <c r="E158" s="169" t="s">
        <v>461</v>
      </c>
      <c r="F158" s="121">
        <v>0.5</v>
      </c>
      <c r="G158" s="195">
        <f>Table436[[#This Row],[Min Daily Hours]]*24</f>
        <v>12</v>
      </c>
      <c r="H158" s="76">
        <v>2.2999999999999998</v>
      </c>
      <c r="I158" s="22">
        <f>Table4[[#This Row],[Available Hours for Service]]</f>
        <v>30</v>
      </c>
      <c r="J158" s="65">
        <v>7850</v>
      </c>
      <c r="K158" s="123">
        <f>Table436[[#This Row],[Min Daily Hours]]*J$199</f>
        <v>15</v>
      </c>
      <c r="L158" s="123">
        <f>SUM(Table436[[#This Row],[1]:[31]])</f>
        <v>22.101388888888888</v>
      </c>
      <c r="M158" s="121">
        <v>0.625</v>
      </c>
      <c r="N158" s="121">
        <v>0.66666666666666663</v>
      </c>
      <c r="O158" s="121">
        <v>0.63888888888888895</v>
      </c>
      <c r="P158" s="121">
        <v>0.51944444444444449</v>
      </c>
      <c r="Q158" s="121">
        <v>0.66666666666666663</v>
      </c>
      <c r="R158" s="121">
        <v>0.45</v>
      </c>
      <c r="S158" s="121">
        <v>0.59375</v>
      </c>
      <c r="T158" s="121">
        <v>0.66666666666666663</v>
      </c>
      <c r="U158" s="121">
        <v>0.68680555555555556</v>
      </c>
      <c r="V158" s="121">
        <v>0.66666666666666663</v>
      </c>
      <c r="W158" s="22">
        <v>0.83333333333333337</v>
      </c>
      <c r="X158" s="22">
        <v>0.83333333333333337</v>
      </c>
      <c r="Y158" s="22">
        <v>0.66666666666666663</v>
      </c>
      <c r="Z158" s="22">
        <v>0.77430555555555547</v>
      </c>
      <c r="AA158" s="22">
        <v>0.59513888888888888</v>
      </c>
      <c r="AB158" s="22">
        <v>0.91666666666666663</v>
      </c>
      <c r="AC158" s="22">
        <v>0.83333333333333337</v>
      </c>
      <c r="AD158" s="22">
        <v>0.3576388888888889</v>
      </c>
      <c r="AE158" s="22">
        <v>0.84027777777777779</v>
      </c>
      <c r="AF158" s="22">
        <v>0.56041666666666667</v>
      </c>
      <c r="AG158" s="22">
        <v>0.66666666666666663</v>
      </c>
      <c r="AH158" s="215">
        <v>0.83333333333333337</v>
      </c>
      <c r="AI158" s="22">
        <v>0.5</v>
      </c>
      <c r="AJ158" s="22">
        <v>0.70833333333333337</v>
      </c>
      <c r="AK158" s="22">
        <v>0.91666666666666663</v>
      </c>
      <c r="AL158" s="22">
        <v>0.91666666666666663</v>
      </c>
      <c r="AM158" s="22">
        <v>0.6875</v>
      </c>
      <c r="AN158" s="22">
        <v>0.84722222222222221</v>
      </c>
      <c r="AO158" s="22">
        <v>0.84166666666666667</v>
      </c>
      <c r="AP158" s="22">
        <v>0.83333333333333337</v>
      </c>
      <c r="AQ158" s="22">
        <v>0.95833333333333337</v>
      </c>
    </row>
    <row r="159" spans="1:43" ht="17.25" customHeight="1" x14ac:dyDescent="0.35">
      <c r="A159" s="169" t="s">
        <v>177</v>
      </c>
      <c r="B159" s="170" t="s">
        <v>425</v>
      </c>
      <c r="C159" s="170" t="s">
        <v>11</v>
      </c>
      <c r="D159" s="169" t="s">
        <v>358</v>
      </c>
      <c r="E159" s="169" t="s">
        <v>458</v>
      </c>
      <c r="F159" s="121">
        <v>0.66666666666666663</v>
      </c>
      <c r="G159" s="195">
        <f>Table436[[#This Row],[Min Daily Hours]]*24</f>
        <v>16</v>
      </c>
      <c r="H159" s="76">
        <v>1.8</v>
      </c>
      <c r="I159" s="22">
        <f>Table4[[#This Row],[Available Hours for Service]]</f>
        <v>30</v>
      </c>
      <c r="J159" s="65">
        <v>14300</v>
      </c>
      <c r="K159" s="123">
        <f>Table436[[#This Row],[Min Daily Hours]]*J$199</f>
        <v>20</v>
      </c>
      <c r="L159" s="123">
        <f>SUM(Table436[[#This Row],[1]:[31]])</f>
        <v>22.554861111111112</v>
      </c>
      <c r="M159" s="121">
        <v>6.9444444444444441E-3</v>
      </c>
      <c r="N159" s="121">
        <v>1</v>
      </c>
      <c r="O159" s="121">
        <v>1</v>
      </c>
      <c r="P159" s="121">
        <v>0.46875</v>
      </c>
      <c r="Q159" s="121">
        <v>0.9868055555555556</v>
      </c>
      <c r="R159" s="121">
        <v>0.62013888888888891</v>
      </c>
      <c r="S159" s="121">
        <v>0.47569444444444442</v>
      </c>
      <c r="T159" s="121">
        <v>0.80763888888888891</v>
      </c>
      <c r="U159" s="121">
        <v>0.875</v>
      </c>
      <c r="V159" s="121">
        <v>0.5</v>
      </c>
      <c r="W159" s="22">
        <v>0.86458333333333337</v>
      </c>
      <c r="X159" s="22">
        <v>0.6958333333333333</v>
      </c>
      <c r="Y159" s="22">
        <v>0.41666666666666669</v>
      </c>
      <c r="Z159" s="22">
        <v>0.87430555555555556</v>
      </c>
      <c r="AA159" s="22">
        <v>0.70347222222222217</v>
      </c>
      <c r="AB159" s="22">
        <v>1</v>
      </c>
      <c r="AC159" s="22">
        <v>0.64166666666666672</v>
      </c>
      <c r="AD159" s="22">
        <v>0.15972222222222224</v>
      </c>
      <c r="AE159" s="22">
        <v>0.87986111111111109</v>
      </c>
      <c r="AF159" s="22">
        <v>0.53402777777777777</v>
      </c>
      <c r="AG159" s="22">
        <v>1</v>
      </c>
      <c r="AH159" s="215">
        <v>0.43124999999999997</v>
      </c>
      <c r="AI159" s="121">
        <v>0.60347222222222219</v>
      </c>
      <c r="AJ159" s="22">
        <v>1</v>
      </c>
      <c r="AK159" s="22">
        <v>0.57638888888888895</v>
      </c>
      <c r="AL159" s="22">
        <v>1</v>
      </c>
      <c r="AM159" s="22">
        <v>0.76736111111111116</v>
      </c>
      <c r="AN159" s="22">
        <v>0.79027777777777775</v>
      </c>
      <c r="AO159" s="22">
        <v>1</v>
      </c>
      <c r="AP159" s="22">
        <v>0.875</v>
      </c>
      <c r="AQ159" s="22">
        <v>1</v>
      </c>
    </row>
    <row r="160" spans="1:43" ht="17.25" customHeight="1" x14ac:dyDescent="0.35">
      <c r="A160" s="169" t="s">
        <v>177</v>
      </c>
      <c r="B160" s="170" t="s">
        <v>425</v>
      </c>
      <c r="C160" s="170" t="s">
        <v>11</v>
      </c>
      <c r="D160" s="169" t="s">
        <v>139</v>
      </c>
      <c r="E160" s="169" t="s">
        <v>461</v>
      </c>
      <c r="F160" s="121">
        <v>0.5</v>
      </c>
      <c r="G160" s="195">
        <f>Table436[[#This Row],[Min Daily Hours]]*24</f>
        <v>12</v>
      </c>
      <c r="H160" s="76">
        <v>1.4</v>
      </c>
      <c r="I160" s="22">
        <f>Table4[[#This Row],[Available Hours for Service]]</f>
        <v>29.540972222217533</v>
      </c>
      <c r="J160" s="65">
        <v>4050</v>
      </c>
      <c r="K160" s="123">
        <f>Table436[[#This Row],[Min Daily Hours]]*J$199</f>
        <v>15</v>
      </c>
      <c r="L160" s="123">
        <f>SUM(Table436[[#This Row],[1]:[31]])</f>
        <v>22.645833333333339</v>
      </c>
      <c r="M160" s="121">
        <v>0.70833333333333337</v>
      </c>
      <c r="N160" s="121">
        <v>1</v>
      </c>
      <c r="O160" s="121">
        <v>1</v>
      </c>
      <c r="P160" s="121">
        <v>0.68958333333333333</v>
      </c>
      <c r="Q160" s="121">
        <v>0.9868055555555556</v>
      </c>
      <c r="R160" s="121">
        <v>0.58333333333333337</v>
      </c>
      <c r="S160" s="121">
        <v>0.59027777777777779</v>
      </c>
      <c r="T160" s="121">
        <v>0.79166666666666663</v>
      </c>
      <c r="U160" s="121">
        <v>0.92638888888888893</v>
      </c>
      <c r="V160" s="121">
        <v>0.5</v>
      </c>
      <c r="W160" s="22">
        <v>0.92708333333333337</v>
      </c>
      <c r="X160" s="22">
        <v>0.94930555555555562</v>
      </c>
      <c r="Y160" s="22">
        <v>0.82430555555555562</v>
      </c>
      <c r="Z160" s="22">
        <v>0.88124999999999998</v>
      </c>
      <c r="AA160" s="22">
        <v>0.53472222222222221</v>
      </c>
      <c r="AB160" s="22">
        <v>0.51597222222222217</v>
      </c>
      <c r="AC160" s="22">
        <v>0.64166666666666672</v>
      </c>
      <c r="AD160" s="22">
        <v>0.64166666666666672</v>
      </c>
      <c r="AE160" s="22">
        <v>0.89166666666666661</v>
      </c>
      <c r="AF160" s="22">
        <v>0.57361111111111118</v>
      </c>
      <c r="AG160" s="22">
        <v>0.58750000000000002</v>
      </c>
      <c r="AH160" s="215">
        <v>0.85277777777777775</v>
      </c>
      <c r="AI160" s="22">
        <v>0.59166666666666667</v>
      </c>
      <c r="AJ160" s="22">
        <v>0.9902777777777777</v>
      </c>
      <c r="AK160" s="22">
        <v>0.71180555555555547</v>
      </c>
      <c r="AL160" s="22">
        <v>0.63263888888888886</v>
      </c>
      <c r="AM160" s="22">
        <v>0.45208333333333334</v>
      </c>
      <c r="AN160" s="22">
        <v>0.28750000000000003</v>
      </c>
      <c r="AO160" s="22">
        <v>0.93472222222222223</v>
      </c>
      <c r="AP160" s="22">
        <v>0.74652777777777779</v>
      </c>
      <c r="AQ160" s="22">
        <v>0.7006944444444444</v>
      </c>
    </row>
    <row r="161" spans="1:43" ht="17.25" customHeight="1" x14ac:dyDescent="0.35">
      <c r="A161" s="169" t="s">
        <v>177</v>
      </c>
      <c r="B161" s="170" t="s">
        <v>425</v>
      </c>
      <c r="C161" s="170" t="s">
        <v>11</v>
      </c>
      <c r="D161" s="169" t="s">
        <v>138</v>
      </c>
      <c r="E161" s="169" t="s">
        <v>461</v>
      </c>
      <c r="F161" s="121">
        <v>0.5</v>
      </c>
      <c r="G161" s="195">
        <f>Table436[[#This Row],[Min Daily Hours]]*24</f>
        <v>12</v>
      </c>
      <c r="H161" s="76">
        <v>2.6</v>
      </c>
      <c r="I161" s="22">
        <f>Table4[[#This Row],[Available Hours for Service]]</f>
        <v>30</v>
      </c>
      <c r="J161" s="65">
        <v>12550</v>
      </c>
      <c r="K161" s="123">
        <f>Table436[[#This Row],[Min Daily Hours]]*J$199</f>
        <v>15</v>
      </c>
      <c r="L161" s="123">
        <f>SUM(Table436[[#This Row],[1]:[31]])</f>
        <v>24.336111111111112</v>
      </c>
      <c r="M161" s="121">
        <v>0.70833333333333337</v>
      </c>
      <c r="N161" s="121">
        <v>1</v>
      </c>
      <c r="O161" s="121">
        <v>1</v>
      </c>
      <c r="P161" s="121">
        <v>0.81874999999999998</v>
      </c>
      <c r="Q161" s="121">
        <v>0.9868055555555556</v>
      </c>
      <c r="R161" s="121">
        <v>0.58333333333333337</v>
      </c>
      <c r="S161" s="121">
        <v>0.59027777777777779</v>
      </c>
      <c r="T161" s="121">
        <v>0.79166666666666663</v>
      </c>
      <c r="U161" s="121">
        <v>0.92638888888888893</v>
      </c>
      <c r="V161" s="121">
        <v>0.5</v>
      </c>
      <c r="W161" s="22">
        <v>0.92708333333333337</v>
      </c>
      <c r="X161" s="22">
        <v>0.94930555555555562</v>
      </c>
      <c r="Y161" s="22">
        <v>0.82430555555555562</v>
      </c>
      <c r="Z161" s="22">
        <v>0.88124999999999998</v>
      </c>
      <c r="AA161" s="22">
        <v>0.79166666666666663</v>
      </c>
      <c r="AB161" s="22">
        <v>1</v>
      </c>
      <c r="AC161" s="22">
        <v>0.64166666666666672</v>
      </c>
      <c r="AD161" s="22">
        <v>0.64166666666666672</v>
      </c>
      <c r="AE161" s="22">
        <v>0.89166666666666661</v>
      </c>
      <c r="AF161" s="22">
        <v>0.57361111111111118</v>
      </c>
      <c r="AG161" s="22">
        <v>0.58750000000000002</v>
      </c>
      <c r="AH161" s="215">
        <v>0.85277777777777775</v>
      </c>
      <c r="AI161" s="22">
        <v>0.59166666666666667</v>
      </c>
      <c r="AJ161" s="121">
        <v>1</v>
      </c>
      <c r="AK161" s="22">
        <v>0.71180555555555547</v>
      </c>
      <c r="AL161" s="22">
        <v>0.63263888888888886</v>
      </c>
      <c r="AM161" s="22">
        <v>0.50416666666666665</v>
      </c>
      <c r="AN161" s="22">
        <v>0.68125000000000002</v>
      </c>
      <c r="AO161" s="22">
        <v>1</v>
      </c>
      <c r="AP161" s="22">
        <v>0.74652777777777779</v>
      </c>
      <c r="AQ161" s="22">
        <v>1</v>
      </c>
    </row>
    <row r="162" spans="1:43" ht="17.25" customHeight="1" x14ac:dyDescent="0.35">
      <c r="A162" s="169" t="s">
        <v>177</v>
      </c>
      <c r="B162" s="170" t="s">
        <v>426</v>
      </c>
      <c r="C162" s="170" t="s">
        <v>11</v>
      </c>
      <c r="D162" s="169" t="s">
        <v>137</v>
      </c>
      <c r="E162" s="169" t="s">
        <v>458</v>
      </c>
      <c r="F162" s="121">
        <v>0.66666666666666663</v>
      </c>
      <c r="G162" s="195">
        <f>Table436[[#This Row],[Min Daily Hours]]*24</f>
        <v>16</v>
      </c>
      <c r="H162" s="76">
        <v>1.4</v>
      </c>
      <c r="I162" s="22">
        <f>Table4[[#This Row],[Available Hours for Service]]</f>
        <v>29.709027777775191</v>
      </c>
      <c r="J162" s="65">
        <v>8550</v>
      </c>
      <c r="K162" s="123">
        <f>Table436[[#This Row],[Min Daily Hours]]*J$199</f>
        <v>20</v>
      </c>
      <c r="L162" s="123">
        <f>SUM(Table436[[#This Row],[1]:[31]])</f>
        <v>24.216666666666669</v>
      </c>
      <c r="M162" s="121">
        <v>0.75</v>
      </c>
      <c r="N162" s="121">
        <v>1</v>
      </c>
      <c r="O162" s="121">
        <v>1</v>
      </c>
      <c r="P162" s="121">
        <v>0.80486111111111114</v>
      </c>
      <c r="Q162" s="121">
        <v>0.99652777777777779</v>
      </c>
      <c r="R162" s="121">
        <v>0.62013888888888891</v>
      </c>
      <c r="S162" s="121">
        <v>0.73958333333333337</v>
      </c>
      <c r="T162" s="121">
        <v>0.80763888888888891</v>
      </c>
      <c r="U162" s="121">
        <v>0.875</v>
      </c>
      <c r="V162" s="121">
        <v>0.5</v>
      </c>
      <c r="W162" s="22">
        <v>0.86458333333333337</v>
      </c>
      <c r="X162" s="22">
        <v>0.83333333333333337</v>
      </c>
      <c r="Y162" s="22">
        <v>0.82500000000000007</v>
      </c>
      <c r="Z162" s="22">
        <v>0.87430555555555556</v>
      </c>
      <c r="AA162" s="22">
        <v>0.78194444444444444</v>
      </c>
      <c r="AB162" s="22">
        <v>0.98611111111111116</v>
      </c>
      <c r="AC162" s="22">
        <v>0.64166666666666672</v>
      </c>
      <c r="AD162" s="22">
        <v>0.15972222222222224</v>
      </c>
      <c r="AE162" s="22">
        <v>0.87986111111111109</v>
      </c>
      <c r="AF162" s="22">
        <v>0.48472222222222222</v>
      </c>
      <c r="AG162" s="22">
        <v>1</v>
      </c>
      <c r="AH162" s="215">
        <v>0.8340277777777777</v>
      </c>
      <c r="AI162" s="22">
        <v>0.58333333333333337</v>
      </c>
      <c r="AJ162" s="22">
        <v>1</v>
      </c>
      <c r="AK162" s="22">
        <v>0.66736111111111107</v>
      </c>
      <c r="AL162" s="22">
        <v>0.71527777777777779</v>
      </c>
      <c r="AM162" s="22">
        <v>0.75138888888888899</v>
      </c>
      <c r="AN162" s="22">
        <v>1</v>
      </c>
      <c r="AO162" s="22">
        <v>1</v>
      </c>
      <c r="AP162" s="22">
        <v>0.625</v>
      </c>
      <c r="AQ162" s="22">
        <v>0.61527777777777781</v>
      </c>
    </row>
    <row r="163" spans="1:43" ht="17.25" customHeight="1" x14ac:dyDescent="0.35">
      <c r="A163" s="169" t="s">
        <v>177</v>
      </c>
      <c r="B163" s="170" t="s">
        <v>427</v>
      </c>
      <c r="C163" s="170" t="s">
        <v>11</v>
      </c>
      <c r="D163" s="169" t="s">
        <v>136</v>
      </c>
      <c r="E163" s="169" t="s">
        <v>461</v>
      </c>
      <c r="F163" s="121">
        <v>0.5</v>
      </c>
      <c r="G163" s="195">
        <f>Table436[[#This Row],[Min Daily Hours]]*24</f>
        <v>12</v>
      </c>
      <c r="H163" s="76">
        <v>0.7</v>
      </c>
      <c r="I163" s="22">
        <f>Table4[[#This Row],[Available Hours for Service]]</f>
        <v>29.68888888888614</v>
      </c>
      <c r="J163" s="65">
        <v>1200</v>
      </c>
      <c r="K163" s="123">
        <f>Table436[[#This Row],[Min Daily Hours]]*J$199</f>
        <v>15</v>
      </c>
      <c r="L163" s="123">
        <f>SUM(Table436[[#This Row],[1]:[31]])</f>
        <v>23.317361111111111</v>
      </c>
      <c r="M163" s="121">
        <v>0.52430555555555558</v>
      </c>
      <c r="N163" s="121">
        <v>1</v>
      </c>
      <c r="O163" s="121">
        <v>1</v>
      </c>
      <c r="P163" s="121">
        <v>0.80486111111111114</v>
      </c>
      <c r="Q163" s="121">
        <v>0.97916666666666663</v>
      </c>
      <c r="R163" s="121">
        <v>0.62013888888888891</v>
      </c>
      <c r="S163" s="121">
        <v>0.47569444444444442</v>
      </c>
      <c r="T163" s="121">
        <v>0.80763888888888891</v>
      </c>
      <c r="U163" s="121">
        <v>0.875</v>
      </c>
      <c r="V163" s="121">
        <v>0.5</v>
      </c>
      <c r="W163" s="22">
        <v>0.86458333333333337</v>
      </c>
      <c r="X163" s="22">
        <v>0.6958333333333333</v>
      </c>
      <c r="Y163" s="22">
        <v>0.41666666666666669</v>
      </c>
      <c r="Z163" s="22">
        <v>0.87430555555555556</v>
      </c>
      <c r="AA163" s="22">
        <v>0.70347222222222217</v>
      </c>
      <c r="AB163" s="22">
        <v>1</v>
      </c>
      <c r="AC163" s="22">
        <v>0.64166666666666672</v>
      </c>
      <c r="AD163" s="22">
        <v>0.15972222222222224</v>
      </c>
      <c r="AE163" s="22">
        <v>0.87986111111111109</v>
      </c>
      <c r="AF163" s="22">
        <v>0.53402777777777777</v>
      </c>
      <c r="AG163" s="22">
        <v>1</v>
      </c>
      <c r="AH163" s="215">
        <v>0.43124999999999997</v>
      </c>
      <c r="AI163" s="22">
        <v>0.60347222222222219</v>
      </c>
      <c r="AJ163" s="121">
        <v>1</v>
      </c>
      <c r="AK163" s="121">
        <v>0.57638888888888895</v>
      </c>
      <c r="AL163" s="22">
        <v>1</v>
      </c>
      <c r="AM163" s="22">
        <v>0.76736111111111116</v>
      </c>
      <c r="AN163" s="22">
        <v>0.79027777777777775</v>
      </c>
      <c r="AO163" s="22">
        <v>1</v>
      </c>
      <c r="AP163" s="22">
        <v>0.79166666666666663</v>
      </c>
      <c r="AQ163" s="22">
        <v>1</v>
      </c>
    </row>
    <row r="164" spans="1:43" ht="17.25" customHeight="1" x14ac:dyDescent="0.35">
      <c r="A164" s="169" t="s">
        <v>177</v>
      </c>
      <c r="B164" s="170" t="s">
        <v>428</v>
      </c>
      <c r="C164" s="170" t="s">
        <v>227</v>
      </c>
      <c r="D164" s="169" t="s">
        <v>133</v>
      </c>
      <c r="E164" s="169" t="s">
        <v>461</v>
      </c>
      <c r="F164" s="121">
        <v>0.5</v>
      </c>
      <c r="G164" s="195">
        <f>Table436[[#This Row],[Min Daily Hours]]*24</f>
        <v>12</v>
      </c>
      <c r="H164" s="76">
        <v>4.5999999999999996</v>
      </c>
      <c r="I164" s="22">
        <f>Table4[[#This Row],[Available Hours for Service]]</f>
        <v>30</v>
      </c>
      <c r="J164" s="65">
        <v>8300</v>
      </c>
      <c r="K164" s="123">
        <f>Table436[[#This Row],[Min Daily Hours]]*J$199</f>
        <v>15</v>
      </c>
      <c r="L164" s="123">
        <f>SUM(Table436[[#This Row],[1]:[31]])</f>
        <v>5.6833333333333336</v>
      </c>
      <c r="M164" s="121">
        <v>0.3833333333333333</v>
      </c>
      <c r="N164" s="121">
        <v>0.16666666666666666</v>
      </c>
      <c r="O164" s="121">
        <v>0.47986111111111113</v>
      </c>
      <c r="P164" s="121">
        <v>0.14791666666666667</v>
      </c>
      <c r="Q164" s="121">
        <v>2.1527777777777781E-2</v>
      </c>
      <c r="R164" s="121">
        <v>0.3298611111111111</v>
      </c>
      <c r="S164" s="121">
        <v>8.3333333333333329E-2</v>
      </c>
      <c r="T164" s="121">
        <v>0.29166666666666669</v>
      </c>
      <c r="U164" s="121">
        <v>0.16666666666666666</v>
      </c>
      <c r="V164" s="121">
        <v>0.41666666666666669</v>
      </c>
      <c r="W164" s="22">
        <v>0.16666666666666666</v>
      </c>
      <c r="X164" s="22">
        <v>5.4166666666666669E-2</v>
      </c>
      <c r="Y164" s="22">
        <v>0.15694444444444444</v>
      </c>
      <c r="Z164" s="22">
        <v>0.11388888888888889</v>
      </c>
      <c r="AA164" s="22">
        <v>8.0555555555555561E-2</v>
      </c>
      <c r="AB164" s="22">
        <v>0.10069444444444443</v>
      </c>
      <c r="AC164" s="22">
        <v>0.40833333333333338</v>
      </c>
      <c r="AD164" s="22">
        <v>9.7222222222222224E-3</v>
      </c>
      <c r="AE164" s="22">
        <v>0.10486111111111111</v>
      </c>
      <c r="AF164" s="22">
        <v>4.1666666666666664E-2</v>
      </c>
      <c r="AG164" s="22">
        <v>0.13402777777777777</v>
      </c>
      <c r="AH164" s="215">
        <v>0</v>
      </c>
      <c r="AI164" s="22">
        <v>7.6388888888888886E-3</v>
      </c>
      <c r="AJ164" s="22">
        <v>0.17013888888888887</v>
      </c>
      <c r="AK164" s="22">
        <v>0.27152777777777776</v>
      </c>
      <c r="AL164" s="22">
        <v>0.33333333333333331</v>
      </c>
      <c r="AM164" s="22">
        <v>0.20833333333333334</v>
      </c>
      <c r="AN164" s="22">
        <v>0.33680555555555558</v>
      </c>
      <c r="AO164" s="22">
        <v>0.26944444444444443</v>
      </c>
      <c r="AP164" s="22">
        <v>0</v>
      </c>
      <c r="AQ164" s="22">
        <v>0.22708333333333333</v>
      </c>
    </row>
    <row r="165" spans="1:43" ht="17.25" customHeight="1" x14ac:dyDescent="0.35">
      <c r="A165" s="169" t="s">
        <v>177</v>
      </c>
      <c r="B165" s="170" t="s">
        <v>428</v>
      </c>
      <c r="C165" s="170" t="s">
        <v>227</v>
      </c>
      <c r="D165" s="169" t="s">
        <v>321</v>
      </c>
      <c r="E165" s="169" t="s">
        <v>458</v>
      </c>
      <c r="F165" s="121">
        <v>0.66666666666666663</v>
      </c>
      <c r="G165" s="195">
        <f>Table436[[#This Row],[Min Daily Hours]]*24</f>
        <v>16</v>
      </c>
      <c r="H165" s="76">
        <v>0.7</v>
      </c>
      <c r="I165" s="22">
        <f>Table4[[#This Row],[Available Hours for Service]]</f>
        <v>30</v>
      </c>
      <c r="J165" s="65">
        <v>1000</v>
      </c>
      <c r="K165" s="123">
        <f>Table436[[#This Row],[Min Daily Hours]]*J$199</f>
        <v>20</v>
      </c>
      <c r="L165" s="123">
        <f>SUM(Table436[[#This Row],[1]:[31]])</f>
        <v>5.6833333333333336</v>
      </c>
      <c r="M165" s="121">
        <v>0.3833333333333333</v>
      </c>
      <c r="N165" s="121">
        <v>0.16666666666666666</v>
      </c>
      <c r="O165" s="121">
        <v>0.47986111111111113</v>
      </c>
      <c r="P165" s="121">
        <v>0.14791666666666667</v>
      </c>
      <c r="Q165" s="121">
        <v>2.1527777777777781E-2</v>
      </c>
      <c r="R165" s="121">
        <v>0.3298611111111111</v>
      </c>
      <c r="S165" s="121">
        <v>8.3333333333333329E-2</v>
      </c>
      <c r="T165" s="121">
        <v>0.29166666666666669</v>
      </c>
      <c r="U165" s="121">
        <v>0.16666666666666666</v>
      </c>
      <c r="V165" s="121">
        <v>0.41666666666666669</v>
      </c>
      <c r="W165" s="22">
        <v>0.16666666666666666</v>
      </c>
      <c r="X165" s="22">
        <v>5.4166666666666669E-2</v>
      </c>
      <c r="Y165" s="22">
        <v>0.15694444444444444</v>
      </c>
      <c r="Z165" s="22">
        <v>0.11388888888888889</v>
      </c>
      <c r="AA165" s="22">
        <v>8.0555555555555561E-2</v>
      </c>
      <c r="AB165" s="22">
        <v>0.10069444444444443</v>
      </c>
      <c r="AC165" s="22">
        <v>0.40833333333333338</v>
      </c>
      <c r="AD165" s="22">
        <v>9.7222222222222224E-3</v>
      </c>
      <c r="AE165" s="22">
        <v>0.10486111111111111</v>
      </c>
      <c r="AF165" s="22">
        <v>4.1666666666666664E-2</v>
      </c>
      <c r="AG165" s="22">
        <v>0.13402777777777777</v>
      </c>
      <c r="AH165" s="215">
        <v>0</v>
      </c>
      <c r="AI165" s="121">
        <v>7.6388888888888886E-3</v>
      </c>
      <c r="AJ165" s="121">
        <v>0.17013888888888887</v>
      </c>
      <c r="AK165" s="121">
        <v>0.27152777777777776</v>
      </c>
      <c r="AL165" s="22">
        <v>0.33333333333333331</v>
      </c>
      <c r="AM165" s="22">
        <v>0.20833333333333334</v>
      </c>
      <c r="AN165" s="22">
        <v>0.33680555555555558</v>
      </c>
      <c r="AO165" s="121">
        <v>0.26944444444444443</v>
      </c>
      <c r="AP165" s="22">
        <v>0</v>
      </c>
      <c r="AQ165" s="121">
        <v>0.22708333333333333</v>
      </c>
    </row>
    <row r="166" spans="1:43" ht="17.25" customHeight="1" x14ac:dyDescent="0.35">
      <c r="A166" s="169" t="s">
        <v>174</v>
      </c>
      <c r="B166" s="170" t="s">
        <v>429</v>
      </c>
      <c r="C166" s="170" t="s">
        <v>231</v>
      </c>
      <c r="D166" s="169" t="s">
        <v>475</v>
      </c>
      <c r="E166" s="169" t="s">
        <v>461</v>
      </c>
      <c r="F166" s="121">
        <v>0.5</v>
      </c>
      <c r="G166" s="195">
        <f>Table436[[#This Row],[Min Daily Hours]]*24</f>
        <v>12</v>
      </c>
      <c r="H166" s="76">
        <v>5.4</v>
      </c>
      <c r="I166" s="22">
        <f>Table4[[#This Row],[Available Hours for Service]]</f>
        <v>30</v>
      </c>
      <c r="J166" s="65">
        <v>22700</v>
      </c>
      <c r="K166" s="123">
        <f>Table436[[#This Row],[Min Daily Hours]]*J$199</f>
        <v>15</v>
      </c>
      <c r="L166" s="123">
        <f>SUM(Table436[[#This Row],[1]:[31]])</f>
        <v>18.682638888888889</v>
      </c>
      <c r="M166" s="121">
        <v>0.5</v>
      </c>
      <c r="N166" s="121">
        <v>0.58333333333333337</v>
      </c>
      <c r="O166" s="121">
        <v>0.54166666666666663</v>
      </c>
      <c r="P166" s="121">
        <v>0.54166666666666663</v>
      </c>
      <c r="Q166" s="121">
        <v>0.5</v>
      </c>
      <c r="R166" s="121">
        <v>0.5</v>
      </c>
      <c r="S166" s="121">
        <v>0.5</v>
      </c>
      <c r="T166" s="121">
        <v>0.70833333333333337</v>
      </c>
      <c r="U166" s="121">
        <v>0.5</v>
      </c>
      <c r="V166" s="121">
        <v>0.70833333333333337</v>
      </c>
      <c r="W166" s="22">
        <v>0.66666666666666663</v>
      </c>
      <c r="X166" s="22">
        <v>0.66666666666666663</v>
      </c>
      <c r="Y166" s="22">
        <v>0.5</v>
      </c>
      <c r="Z166" s="22">
        <v>0.375</v>
      </c>
      <c r="AA166" s="22">
        <v>0.6743055555555556</v>
      </c>
      <c r="AB166" s="22">
        <v>0.70833333333333337</v>
      </c>
      <c r="AC166" s="22">
        <v>0.875</v>
      </c>
      <c r="AD166" s="22">
        <v>0.70833333333333337</v>
      </c>
      <c r="AE166" s="22">
        <v>0.59027777777777779</v>
      </c>
      <c r="AF166" s="22">
        <v>0.41736111111111113</v>
      </c>
      <c r="AG166" s="22">
        <v>0.75</v>
      </c>
      <c r="AH166" s="215">
        <v>0.66666666666666663</v>
      </c>
      <c r="AI166" s="22">
        <v>0.54166666666666663</v>
      </c>
      <c r="AJ166" s="22">
        <v>0.66666666666666663</v>
      </c>
      <c r="AK166" s="22">
        <v>0.58333333333333337</v>
      </c>
      <c r="AL166" s="22">
        <v>0.54236111111111118</v>
      </c>
      <c r="AM166" s="22">
        <v>0.70833333333333337</v>
      </c>
      <c r="AN166" s="22">
        <v>0.66666666666666663</v>
      </c>
      <c r="AO166" s="22">
        <v>0.58333333333333337</v>
      </c>
      <c r="AP166" s="22">
        <v>0.70833333333333337</v>
      </c>
      <c r="AQ166" s="22">
        <v>0.5</v>
      </c>
    </row>
    <row r="167" spans="1:43" ht="17.25" customHeight="1" x14ac:dyDescent="0.35">
      <c r="A167" s="169" t="s">
        <v>174</v>
      </c>
      <c r="B167" s="170" t="s">
        <v>430</v>
      </c>
      <c r="C167" s="170" t="s">
        <v>231</v>
      </c>
      <c r="D167" s="169" t="s">
        <v>117</v>
      </c>
      <c r="E167" s="169" t="s">
        <v>458</v>
      </c>
      <c r="F167" s="121">
        <v>0.66666666666666663</v>
      </c>
      <c r="G167" s="195">
        <f>Table436[[#This Row],[Min Daily Hours]]*24</f>
        <v>16</v>
      </c>
      <c r="H167" s="76">
        <v>2.2999999999999998</v>
      </c>
      <c r="I167" s="22">
        <f>Table4[[#This Row],[Available Hours for Service]]</f>
        <v>29.897916666661331</v>
      </c>
      <c r="J167" s="65">
        <v>8300</v>
      </c>
      <c r="K167" s="123">
        <f>Table436[[#This Row],[Min Daily Hours]]*J$199</f>
        <v>20</v>
      </c>
      <c r="L167" s="123">
        <f>SUM(Table436[[#This Row],[1]:[31]])</f>
        <v>23.901388888888885</v>
      </c>
      <c r="M167" s="121">
        <v>0.66666666666666663</v>
      </c>
      <c r="N167" s="121">
        <v>0.5</v>
      </c>
      <c r="O167" s="121">
        <v>0.41666666666666669</v>
      </c>
      <c r="P167" s="121">
        <v>0.91666666666666663</v>
      </c>
      <c r="Q167" s="121">
        <v>0.875</v>
      </c>
      <c r="R167" s="121">
        <v>0.79166666666666663</v>
      </c>
      <c r="S167" s="121">
        <v>0.70833333333333337</v>
      </c>
      <c r="T167" s="121">
        <v>0.83333333333333337</v>
      </c>
      <c r="U167" s="121">
        <v>1</v>
      </c>
      <c r="V167" s="121">
        <v>0.95833333333333337</v>
      </c>
      <c r="W167" s="22">
        <v>0.79166666666666663</v>
      </c>
      <c r="X167" s="22">
        <v>0.66666666666666663</v>
      </c>
      <c r="Y167" s="22">
        <v>0.79166666666666663</v>
      </c>
      <c r="Z167" s="22">
        <v>0.79166666666666663</v>
      </c>
      <c r="AA167" s="22">
        <v>0.85277777777777775</v>
      </c>
      <c r="AB167" s="22">
        <v>0.625</v>
      </c>
      <c r="AC167" s="22">
        <v>0.91666666666666663</v>
      </c>
      <c r="AD167" s="22">
        <v>0.66666666666666663</v>
      </c>
      <c r="AE167" s="22">
        <v>0.91666666666666663</v>
      </c>
      <c r="AF167" s="22">
        <v>0.46527777777777773</v>
      </c>
      <c r="AG167" s="22">
        <v>0.875</v>
      </c>
      <c r="AH167" s="215">
        <v>0.75</v>
      </c>
      <c r="AI167" s="22">
        <v>0.58333333333333337</v>
      </c>
      <c r="AJ167" s="22">
        <v>0.91666666666666663</v>
      </c>
      <c r="AK167" s="22">
        <v>0.91666666666666663</v>
      </c>
      <c r="AL167" s="22">
        <v>0.70833333333333337</v>
      </c>
      <c r="AM167" s="22">
        <v>0.83333333333333337</v>
      </c>
      <c r="AN167" s="22">
        <v>0.75</v>
      </c>
      <c r="AO167" s="22">
        <v>0.79166666666666663</v>
      </c>
      <c r="AP167" s="22">
        <v>0.91666666666666663</v>
      </c>
      <c r="AQ167" s="22">
        <v>0.70833333333333337</v>
      </c>
    </row>
    <row r="168" spans="1:43" ht="17.25" customHeight="1" x14ac:dyDescent="0.35">
      <c r="A168" s="169" t="s">
        <v>174</v>
      </c>
      <c r="B168" s="170" t="s">
        <v>431</v>
      </c>
      <c r="C168" s="170" t="s">
        <v>232</v>
      </c>
      <c r="D168" s="169" t="s">
        <v>120</v>
      </c>
      <c r="E168" s="169" t="s">
        <v>461</v>
      </c>
      <c r="F168" s="121">
        <v>0.5</v>
      </c>
      <c r="G168" s="195">
        <f>Table436[[#This Row],[Min Daily Hours]]*24</f>
        <v>12</v>
      </c>
      <c r="H168" s="76">
        <v>5.4</v>
      </c>
      <c r="I168" s="22">
        <f>Table4[[#This Row],[Available Hours for Service]]</f>
        <v>29.561805555560568</v>
      </c>
      <c r="J168" s="65">
        <v>4750</v>
      </c>
      <c r="K168" s="123">
        <f>Table436[[#This Row],[Min Daily Hours]]*J$199</f>
        <v>15</v>
      </c>
      <c r="L168" s="123">
        <f>SUM(Table436[[#This Row],[1]:[31]])</f>
        <v>18.065277777777776</v>
      </c>
      <c r="M168" s="121">
        <v>0.5</v>
      </c>
      <c r="N168" s="121">
        <v>0.5</v>
      </c>
      <c r="O168" s="121">
        <v>0.54166666666666663</v>
      </c>
      <c r="P168" s="121">
        <v>0.25</v>
      </c>
      <c r="Q168" s="121">
        <v>0.5</v>
      </c>
      <c r="R168" s="121">
        <v>0.54166666666666663</v>
      </c>
      <c r="S168" s="121">
        <v>0.5</v>
      </c>
      <c r="T168" s="121">
        <v>0.66666666666666663</v>
      </c>
      <c r="U168" s="121">
        <v>0.5</v>
      </c>
      <c r="V168" s="121">
        <v>0.83333333333333337</v>
      </c>
      <c r="W168" s="22">
        <v>0.70833333333333337</v>
      </c>
      <c r="X168" s="22">
        <v>0.70833333333333337</v>
      </c>
      <c r="Y168" s="22">
        <v>0.5</v>
      </c>
      <c r="Z168" s="22">
        <v>0.45833333333333331</v>
      </c>
      <c r="AA168" s="22">
        <v>0.63680555555555551</v>
      </c>
      <c r="AB168" s="22">
        <v>0.70833333333333337</v>
      </c>
      <c r="AC168" s="22">
        <v>0.70833333333333337</v>
      </c>
      <c r="AD168" s="22">
        <v>0.41666666666666669</v>
      </c>
      <c r="AE168" s="22">
        <v>0.59166666666666667</v>
      </c>
      <c r="AF168" s="22">
        <v>0.46180555555555558</v>
      </c>
      <c r="AG168" s="22">
        <v>0.75</v>
      </c>
      <c r="AH168" s="215">
        <v>0.70833333333333337</v>
      </c>
      <c r="AI168" s="22">
        <v>0.41666666666666669</v>
      </c>
      <c r="AJ168" s="22">
        <v>0.70833333333333337</v>
      </c>
      <c r="AK168" s="22">
        <v>0.66666666666666663</v>
      </c>
      <c r="AL168" s="22">
        <v>0.58333333333333337</v>
      </c>
      <c r="AM168" s="22">
        <v>0.79166666666666663</v>
      </c>
      <c r="AN168" s="22">
        <v>0.58333333333333337</v>
      </c>
      <c r="AO168" s="22">
        <v>0.5</v>
      </c>
      <c r="AP168" s="22">
        <v>0.70833333333333337</v>
      </c>
      <c r="AQ168" s="22">
        <v>0.41666666666666669</v>
      </c>
    </row>
    <row r="169" spans="1:43" ht="17.25" customHeight="1" x14ac:dyDescent="0.35">
      <c r="A169" s="169" t="s">
        <v>174</v>
      </c>
      <c r="B169" s="170" t="s">
        <v>429</v>
      </c>
      <c r="C169" s="170" t="s">
        <v>232</v>
      </c>
      <c r="D169" s="169" t="s">
        <v>121</v>
      </c>
      <c r="E169" s="169" t="s">
        <v>460</v>
      </c>
      <c r="F169" s="121">
        <v>0.33333333333333331</v>
      </c>
      <c r="G169" s="195">
        <f>Table436[[#This Row],[Min Daily Hours]]*24</f>
        <v>8</v>
      </c>
      <c r="H169" s="76">
        <v>6.4</v>
      </c>
      <c r="I169" s="22">
        <f>Table4[[#This Row],[Available Hours for Service]]</f>
        <v>29.658333333332848</v>
      </c>
      <c r="J169" s="65">
        <v>23250</v>
      </c>
      <c r="K169" s="123">
        <f>Table436[[#This Row],[Min Daily Hours]]*J$199</f>
        <v>10</v>
      </c>
      <c r="L169" s="123">
        <f>SUM(Table436[[#This Row],[1]:[31]])</f>
        <v>13.279166666666667</v>
      </c>
      <c r="M169" s="121">
        <v>0.33333333333333331</v>
      </c>
      <c r="N169" s="121">
        <v>0.41666666666666669</v>
      </c>
      <c r="O169" s="121">
        <v>0.375</v>
      </c>
      <c r="P169" s="121">
        <v>0.33333333333333331</v>
      </c>
      <c r="Q169" s="121">
        <v>0.29166666666666669</v>
      </c>
      <c r="R169" s="121">
        <v>0.5</v>
      </c>
      <c r="S169" s="121">
        <v>0.41666666666666669</v>
      </c>
      <c r="T169" s="121">
        <v>0.45833333333333331</v>
      </c>
      <c r="U169" s="121">
        <v>0.33333333333333331</v>
      </c>
      <c r="V169" s="121">
        <v>0.45833333333333331</v>
      </c>
      <c r="W169" s="22">
        <v>0.45833333333333331</v>
      </c>
      <c r="X169" s="22">
        <v>0.375</v>
      </c>
      <c r="Y169" s="22">
        <v>0.33333333333333331</v>
      </c>
      <c r="Z169" s="22">
        <v>0.41666666666666669</v>
      </c>
      <c r="AA169" s="22">
        <v>0.47569444444444442</v>
      </c>
      <c r="AB169" s="22">
        <v>0.54166666666666663</v>
      </c>
      <c r="AC169" s="22">
        <v>0.66666666666666663</v>
      </c>
      <c r="AD169" s="22">
        <v>0.58333333333333337</v>
      </c>
      <c r="AE169" s="22">
        <v>0.46249999999999997</v>
      </c>
      <c r="AF169" s="22">
        <v>0.46527777777777773</v>
      </c>
      <c r="AG169" s="22">
        <v>0.45833333333333331</v>
      </c>
      <c r="AH169" s="215">
        <v>0.29166666666666669</v>
      </c>
      <c r="AI169" s="22">
        <v>0.25</v>
      </c>
      <c r="AJ169" s="22">
        <v>0.5</v>
      </c>
      <c r="AK169" s="22">
        <v>0.45833333333333331</v>
      </c>
      <c r="AL169" s="22">
        <v>0.50069444444444444</v>
      </c>
      <c r="AM169" s="22">
        <v>0.5</v>
      </c>
      <c r="AN169" s="22">
        <v>0.41666666666666669</v>
      </c>
      <c r="AO169" s="22">
        <v>0.5</v>
      </c>
      <c r="AP169" s="22">
        <v>0.41666666666666669</v>
      </c>
      <c r="AQ169" s="22">
        <v>0.29166666666666669</v>
      </c>
    </row>
    <row r="170" spans="1:43" ht="17.25" customHeight="1" x14ac:dyDescent="0.35">
      <c r="A170" s="169" t="s">
        <v>174</v>
      </c>
      <c r="B170" s="170" t="s">
        <v>430</v>
      </c>
      <c r="C170" s="170" t="s">
        <v>231</v>
      </c>
      <c r="D170" s="169" t="s">
        <v>118</v>
      </c>
      <c r="E170" s="169" t="s">
        <v>460</v>
      </c>
      <c r="F170" s="121">
        <v>0.33333333333333331</v>
      </c>
      <c r="G170" s="195">
        <f>Table436[[#This Row],[Min Daily Hours]]*24</f>
        <v>8</v>
      </c>
      <c r="H170" s="76">
        <v>4.7</v>
      </c>
      <c r="I170" s="22">
        <f>Table4[[#This Row],[Available Hours for Service]]</f>
        <v>29.270138888889051</v>
      </c>
      <c r="J170" s="65">
        <v>10650</v>
      </c>
      <c r="K170" s="123">
        <f>Table436[[#This Row],[Min Daily Hours]]*J$199</f>
        <v>10</v>
      </c>
      <c r="L170" s="123">
        <f>SUM(Table436[[#This Row],[1]:[31]])</f>
        <v>12.4125</v>
      </c>
      <c r="M170" s="121">
        <v>0.33333333333333331</v>
      </c>
      <c r="N170" s="121">
        <v>0.375</v>
      </c>
      <c r="O170" s="121">
        <v>0.41666666666666669</v>
      </c>
      <c r="P170" s="121">
        <v>0.41666666666666669</v>
      </c>
      <c r="Q170" s="121">
        <v>0.29166666666666669</v>
      </c>
      <c r="R170" s="121">
        <v>0.41666666666666669</v>
      </c>
      <c r="S170" s="121">
        <v>0.41666666666666669</v>
      </c>
      <c r="T170" s="121">
        <v>0.45833333333333331</v>
      </c>
      <c r="U170" s="121">
        <v>0.33333333333333331</v>
      </c>
      <c r="V170" s="121">
        <v>0.45833333333333331</v>
      </c>
      <c r="W170" s="22">
        <v>0.41666666666666669</v>
      </c>
      <c r="X170" s="22">
        <v>0.41666666666666669</v>
      </c>
      <c r="Y170" s="22">
        <v>0.33333333333333331</v>
      </c>
      <c r="Z170" s="22">
        <v>0.33333333333333331</v>
      </c>
      <c r="AA170" s="22">
        <v>0.44513888888888892</v>
      </c>
      <c r="AB170" s="22">
        <v>0.375</v>
      </c>
      <c r="AC170" s="22">
        <v>0.41666666666666669</v>
      </c>
      <c r="AD170" s="22">
        <v>0.33333333333333331</v>
      </c>
      <c r="AE170" s="22">
        <v>0.50208333333333333</v>
      </c>
      <c r="AF170" s="22">
        <v>0.21388888888888891</v>
      </c>
      <c r="AG170" s="22">
        <v>0.5</v>
      </c>
      <c r="AH170" s="215">
        <v>0.41666666666666669</v>
      </c>
      <c r="AI170" s="22">
        <v>0.29166666666666669</v>
      </c>
      <c r="AJ170" s="22">
        <v>0.45833333333333331</v>
      </c>
      <c r="AK170" s="22">
        <v>0.33333333333333331</v>
      </c>
      <c r="AL170" s="22">
        <v>0.37638888888888888</v>
      </c>
      <c r="AM170" s="22">
        <v>0.58333333333333337</v>
      </c>
      <c r="AN170" s="22">
        <v>0.45833333333333331</v>
      </c>
      <c r="AO170" s="22">
        <v>0.375</v>
      </c>
      <c r="AP170" s="22">
        <v>0.54166666666666663</v>
      </c>
      <c r="AQ170" s="22">
        <v>0.375</v>
      </c>
    </row>
    <row r="171" spans="1:43" ht="17.25" customHeight="1" x14ac:dyDescent="0.35">
      <c r="A171" s="169" t="s">
        <v>174</v>
      </c>
      <c r="B171" s="170" t="s">
        <v>430</v>
      </c>
      <c r="C171" s="170" t="s">
        <v>231</v>
      </c>
      <c r="D171" s="169" t="s">
        <v>119</v>
      </c>
      <c r="E171" s="169" t="s">
        <v>461</v>
      </c>
      <c r="F171" s="121">
        <v>0.5</v>
      </c>
      <c r="G171" s="195">
        <f>Table436[[#This Row],[Min Daily Hours]]*24</f>
        <v>12</v>
      </c>
      <c r="H171" s="76">
        <v>3.7</v>
      </c>
      <c r="I171" s="22">
        <f>Table4[[#This Row],[Available Hours for Service]]</f>
        <v>29.612499999995634</v>
      </c>
      <c r="J171" s="65">
        <v>24950</v>
      </c>
      <c r="K171" s="123">
        <f>Table436[[#This Row],[Min Daily Hours]]*J$199</f>
        <v>15</v>
      </c>
      <c r="L171" s="123">
        <f>SUM(Table436[[#This Row],[1]:[31]])</f>
        <v>17.7</v>
      </c>
      <c r="M171" s="121">
        <v>0.5</v>
      </c>
      <c r="N171" s="121">
        <v>0.45833333333333331</v>
      </c>
      <c r="O171" s="121">
        <v>0.54166666666666663</v>
      </c>
      <c r="P171" s="121">
        <v>0.54166666666666663</v>
      </c>
      <c r="Q171" s="121">
        <v>0.25</v>
      </c>
      <c r="R171" s="121">
        <v>0.75</v>
      </c>
      <c r="S171" s="121">
        <v>0.41666666666666669</v>
      </c>
      <c r="T171" s="121">
        <v>0.70833333333333337</v>
      </c>
      <c r="U171" s="121">
        <v>0.5</v>
      </c>
      <c r="V171" s="121">
        <v>0.83333333333333337</v>
      </c>
      <c r="W171" s="22">
        <v>0.70833333333333337</v>
      </c>
      <c r="X171" s="22">
        <v>0.66666666666666663</v>
      </c>
      <c r="Y171" s="22">
        <v>0.5</v>
      </c>
      <c r="Z171" s="22">
        <v>0.54166666666666663</v>
      </c>
      <c r="AA171" s="22">
        <v>0.55208333333333337</v>
      </c>
      <c r="AB171" s="22">
        <v>0.66666666666666663</v>
      </c>
      <c r="AC171" s="22">
        <v>0.55208333333333337</v>
      </c>
      <c r="AD171" s="22">
        <v>0.54166666666666663</v>
      </c>
      <c r="AE171" s="22">
        <v>0.41736111111111113</v>
      </c>
      <c r="AF171" s="22">
        <v>0.46875</v>
      </c>
      <c r="AG171" s="22">
        <v>0.58333333333333337</v>
      </c>
      <c r="AH171" s="215">
        <v>0.66666666666666663</v>
      </c>
      <c r="AI171" s="22">
        <v>0.41666666666666669</v>
      </c>
      <c r="AJ171" s="22">
        <v>0.58333333333333337</v>
      </c>
      <c r="AK171" s="22">
        <v>0.54166666666666663</v>
      </c>
      <c r="AL171" s="22">
        <v>0.58472222222222225</v>
      </c>
      <c r="AM171" s="22">
        <v>0.75</v>
      </c>
      <c r="AN171" s="22">
        <v>0.58333333333333337</v>
      </c>
      <c r="AO171" s="22">
        <v>0.54166666666666663</v>
      </c>
      <c r="AP171" s="22">
        <v>0.75</v>
      </c>
      <c r="AQ171" s="22">
        <v>0.58333333333333337</v>
      </c>
    </row>
    <row r="172" spans="1:43" ht="17.25" customHeight="1" x14ac:dyDescent="0.35">
      <c r="A172" s="169" t="s">
        <v>174</v>
      </c>
      <c r="B172" s="170" t="s">
        <v>437</v>
      </c>
      <c r="C172" s="170" t="s">
        <v>232</v>
      </c>
      <c r="D172" s="169" t="s">
        <v>125</v>
      </c>
      <c r="E172" s="169" t="s">
        <v>460</v>
      </c>
      <c r="F172" s="121">
        <v>0.33333333333333331</v>
      </c>
      <c r="G172" s="195">
        <f>Table436[[#This Row],[Min Daily Hours]]*24</f>
        <v>8</v>
      </c>
      <c r="H172" s="76">
        <v>5</v>
      </c>
      <c r="I172" s="22">
        <f>Table4[[#This Row],[Available Hours for Service]]</f>
        <v>30</v>
      </c>
      <c r="J172" s="65">
        <v>13500</v>
      </c>
      <c r="K172" s="123">
        <f>Table436[[#This Row],[Min Daily Hours]]*J$199</f>
        <v>10</v>
      </c>
      <c r="L172" s="123">
        <f>SUM(Table436[[#This Row],[1]:[31]])</f>
        <v>16.013888888888889</v>
      </c>
      <c r="M172" s="121">
        <v>0.54166666666666663</v>
      </c>
      <c r="N172" s="121">
        <v>0.375</v>
      </c>
      <c r="O172" s="121">
        <v>0.54166666666666663</v>
      </c>
      <c r="P172" s="121">
        <v>0.29166666666666669</v>
      </c>
      <c r="Q172" s="121">
        <v>0.33333333333333331</v>
      </c>
      <c r="R172" s="121">
        <v>0.375</v>
      </c>
      <c r="S172" s="121">
        <v>0.41666666666666669</v>
      </c>
      <c r="T172" s="121">
        <v>0.625</v>
      </c>
      <c r="U172" s="121">
        <v>0.83333333333333337</v>
      </c>
      <c r="V172" s="121">
        <v>0.58333333333333337</v>
      </c>
      <c r="W172" s="22">
        <v>0.54166666666666663</v>
      </c>
      <c r="X172" s="22">
        <v>0.79166666666666663</v>
      </c>
      <c r="Y172" s="22">
        <v>0.625</v>
      </c>
      <c r="Z172" s="22">
        <v>0.33333333333333331</v>
      </c>
      <c r="AA172" s="22">
        <v>0.375</v>
      </c>
      <c r="AB172" s="22">
        <v>0.29166666666666669</v>
      </c>
      <c r="AC172" s="22">
        <v>1</v>
      </c>
      <c r="AD172" s="22">
        <v>0.625</v>
      </c>
      <c r="AE172" s="22">
        <v>0.5</v>
      </c>
      <c r="AF172" s="22">
        <v>0.33333333333333331</v>
      </c>
      <c r="AG172" s="22">
        <v>0.5</v>
      </c>
      <c r="AH172" s="215">
        <v>0.66666666666666663</v>
      </c>
      <c r="AI172" s="22">
        <v>0.54166666666666663</v>
      </c>
      <c r="AJ172" s="22">
        <v>0.33333333333333331</v>
      </c>
      <c r="AK172" s="22">
        <v>0.5</v>
      </c>
      <c r="AL172" s="22">
        <v>0.41666666666666669</v>
      </c>
      <c r="AM172" s="22">
        <v>0.58333333333333337</v>
      </c>
      <c r="AN172" s="22">
        <v>0.5</v>
      </c>
      <c r="AO172" s="22">
        <v>0.5</v>
      </c>
      <c r="AP172" s="22">
        <v>0.79166666666666663</v>
      </c>
      <c r="AQ172" s="22">
        <v>0.34722222222222227</v>
      </c>
    </row>
    <row r="173" spans="1:43" ht="17.25" customHeight="1" x14ac:dyDescent="0.35">
      <c r="A173" s="169" t="s">
        <v>174</v>
      </c>
      <c r="B173" s="170" t="s">
        <v>438</v>
      </c>
      <c r="C173" s="170" t="s">
        <v>232</v>
      </c>
      <c r="D173" s="169" t="s">
        <v>465</v>
      </c>
      <c r="E173" s="169" t="s">
        <v>460</v>
      </c>
      <c r="F173" s="121">
        <v>0.33333333333333331</v>
      </c>
      <c r="G173" s="195">
        <f>Table436[[#This Row],[Min Daily Hours]]*24</f>
        <v>8</v>
      </c>
      <c r="H173" s="76">
        <v>3</v>
      </c>
      <c r="I173" s="22">
        <f>Table4[[#This Row],[Available Hours for Service]]</f>
        <v>30</v>
      </c>
      <c r="J173" s="65">
        <v>6450</v>
      </c>
      <c r="K173" s="123">
        <f>Table436[[#This Row],[Min Daily Hours]]*J$199</f>
        <v>10</v>
      </c>
      <c r="L173" s="123">
        <f>SUM(Table436[[#This Row],[1]:[31]])</f>
        <v>16.114583333333336</v>
      </c>
      <c r="M173" s="121">
        <v>0.54166666666666663</v>
      </c>
      <c r="N173" s="121">
        <v>0.41666666666666669</v>
      </c>
      <c r="O173" s="121">
        <v>0.5</v>
      </c>
      <c r="P173" s="121">
        <v>0.16666666666666666</v>
      </c>
      <c r="Q173" s="121">
        <v>0.5</v>
      </c>
      <c r="R173" s="121">
        <v>0.375</v>
      </c>
      <c r="S173" s="121">
        <v>0.41666666666666669</v>
      </c>
      <c r="T173" s="121">
        <v>0.58333333333333337</v>
      </c>
      <c r="U173" s="121">
        <v>0.95833333333333337</v>
      </c>
      <c r="V173" s="121">
        <v>0.66666666666666663</v>
      </c>
      <c r="W173" s="22">
        <v>0.5</v>
      </c>
      <c r="X173" s="22">
        <v>0.70833333333333337</v>
      </c>
      <c r="Y173" s="22">
        <v>0.66666666666666663</v>
      </c>
      <c r="Z173" s="22">
        <v>0.58333333333333337</v>
      </c>
      <c r="AA173" s="22">
        <v>0.16666666666666666</v>
      </c>
      <c r="AB173" s="22">
        <v>0.25</v>
      </c>
      <c r="AC173" s="22">
        <v>1</v>
      </c>
      <c r="AD173" s="22">
        <v>0.625</v>
      </c>
      <c r="AE173" s="22">
        <v>0.58333333333333337</v>
      </c>
      <c r="AF173" s="22">
        <v>0.33333333333333331</v>
      </c>
      <c r="AG173" s="22">
        <v>0.54166666666666663</v>
      </c>
      <c r="AH173" s="215">
        <v>0.54166666666666663</v>
      </c>
      <c r="AI173" s="22">
        <v>0.52083333333333337</v>
      </c>
      <c r="AJ173" s="22">
        <v>0.375</v>
      </c>
      <c r="AK173" s="22">
        <v>0.41666666666666669</v>
      </c>
      <c r="AL173" s="22">
        <v>0.45833333333333331</v>
      </c>
      <c r="AM173" s="22">
        <v>0.54166666666666663</v>
      </c>
      <c r="AN173" s="22">
        <v>0.5</v>
      </c>
      <c r="AO173" s="22">
        <v>0.58333333333333337</v>
      </c>
      <c r="AP173" s="22">
        <v>0.70833333333333337</v>
      </c>
      <c r="AQ173" s="22">
        <v>0.38541666666666669</v>
      </c>
    </row>
    <row r="174" spans="1:43" ht="17.25" customHeight="1" x14ac:dyDescent="0.35">
      <c r="A174" s="169" t="s">
        <v>174</v>
      </c>
      <c r="B174" s="170" t="s">
        <v>438</v>
      </c>
      <c r="C174" s="170" t="s">
        <v>232</v>
      </c>
      <c r="D174" s="169" t="s">
        <v>466</v>
      </c>
      <c r="E174" s="169" t="s">
        <v>460</v>
      </c>
      <c r="F174" s="121">
        <v>0.33333333333333331</v>
      </c>
      <c r="G174" s="195">
        <f>Table436[[#This Row],[Min Daily Hours]]*24</f>
        <v>8</v>
      </c>
      <c r="H174" s="76">
        <v>4.2</v>
      </c>
      <c r="I174" s="22">
        <f>Table4[[#This Row],[Available Hours for Service]]</f>
        <v>30</v>
      </c>
      <c r="J174" s="65">
        <v>10400</v>
      </c>
      <c r="K174" s="123">
        <f>Table436[[#This Row],[Min Daily Hours]]*J$199</f>
        <v>10</v>
      </c>
      <c r="L174" s="123">
        <f>SUM(Table436[[#This Row],[1]:[31]])</f>
        <v>16.670138888888889</v>
      </c>
      <c r="M174" s="121">
        <v>0.5</v>
      </c>
      <c r="N174" s="121">
        <v>0.41666666666666669</v>
      </c>
      <c r="O174" s="121">
        <v>0.5</v>
      </c>
      <c r="P174" s="121">
        <v>0.29166666666666669</v>
      </c>
      <c r="Q174" s="121">
        <v>0.41666666666666669</v>
      </c>
      <c r="R174" s="121">
        <v>0.33333333333333331</v>
      </c>
      <c r="S174" s="121">
        <v>0.45833333333333331</v>
      </c>
      <c r="T174" s="121">
        <v>0.58333333333333337</v>
      </c>
      <c r="U174" s="121">
        <v>0.95833333333333337</v>
      </c>
      <c r="V174" s="121">
        <v>0.58333333333333337</v>
      </c>
      <c r="W174" s="22">
        <v>0.58333333333333337</v>
      </c>
      <c r="X174" s="22">
        <v>0.875</v>
      </c>
      <c r="Y174" s="22">
        <v>0.625</v>
      </c>
      <c r="Z174" s="22">
        <v>0.5</v>
      </c>
      <c r="AA174" s="22">
        <v>0.20833333333333334</v>
      </c>
      <c r="AB174" s="22">
        <v>0.33333333333333331</v>
      </c>
      <c r="AC174" s="22">
        <v>1</v>
      </c>
      <c r="AD174" s="22">
        <v>0.54166666666666663</v>
      </c>
      <c r="AE174" s="22">
        <v>0.5</v>
      </c>
      <c r="AF174" s="22">
        <v>0.45833333333333331</v>
      </c>
      <c r="AG174" s="22">
        <v>0.46527777777777773</v>
      </c>
      <c r="AH174" s="215">
        <v>0.58333333333333337</v>
      </c>
      <c r="AI174" s="22">
        <v>0.52083333333333337</v>
      </c>
      <c r="AJ174" s="22">
        <v>0.41666666666666669</v>
      </c>
      <c r="AK174" s="22">
        <v>0.41666666666666669</v>
      </c>
      <c r="AL174" s="22">
        <v>0.41666666666666669</v>
      </c>
      <c r="AM174" s="22">
        <v>0.625</v>
      </c>
      <c r="AN174" s="22">
        <v>0.54166666666666663</v>
      </c>
      <c r="AO174" s="22">
        <v>0.75</v>
      </c>
      <c r="AP174" s="22">
        <v>0.83333333333333337</v>
      </c>
      <c r="AQ174" s="22">
        <v>0.43402777777777773</v>
      </c>
    </row>
    <row r="175" spans="1:43" s="157" customFormat="1" ht="17.25" customHeight="1" x14ac:dyDescent="0.35">
      <c r="A175" s="169" t="s">
        <v>174</v>
      </c>
      <c r="B175" s="170" t="s">
        <v>437</v>
      </c>
      <c r="C175" s="170" t="s">
        <v>232</v>
      </c>
      <c r="D175" s="169" t="s">
        <v>478</v>
      </c>
      <c r="E175" s="169" t="s">
        <v>457</v>
      </c>
      <c r="F175" s="121">
        <v>0.83333333333333337</v>
      </c>
      <c r="G175" s="195">
        <f>Table436[[#This Row],[Min Daily Hours]]*24</f>
        <v>20</v>
      </c>
      <c r="H175" s="76"/>
      <c r="I175" s="121">
        <f>Table4[[#This Row],[Available Hours for Service]]</f>
        <v>30</v>
      </c>
      <c r="J175" s="65"/>
      <c r="K175" s="123">
        <f>Table436[[#This Row],[Min Daily Hours]]*J$199</f>
        <v>25</v>
      </c>
      <c r="L175" s="123">
        <f>SUM(Table436[[#This Row],[1]:[31]])</f>
        <v>22.765972222222224</v>
      </c>
      <c r="M175" s="121">
        <v>0.54166666666666663</v>
      </c>
      <c r="N175" s="121">
        <v>0.41666666666666669</v>
      </c>
      <c r="O175" s="121">
        <v>0.5</v>
      </c>
      <c r="P175" s="121">
        <v>0.375</v>
      </c>
      <c r="Q175" s="121">
        <v>0.875</v>
      </c>
      <c r="R175" s="121">
        <v>0.95833333333333337</v>
      </c>
      <c r="S175" s="121">
        <v>0.45833333333333331</v>
      </c>
      <c r="T175" s="121">
        <v>0.75</v>
      </c>
      <c r="U175" s="121">
        <v>0.95833333333333337</v>
      </c>
      <c r="V175" s="121">
        <v>0.66666666666666663</v>
      </c>
      <c r="W175" s="121">
        <v>0.875</v>
      </c>
      <c r="X175" s="121">
        <v>0.75</v>
      </c>
      <c r="Y175" s="121">
        <v>0.58333333333333337</v>
      </c>
      <c r="Z175" s="121">
        <v>0.95833333333333337</v>
      </c>
      <c r="AA175" s="121">
        <v>0.375</v>
      </c>
      <c r="AB175" s="121">
        <v>0.375</v>
      </c>
      <c r="AC175" s="121">
        <v>1</v>
      </c>
      <c r="AD175" s="121">
        <v>0.625</v>
      </c>
      <c r="AE175" s="121">
        <v>1</v>
      </c>
      <c r="AF175" s="121">
        <v>0.625</v>
      </c>
      <c r="AG175" s="121">
        <v>0.88541666666666663</v>
      </c>
      <c r="AH175" s="215">
        <v>1</v>
      </c>
      <c r="AI175" s="121">
        <v>0.625</v>
      </c>
      <c r="AJ175" s="121">
        <v>0.51597222222222217</v>
      </c>
      <c r="AK175" s="121">
        <v>0.875</v>
      </c>
      <c r="AL175" s="121">
        <v>0.75</v>
      </c>
      <c r="AM175" s="121">
        <v>0.98958333333333337</v>
      </c>
      <c r="AN175" s="121">
        <v>0.875</v>
      </c>
      <c r="AO175" s="121">
        <v>0.91666666666666663</v>
      </c>
      <c r="AP175" s="121">
        <v>1</v>
      </c>
      <c r="AQ175" s="121">
        <v>0.66666666666666663</v>
      </c>
    </row>
    <row r="176" spans="1:43" ht="17.25" customHeight="1" x14ac:dyDescent="0.35">
      <c r="A176" s="169" t="s">
        <v>174</v>
      </c>
      <c r="B176" s="170" t="s">
        <v>432</v>
      </c>
      <c r="C176" s="170" t="s">
        <v>231</v>
      </c>
      <c r="D176" s="169" t="s">
        <v>122</v>
      </c>
      <c r="E176" s="169" t="s">
        <v>458</v>
      </c>
      <c r="F176" s="121">
        <v>0.66666666666666663</v>
      </c>
      <c r="G176" s="195">
        <f>Table436[[#This Row],[Min Daily Hours]]*24</f>
        <v>16</v>
      </c>
      <c r="H176" s="76">
        <v>4.0999999999999996</v>
      </c>
      <c r="I176" s="22">
        <f>Table4[[#This Row],[Available Hours for Service]]</f>
        <v>29.122916666667152</v>
      </c>
      <c r="J176" s="65">
        <v>26650</v>
      </c>
      <c r="K176" s="123">
        <f>Table436[[#This Row],[Min Daily Hours]]*J$199</f>
        <v>20</v>
      </c>
      <c r="L176" s="123">
        <f>SUM(Table436[[#This Row],[1]:[31]])</f>
        <v>21.668749999999996</v>
      </c>
      <c r="M176" s="121">
        <v>0.625</v>
      </c>
      <c r="N176" s="121">
        <v>0.45833333333333331</v>
      </c>
      <c r="O176" s="121">
        <v>0.625</v>
      </c>
      <c r="P176" s="121">
        <v>0.20833333333333334</v>
      </c>
      <c r="Q176" s="121">
        <v>0.66666666666666663</v>
      </c>
      <c r="R176" s="121">
        <v>0.875</v>
      </c>
      <c r="S176" s="121">
        <v>0.70833333333333337</v>
      </c>
      <c r="T176" s="121">
        <v>0.58333333333333337</v>
      </c>
      <c r="U176" s="121">
        <v>0.75</v>
      </c>
      <c r="V176" s="121">
        <v>0.875</v>
      </c>
      <c r="W176" s="22">
        <v>0.70833333333333337</v>
      </c>
      <c r="X176" s="22">
        <v>0.75</v>
      </c>
      <c r="Y176" s="22">
        <v>0.70833333333333337</v>
      </c>
      <c r="Z176" s="22">
        <v>0.79166666666666663</v>
      </c>
      <c r="AA176" s="22">
        <v>0.79166666666666663</v>
      </c>
      <c r="AB176" s="22">
        <v>0.79166666666666663</v>
      </c>
      <c r="AC176" s="22">
        <v>0.875</v>
      </c>
      <c r="AD176" s="22">
        <v>0.625</v>
      </c>
      <c r="AE176" s="22">
        <v>0.91666666666666663</v>
      </c>
      <c r="AF176" s="22">
        <v>0.64374999999999993</v>
      </c>
      <c r="AG176" s="22">
        <v>0.58333333333333337</v>
      </c>
      <c r="AH176" s="215">
        <v>0.875</v>
      </c>
      <c r="AI176" s="22">
        <v>0.55763888888888891</v>
      </c>
      <c r="AJ176" s="22">
        <v>0.58333333333333337</v>
      </c>
      <c r="AK176" s="22">
        <v>0.625</v>
      </c>
      <c r="AL176" s="22">
        <v>0.75</v>
      </c>
      <c r="AM176" s="22">
        <v>0.83333333333333337</v>
      </c>
      <c r="AN176" s="22">
        <v>0.7729166666666667</v>
      </c>
      <c r="AO176" s="22">
        <v>0.69444444444444453</v>
      </c>
      <c r="AP176" s="22">
        <v>1</v>
      </c>
      <c r="AQ176" s="22">
        <v>0.41666666666666669</v>
      </c>
    </row>
    <row r="177" spans="1:43" ht="17.25" customHeight="1" x14ac:dyDescent="0.35">
      <c r="A177" s="169" t="s">
        <v>174</v>
      </c>
      <c r="B177" s="170" t="s">
        <v>432</v>
      </c>
      <c r="C177" s="170" t="s">
        <v>232</v>
      </c>
      <c r="D177" s="169" t="s">
        <v>447</v>
      </c>
      <c r="E177" s="169" t="s">
        <v>457</v>
      </c>
      <c r="F177" s="121">
        <v>0.83333333333333337</v>
      </c>
      <c r="G177" s="195">
        <f>Table436[[#This Row],[Min Daily Hours]]*24</f>
        <v>20</v>
      </c>
      <c r="H177" s="76">
        <v>0.2</v>
      </c>
      <c r="I177" s="22">
        <f>Table4[[#This Row],[Available Hours for Service]]</f>
        <v>30</v>
      </c>
      <c r="J177" s="65">
        <v>2000</v>
      </c>
      <c r="K177" s="123">
        <f>Table436[[#This Row],[Min Daily Hours]]*J$199</f>
        <v>25</v>
      </c>
      <c r="L177" s="123">
        <f>SUM(Table436[[#This Row],[1]:[31]])</f>
        <v>26.348611111111111</v>
      </c>
      <c r="M177" s="121">
        <v>0.875</v>
      </c>
      <c r="N177" s="121">
        <v>0.58333333333333337</v>
      </c>
      <c r="O177" s="121">
        <v>0.625</v>
      </c>
      <c r="P177" s="121">
        <v>0.20833333333333334</v>
      </c>
      <c r="Q177" s="121">
        <v>1</v>
      </c>
      <c r="R177" s="121">
        <v>0.875</v>
      </c>
      <c r="S177" s="121">
        <v>0.70833333333333337</v>
      </c>
      <c r="T177" s="121">
        <v>1</v>
      </c>
      <c r="U177" s="121">
        <v>0.79166666666666663</v>
      </c>
      <c r="V177" s="121">
        <v>1</v>
      </c>
      <c r="W177" s="22">
        <v>0.70833333333333337</v>
      </c>
      <c r="X177" s="22">
        <v>0.875</v>
      </c>
      <c r="Y177" s="22">
        <v>0.95833333333333337</v>
      </c>
      <c r="Z177" s="22">
        <v>0.95833333333333337</v>
      </c>
      <c r="AA177" s="22">
        <v>1</v>
      </c>
      <c r="AB177" s="22">
        <v>1</v>
      </c>
      <c r="AC177" s="22">
        <v>1</v>
      </c>
      <c r="AD177" s="22">
        <v>0.83333333333333337</v>
      </c>
      <c r="AE177" s="22">
        <v>1</v>
      </c>
      <c r="AF177" s="22">
        <v>0.64374999999999993</v>
      </c>
      <c r="AG177" s="22">
        <v>0.79166666666666663</v>
      </c>
      <c r="AH177" s="215">
        <v>0.91666666666666663</v>
      </c>
      <c r="AI177" s="22">
        <v>0.59930555555555554</v>
      </c>
      <c r="AJ177" s="22">
        <v>0.95833333333333337</v>
      </c>
      <c r="AK177" s="22">
        <v>1</v>
      </c>
      <c r="AL177" s="22">
        <v>0.95833333333333337</v>
      </c>
      <c r="AM177" s="22">
        <v>0.83333333333333337</v>
      </c>
      <c r="AN177" s="22">
        <v>0.81388888888888899</v>
      </c>
      <c r="AO177" s="121">
        <v>1</v>
      </c>
      <c r="AP177" s="22">
        <v>1</v>
      </c>
      <c r="AQ177" s="22">
        <v>0.83333333333333337</v>
      </c>
    </row>
    <row r="178" spans="1:43" s="157" customFormat="1" ht="17.25" customHeight="1" x14ac:dyDescent="0.35">
      <c r="A178" s="169" t="s">
        <v>174</v>
      </c>
      <c r="B178" s="170" t="s">
        <v>489</v>
      </c>
      <c r="C178" s="170" t="s">
        <v>231</v>
      </c>
      <c r="D178" s="169" t="s">
        <v>487</v>
      </c>
      <c r="E178" s="169" t="s">
        <v>461</v>
      </c>
      <c r="F178" s="121">
        <v>0.5</v>
      </c>
      <c r="G178" s="195">
        <f>Table436[[#This Row],[Min Daily Hours]]*24</f>
        <v>12</v>
      </c>
      <c r="H178" s="76"/>
      <c r="I178" s="121">
        <f>Table4[[#This Row],[Available Hours for Service]]</f>
        <v>30</v>
      </c>
      <c r="J178" s="65"/>
      <c r="K178" s="123">
        <f>Table436[[#This Row],[Min Daily Hours]]*J$199</f>
        <v>15</v>
      </c>
      <c r="L178" s="123">
        <f>SUM(Table436[[#This Row],[1]:[31]])</f>
        <v>12.44513888888889</v>
      </c>
      <c r="M178" s="121">
        <v>0.33333333333333331</v>
      </c>
      <c r="N178" s="121">
        <v>0.375</v>
      </c>
      <c r="O178" s="121">
        <v>0.41666666666666669</v>
      </c>
      <c r="P178" s="121">
        <v>0.41666666666666669</v>
      </c>
      <c r="Q178" s="121">
        <v>0.29166666666666669</v>
      </c>
      <c r="R178" s="121">
        <v>0.41666666666666669</v>
      </c>
      <c r="S178" s="121">
        <v>0.41666666666666669</v>
      </c>
      <c r="T178" s="121">
        <v>0.45833333333333331</v>
      </c>
      <c r="U178" s="121">
        <v>0.33333333333333331</v>
      </c>
      <c r="V178" s="121">
        <v>0.625</v>
      </c>
      <c r="W178" s="121">
        <v>0.41666666666666669</v>
      </c>
      <c r="X178" s="121">
        <v>0.41666666666666669</v>
      </c>
      <c r="Y178" s="121">
        <v>0.33333333333333331</v>
      </c>
      <c r="Z178" s="121">
        <v>0.33333333333333331</v>
      </c>
      <c r="AA178" s="121">
        <v>0.44513888888888892</v>
      </c>
      <c r="AB178" s="121">
        <v>0.375</v>
      </c>
      <c r="AC178" s="121">
        <v>0.41666666666666669</v>
      </c>
      <c r="AD178" s="121">
        <v>0.33333333333333331</v>
      </c>
      <c r="AE178" s="121">
        <v>0.5</v>
      </c>
      <c r="AF178" s="121">
        <v>0.20833333333333334</v>
      </c>
      <c r="AG178" s="121">
        <v>0.5</v>
      </c>
      <c r="AH178" s="215">
        <v>0.29166666666666669</v>
      </c>
      <c r="AI178" s="121">
        <v>0.25</v>
      </c>
      <c r="AJ178" s="121">
        <v>0.5</v>
      </c>
      <c r="AK178" s="121">
        <v>0.33333333333333331</v>
      </c>
      <c r="AL178" s="121">
        <v>0.375</v>
      </c>
      <c r="AM178" s="121">
        <v>0.58333333333333337</v>
      </c>
      <c r="AN178" s="121">
        <v>0.45833333333333331</v>
      </c>
      <c r="AO178" s="121">
        <v>0.375</v>
      </c>
      <c r="AP178" s="121">
        <v>0.54166666666666663</v>
      </c>
      <c r="AQ178" s="121">
        <v>0.375</v>
      </c>
    </row>
    <row r="179" spans="1:43" s="157" customFormat="1" ht="17.25" customHeight="1" x14ac:dyDescent="0.35">
      <c r="A179" s="169" t="s">
        <v>174</v>
      </c>
      <c r="B179" s="170" t="s">
        <v>489</v>
      </c>
      <c r="C179" s="170" t="s">
        <v>231</v>
      </c>
      <c r="D179" s="169" t="s">
        <v>488</v>
      </c>
      <c r="E179" s="169" t="s">
        <v>458</v>
      </c>
      <c r="F179" s="121">
        <v>0.66666666666666663</v>
      </c>
      <c r="G179" s="195">
        <f>Table436[[#This Row],[Min Daily Hours]]*24</f>
        <v>16</v>
      </c>
      <c r="H179" s="76"/>
      <c r="I179" s="121">
        <f>Table4[[#This Row],[Available Hours for Service]]</f>
        <v>30</v>
      </c>
      <c r="J179" s="65"/>
      <c r="K179" s="123">
        <f>Table436[[#This Row],[Min Daily Hours]]*J$199</f>
        <v>20</v>
      </c>
      <c r="L179" s="123">
        <f>SUM(Table436[[#This Row],[1]:[31]])</f>
        <v>21.668749999999996</v>
      </c>
      <c r="M179" s="121">
        <v>0.625</v>
      </c>
      <c r="N179" s="121">
        <v>0.45833333333333331</v>
      </c>
      <c r="O179" s="121">
        <v>0.625</v>
      </c>
      <c r="P179" s="121">
        <v>0.20833333333333334</v>
      </c>
      <c r="Q179" s="121">
        <v>0.66666666666666663</v>
      </c>
      <c r="R179" s="121">
        <v>0.875</v>
      </c>
      <c r="S179" s="121">
        <v>0.70833333333333337</v>
      </c>
      <c r="T179" s="121">
        <v>0.58333333333333337</v>
      </c>
      <c r="U179" s="121">
        <v>0.75</v>
      </c>
      <c r="V179" s="121">
        <v>0.875</v>
      </c>
      <c r="W179" s="121">
        <v>0.70833333333333337</v>
      </c>
      <c r="X179" s="121">
        <v>0.75</v>
      </c>
      <c r="Y179" s="121">
        <v>0.70833333333333337</v>
      </c>
      <c r="Z179" s="121">
        <v>0.79166666666666663</v>
      </c>
      <c r="AA179" s="121">
        <v>0.79166666666666663</v>
      </c>
      <c r="AB179" s="121">
        <v>0.79166666666666663</v>
      </c>
      <c r="AC179" s="121">
        <v>0.875</v>
      </c>
      <c r="AD179" s="121">
        <v>0.625</v>
      </c>
      <c r="AE179" s="121">
        <v>0.91666666666666663</v>
      </c>
      <c r="AF179" s="121">
        <v>0.64374999999999993</v>
      </c>
      <c r="AG179" s="121">
        <v>0.58333333333333337</v>
      </c>
      <c r="AH179" s="215">
        <v>0.875</v>
      </c>
      <c r="AI179" s="121">
        <v>0.55763888888888891</v>
      </c>
      <c r="AJ179" s="121">
        <v>0.58333333333333337</v>
      </c>
      <c r="AK179" s="121">
        <v>0.625</v>
      </c>
      <c r="AL179" s="121">
        <v>0.75</v>
      </c>
      <c r="AM179" s="121">
        <v>0.83333333333333337</v>
      </c>
      <c r="AN179" s="121">
        <v>0.7729166666666667</v>
      </c>
      <c r="AO179" s="121">
        <v>0.69444444444444453</v>
      </c>
      <c r="AP179" s="121">
        <v>1</v>
      </c>
      <c r="AQ179" s="121">
        <v>0.41666666666666669</v>
      </c>
    </row>
    <row r="180" spans="1:43" ht="17.25" customHeight="1" x14ac:dyDescent="0.35">
      <c r="A180" s="169" t="s">
        <v>174</v>
      </c>
      <c r="B180" s="170" t="s">
        <v>433</v>
      </c>
      <c r="C180" s="170" t="s">
        <v>232</v>
      </c>
      <c r="D180" s="169" t="s">
        <v>470</v>
      </c>
      <c r="E180" s="169" t="s">
        <v>460</v>
      </c>
      <c r="F180" s="121">
        <v>0.33333333333333331</v>
      </c>
      <c r="G180" s="195">
        <f>Table436[[#This Row],[Min Daily Hours]]*24</f>
        <v>8</v>
      </c>
      <c r="H180" s="76">
        <v>2.7</v>
      </c>
      <c r="I180" s="22">
        <f>Table4[[#This Row],[Available Hours for Service]]</f>
        <v>30</v>
      </c>
      <c r="J180" s="65">
        <v>7750</v>
      </c>
      <c r="K180" s="123">
        <f>Table436[[#This Row],[Min Daily Hours]]*J$199</f>
        <v>10</v>
      </c>
      <c r="L180" s="123">
        <f>SUM(Table436[[#This Row],[1]:[31]])</f>
        <v>17.513888888888893</v>
      </c>
      <c r="M180" s="121">
        <v>0.625</v>
      </c>
      <c r="N180" s="121">
        <v>0.625</v>
      </c>
      <c r="O180" s="121">
        <v>0.45833333333333331</v>
      </c>
      <c r="P180" s="121">
        <v>0.17083333333333331</v>
      </c>
      <c r="Q180" s="121">
        <v>0.5</v>
      </c>
      <c r="R180" s="121">
        <v>0.625</v>
      </c>
      <c r="S180" s="121">
        <v>0.70833333333333337</v>
      </c>
      <c r="T180" s="121">
        <v>0.91666666666666663</v>
      </c>
      <c r="U180" s="121">
        <v>0.70833333333333337</v>
      </c>
      <c r="V180" s="121">
        <v>0.875</v>
      </c>
      <c r="W180" s="22">
        <v>0.66666666666666663</v>
      </c>
      <c r="X180" s="22">
        <v>0.5</v>
      </c>
      <c r="Y180" s="22">
        <v>0.34375</v>
      </c>
      <c r="Z180" s="22">
        <v>0.66666666666666663</v>
      </c>
      <c r="AA180" s="22">
        <v>0.4513888888888889</v>
      </c>
      <c r="AB180" s="22">
        <v>0.2638888888888889</v>
      </c>
      <c r="AC180" s="22">
        <v>0.63402777777777775</v>
      </c>
      <c r="AD180" s="22">
        <v>0.29166666666666669</v>
      </c>
      <c r="AE180" s="22">
        <v>0.58333333333333337</v>
      </c>
      <c r="AF180" s="22">
        <v>0.3972222222222222</v>
      </c>
      <c r="AG180" s="22">
        <v>0.55138888888888882</v>
      </c>
      <c r="AH180" s="215">
        <v>0.625</v>
      </c>
      <c r="AI180" s="22">
        <v>0.625</v>
      </c>
      <c r="AJ180" s="22">
        <v>0.625</v>
      </c>
      <c r="AK180" s="22">
        <v>0.58958333333333335</v>
      </c>
      <c r="AL180" s="22">
        <v>0.54166666666666663</v>
      </c>
      <c r="AM180" s="22">
        <v>0.58333333333333337</v>
      </c>
      <c r="AN180" s="22">
        <v>0.50416666666666665</v>
      </c>
      <c r="AO180" s="22">
        <v>0.52430555555555558</v>
      </c>
      <c r="AP180" s="22">
        <v>0.79166666666666663</v>
      </c>
      <c r="AQ180" s="22">
        <v>0.54166666666666663</v>
      </c>
    </row>
    <row r="181" spans="1:43" ht="17.25" customHeight="1" x14ac:dyDescent="0.35">
      <c r="A181" s="169" t="s">
        <v>178</v>
      </c>
      <c r="B181" s="170" t="s">
        <v>434</v>
      </c>
      <c r="C181" s="170" t="s">
        <v>13</v>
      </c>
      <c r="D181" s="169" t="s">
        <v>140</v>
      </c>
      <c r="E181" s="169" t="s">
        <v>460</v>
      </c>
      <c r="F181" s="121">
        <v>0.33333333333333331</v>
      </c>
      <c r="G181" s="195">
        <f>Table436[[#This Row],[Min Daily Hours]]*24</f>
        <v>8</v>
      </c>
      <c r="H181" s="76">
        <v>0.6</v>
      </c>
      <c r="I181" s="22">
        <f>Table4[[#This Row],[Available Hours for Service]]</f>
        <v>30</v>
      </c>
      <c r="J181" s="65">
        <v>1350</v>
      </c>
      <c r="K181" s="123">
        <f>Table436[[#This Row],[Min Daily Hours]]*J$199</f>
        <v>10</v>
      </c>
      <c r="L181" s="123">
        <f>SUM(Table436[[#This Row],[1]:[31]])</f>
        <v>7.5895833333333318</v>
      </c>
      <c r="M181" s="121">
        <v>9.7222222222222224E-2</v>
      </c>
      <c r="N181" s="121">
        <v>0.33333333333333331</v>
      </c>
      <c r="O181" s="121">
        <v>0.58333333333333337</v>
      </c>
      <c r="P181" s="121">
        <v>0.2590277777777778</v>
      </c>
      <c r="Q181" s="121">
        <v>6.5277777777777782E-2</v>
      </c>
      <c r="R181" s="121">
        <v>7.2916666666666671E-2</v>
      </c>
      <c r="S181" s="121">
        <v>0.38541666666666669</v>
      </c>
      <c r="T181" s="121">
        <v>0.125</v>
      </c>
      <c r="U181" s="121">
        <v>0.33333333333333331</v>
      </c>
      <c r="V181" s="121">
        <v>0.16666666666666666</v>
      </c>
      <c r="W181" s="22">
        <v>0.125</v>
      </c>
      <c r="X181" s="22">
        <v>0.25</v>
      </c>
      <c r="Y181" s="22">
        <v>0.29166666666666669</v>
      </c>
      <c r="Z181" s="22">
        <v>0.47847222222222219</v>
      </c>
      <c r="AA181" s="22">
        <v>0.10902777777777778</v>
      </c>
      <c r="AB181" s="22">
        <v>9.0277777777777776E-2</v>
      </c>
      <c r="AC181" s="22">
        <v>0.47152777777777777</v>
      </c>
      <c r="AD181" s="22">
        <v>0.13541666666666666</v>
      </c>
      <c r="AE181" s="22">
        <v>0.38194444444444442</v>
      </c>
      <c r="AF181" s="22">
        <v>0.19444444444444445</v>
      </c>
      <c r="AG181" s="22">
        <v>0.5083333333333333</v>
      </c>
      <c r="AH181" s="215">
        <v>0.20486111111111113</v>
      </c>
      <c r="AI181" s="22">
        <v>2.9861111111111113E-2</v>
      </c>
      <c r="AJ181" s="22">
        <v>0.16666666666666666</v>
      </c>
      <c r="AK181" s="22">
        <v>0.31111111111111112</v>
      </c>
      <c r="AL181" s="22">
        <v>0.29652777777777778</v>
      </c>
      <c r="AM181" s="22">
        <v>0.13819444444444443</v>
      </c>
      <c r="AN181" s="22">
        <v>0.47152777777777777</v>
      </c>
      <c r="AO181" s="22">
        <v>0.10347222222222223</v>
      </c>
      <c r="AP181" s="22">
        <v>0.1076388888888889</v>
      </c>
      <c r="AQ181" s="22">
        <v>0.30208333333333331</v>
      </c>
    </row>
    <row r="182" spans="1:43" ht="17.25" customHeight="1" x14ac:dyDescent="0.35">
      <c r="A182" s="169" t="s">
        <v>178</v>
      </c>
      <c r="B182" s="170" t="s">
        <v>434</v>
      </c>
      <c r="C182" s="170" t="s">
        <v>13</v>
      </c>
      <c r="D182" s="169" t="s">
        <v>141</v>
      </c>
      <c r="E182" s="169" t="s">
        <v>460</v>
      </c>
      <c r="F182" s="121">
        <v>0.33333333333333331</v>
      </c>
      <c r="G182" s="195">
        <f>Table436[[#This Row],[Min Daily Hours]]*24</f>
        <v>8</v>
      </c>
      <c r="H182" s="76">
        <v>0.6</v>
      </c>
      <c r="I182" s="22">
        <f>Table4[[#This Row],[Available Hours for Service]]</f>
        <v>30</v>
      </c>
      <c r="J182" s="65">
        <v>2850</v>
      </c>
      <c r="K182" s="123">
        <f>Table436[[#This Row],[Min Daily Hours]]*J$199</f>
        <v>10</v>
      </c>
      <c r="L182" s="123">
        <f>SUM(Table436[[#This Row],[1]:[31]])</f>
        <v>7.3881944444444443</v>
      </c>
      <c r="M182" s="121">
        <v>0</v>
      </c>
      <c r="N182" s="121">
        <v>0.22916666666666666</v>
      </c>
      <c r="O182" s="121">
        <v>0.58333333333333337</v>
      </c>
      <c r="P182" s="121">
        <v>0.2590277777777778</v>
      </c>
      <c r="Q182" s="121">
        <v>6.5277777777777782E-2</v>
      </c>
      <c r="R182" s="121">
        <v>7.2916666666666671E-2</v>
      </c>
      <c r="S182" s="121">
        <v>0.38541666666666669</v>
      </c>
      <c r="T182" s="121">
        <v>0.125</v>
      </c>
      <c r="U182" s="121">
        <v>0.33333333333333331</v>
      </c>
      <c r="V182" s="121">
        <v>0.16666666666666666</v>
      </c>
      <c r="W182" s="22">
        <v>0.125</v>
      </c>
      <c r="X182" s="22">
        <v>0.25</v>
      </c>
      <c r="Y182" s="22">
        <v>0.29166666666666669</v>
      </c>
      <c r="Z182" s="22">
        <v>0.47847222222222219</v>
      </c>
      <c r="AA182" s="22">
        <v>0.10902777777777778</v>
      </c>
      <c r="AB182" s="22">
        <v>9.0277777777777776E-2</v>
      </c>
      <c r="AC182" s="22">
        <v>0.47152777777777777</v>
      </c>
      <c r="AD182" s="22">
        <v>0.13541666666666666</v>
      </c>
      <c r="AE182" s="22">
        <v>0.38194444444444442</v>
      </c>
      <c r="AF182" s="22">
        <v>0.19444444444444445</v>
      </c>
      <c r="AG182" s="22">
        <v>0.5083333333333333</v>
      </c>
      <c r="AH182" s="215">
        <v>0.20486111111111113</v>
      </c>
      <c r="AI182" s="22">
        <v>2.9861111111111113E-2</v>
      </c>
      <c r="AJ182" s="121">
        <v>0.16666666666666666</v>
      </c>
      <c r="AK182" s="121">
        <v>0.31111111111111112</v>
      </c>
      <c r="AL182" s="22">
        <v>0.29652777777777778</v>
      </c>
      <c r="AM182" s="22">
        <v>0.13819444444444443</v>
      </c>
      <c r="AN182" s="22">
        <v>0.47152777777777777</v>
      </c>
      <c r="AO182" s="121">
        <v>0.10347222222222223</v>
      </c>
      <c r="AP182" s="121">
        <v>0.1076388888888889</v>
      </c>
      <c r="AQ182" s="121">
        <v>0.30208333333333331</v>
      </c>
    </row>
    <row r="183" spans="1:43" ht="17.25" customHeight="1" x14ac:dyDescent="0.35">
      <c r="A183" s="169" t="s">
        <v>178</v>
      </c>
      <c r="B183" s="170" t="s">
        <v>435</v>
      </c>
      <c r="C183" s="170" t="s">
        <v>13</v>
      </c>
      <c r="D183" s="169" t="s">
        <v>212</v>
      </c>
      <c r="E183" s="169" t="s">
        <v>461</v>
      </c>
      <c r="F183" s="121">
        <v>0.5</v>
      </c>
      <c r="G183" s="195">
        <f>Table436[[#This Row],[Min Daily Hours]]*24</f>
        <v>12</v>
      </c>
      <c r="H183" s="76">
        <v>1.1000000000000001</v>
      </c>
      <c r="I183" s="22">
        <f>Table4[[#This Row],[Available Hours for Service]]</f>
        <v>44814.256944444445</v>
      </c>
      <c r="J183" s="65">
        <v>5350</v>
      </c>
      <c r="K183" s="123">
        <f>Table436[[#This Row],[Min Daily Hours]]*J$199</f>
        <v>15</v>
      </c>
      <c r="L183" s="123">
        <f>SUM(Table436[[#This Row],[1]:[31]])</f>
        <v>18.195138888888895</v>
      </c>
      <c r="M183" s="121">
        <v>0.56874999999999998</v>
      </c>
      <c r="N183" s="121">
        <v>0.3840277777777778</v>
      </c>
      <c r="O183" s="121">
        <v>0.70833333333333337</v>
      </c>
      <c r="P183" s="121">
        <v>0.54861111111111105</v>
      </c>
      <c r="Q183" s="121">
        <v>0.58333333333333337</v>
      </c>
      <c r="R183" s="121">
        <v>0.33194444444444443</v>
      </c>
      <c r="S183" s="121">
        <v>0.41319444444444442</v>
      </c>
      <c r="T183" s="121">
        <v>0.41666666666666669</v>
      </c>
      <c r="U183" s="121">
        <v>0.65763888888888888</v>
      </c>
      <c r="V183" s="121">
        <v>0.5</v>
      </c>
      <c r="W183" s="22">
        <v>0.72569444444444453</v>
      </c>
      <c r="X183" s="22">
        <v>0.93055555555555547</v>
      </c>
      <c r="Y183" s="22">
        <v>0.4770833333333333</v>
      </c>
      <c r="Z183" s="22">
        <v>0.32430555555555557</v>
      </c>
      <c r="AA183" s="22">
        <v>0.59652777777777777</v>
      </c>
      <c r="AB183" s="22">
        <v>0.57013888888888886</v>
      </c>
      <c r="AC183" s="22">
        <v>0.83333333333333337</v>
      </c>
      <c r="AD183" s="22">
        <v>0.73958333333333337</v>
      </c>
      <c r="AE183" s="22">
        <v>0.70972222222222225</v>
      </c>
      <c r="AF183" s="22">
        <v>0.50208333333333333</v>
      </c>
      <c r="AG183" s="22">
        <v>0.51388888888888895</v>
      </c>
      <c r="AH183" s="215">
        <v>0.33333333333333331</v>
      </c>
      <c r="AI183" s="22">
        <v>4.1666666666666664E-2</v>
      </c>
      <c r="AJ183" s="22">
        <v>0.92291666666666661</v>
      </c>
      <c r="AK183" s="22">
        <v>0.77222222222222225</v>
      </c>
      <c r="AL183" s="22">
        <v>0.47847222222222219</v>
      </c>
      <c r="AM183" s="22">
        <v>0.6381944444444444</v>
      </c>
      <c r="AN183" s="22">
        <v>0.94305555555555554</v>
      </c>
      <c r="AO183" s="22">
        <v>0.62152777777777779</v>
      </c>
      <c r="AP183" s="22">
        <v>0.7729166666666667</v>
      </c>
      <c r="AQ183" s="22">
        <v>0.63541666666666663</v>
      </c>
    </row>
    <row r="184" spans="1:43" ht="17.25" customHeight="1" x14ac:dyDescent="0.35">
      <c r="A184" s="169" t="s">
        <v>178</v>
      </c>
      <c r="B184" s="170" t="s">
        <v>435</v>
      </c>
      <c r="C184" s="170" t="s">
        <v>13</v>
      </c>
      <c r="D184" s="169" t="s">
        <v>319</v>
      </c>
      <c r="E184" s="169" t="s">
        <v>461</v>
      </c>
      <c r="F184" s="121">
        <v>0.5</v>
      </c>
      <c r="G184" s="195">
        <f>Table436[[#This Row],[Min Daily Hours]]*24</f>
        <v>12</v>
      </c>
      <c r="H184" s="76">
        <v>1.1000000000000001</v>
      </c>
      <c r="I184" s="22">
        <f>Table4[[#This Row],[Available Hours for Service]]</f>
        <v>30</v>
      </c>
      <c r="J184" s="65">
        <v>3750</v>
      </c>
      <c r="K184" s="123">
        <f>Table436[[#This Row],[Min Daily Hours]]*J$199</f>
        <v>15</v>
      </c>
      <c r="L184" s="123">
        <f>SUM(Table436[[#This Row],[1]:[31]])</f>
        <v>18.936805555555551</v>
      </c>
      <c r="M184" s="121">
        <v>0.56874999999999998</v>
      </c>
      <c r="N184" s="121">
        <v>0.3840277777777778</v>
      </c>
      <c r="O184" s="121">
        <v>0.70833333333333337</v>
      </c>
      <c r="P184" s="121">
        <v>0.54861111111111105</v>
      </c>
      <c r="Q184" s="121">
        <v>0.51388888888888895</v>
      </c>
      <c r="R184" s="121">
        <v>0.40208333333333335</v>
      </c>
      <c r="S184" s="121">
        <v>0.41319444444444442</v>
      </c>
      <c r="T184" s="121">
        <v>0.41666666666666669</v>
      </c>
      <c r="U184" s="121">
        <v>0.65763888888888888</v>
      </c>
      <c r="V184" s="121">
        <v>0.5</v>
      </c>
      <c r="W184" s="22">
        <v>0.72569444444444453</v>
      </c>
      <c r="X184" s="22">
        <v>0.93055555555555547</v>
      </c>
      <c r="Y184" s="22">
        <v>0.4770833333333333</v>
      </c>
      <c r="Z184" s="22">
        <v>0.32430555555555557</v>
      </c>
      <c r="AA184" s="22">
        <v>0.59652777777777777</v>
      </c>
      <c r="AB184" s="22">
        <v>0.57013888888888886</v>
      </c>
      <c r="AC184" s="22">
        <v>0.83333333333333337</v>
      </c>
      <c r="AD184" s="22">
        <v>0.73958333333333337</v>
      </c>
      <c r="AE184" s="22">
        <v>0.70972222222222225</v>
      </c>
      <c r="AF184" s="22">
        <v>0.50208333333333333</v>
      </c>
      <c r="AG184" s="22">
        <v>0.79166666666666663</v>
      </c>
      <c r="AH184" s="215">
        <v>0.75</v>
      </c>
      <c r="AI184" s="22">
        <v>4.1666666666666664E-2</v>
      </c>
      <c r="AJ184" s="22">
        <v>0.92291666666666661</v>
      </c>
      <c r="AK184" s="22">
        <v>0.77222222222222225</v>
      </c>
      <c r="AL184" s="22">
        <v>0.47847222222222219</v>
      </c>
      <c r="AM184" s="22">
        <v>0.6381944444444444</v>
      </c>
      <c r="AN184" s="22">
        <v>0.85972222222222217</v>
      </c>
      <c r="AO184" s="22">
        <v>0.6479166666666667</v>
      </c>
      <c r="AP184" s="22">
        <v>0.79305555555555562</v>
      </c>
      <c r="AQ184" s="22">
        <v>0.71875</v>
      </c>
    </row>
    <row r="185" spans="1:43" ht="17.25" customHeight="1" x14ac:dyDescent="0.35">
      <c r="A185" s="169" t="s">
        <v>174</v>
      </c>
      <c r="B185" s="170" t="s">
        <v>403</v>
      </c>
      <c r="C185" s="170" t="s">
        <v>230</v>
      </c>
      <c r="D185" s="169" t="s">
        <v>123</v>
      </c>
      <c r="E185" s="169" t="s">
        <v>458</v>
      </c>
      <c r="F185" s="121">
        <v>0.66666666666666663</v>
      </c>
      <c r="G185" s="195">
        <f>Table436[[#This Row],[Min Daily Hours]]*24</f>
        <v>16</v>
      </c>
      <c r="H185" s="76">
        <v>2.4</v>
      </c>
      <c r="I185" s="22">
        <f>Table4[[#This Row],[Available Hours for Service]]</f>
        <v>29.450694444443798</v>
      </c>
      <c r="J185" s="65">
        <v>11750</v>
      </c>
      <c r="K185" s="123">
        <f>Table436[[#This Row],[Min Daily Hours]]*J$199</f>
        <v>20</v>
      </c>
      <c r="L185" s="123">
        <f>SUM(Table436[[#This Row],[1]:[31]])</f>
        <v>24.047222222222224</v>
      </c>
      <c r="M185" s="121">
        <v>0.83333333333333337</v>
      </c>
      <c r="N185" s="121">
        <v>1</v>
      </c>
      <c r="O185" s="121">
        <v>0.79166666666666663</v>
      </c>
      <c r="P185" s="121">
        <v>0.5</v>
      </c>
      <c r="Q185" s="121">
        <v>0.75</v>
      </c>
      <c r="R185" s="121">
        <v>0.5</v>
      </c>
      <c r="S185" s="121">
        <v>0.91666666666666663</v>
      </c>
      <c r="T185" s="121">
        <v>1</v>
      </c>
      <c r="U185" s="121">
        <v>1</v>
      </c>
      <c r="V185" s="121">
        <v>1</v>
      </c>
      <c r="W185" s="22">
        <v>0.66666666666666663</v>
      </c>
      <c r="X185" s="22">
        <v>1</v>
      </c>
      <c r="Y185" s="22">
        <v>1</v>
      </c>
      <c r="Z185" s="22">
        <v>1</v>
      </c>
      <c r="AA185" s="22">
        <v>1</v>
      </c>
      <c r="AB185" s="22">
        <v>1</v>
      </c>
      <c r="AC185" s="22">
        <v>1</v>
      </c>
      <c r="AD185" s="22">
        <v>0.66666666666666663</v>
      </c>
      <c r="AE185" s="22">
        <v>0.75</v>
      </c>
      <c r="AF185" s="22">
        <v>0.41666666666666669</v>
      </c>
      <c r="AG185" s="22">
        <v>0.70833333333333337</v>
      </c>
      <c r="AH185" s="215">
        <v>0.66666666666666663</v>
      </c>
      <c r="AI185" s="22">
        <v>0.54166666666666663</v>
      </c>
      <c r="AJ185" s="22">
        <v>0.75</v>
      </c>
      <c r="AK185" s="22">
        <v>0.54166666666666663</v>
      </c>
      <c r="AL185" s="22">
        <v>0.45833333333333331</v>
      </c>
      <c r="AM185" s="22">
        <v>0.75</v>
      </c>
      <c r="AN185" s="22">
        <v>0.75</v>
      </c>
      <c r="AO185" s="22">
        <v>0.71388888888888891</v>
      </c>
      <c r="AP185" s="22">
        <v>0.79166666666666663</v>
      </c>
      <c r="AQ185" s="22">
        <v>0.58333333333333337</v>
      </c>
    </row>
    <row r="186" spans="1:43" ht="17.25" customHeight="1" x14ac:dyDescent="0.35">
      <c r="A186" s="169" t="s">
        <v>174</v>
      </c>
      <c r="B186" s="170" t="s">
        <v>402</v>
      </c>
      <c r="C186" s="170" t="s">
        <v>230</v>
      </c>
      <c r="D186" s="169" t="s">
        <v>124</v>
      </c>
      <c r="E186" s="169" t="s">
        <v>458</v>
      </c>
      <c r="F186" s="121">
        <v>0.66666666666666663</v>
      </c>
      <c r="G186" s="195">
        <f>Table436[[#This Row],[Min Daily Hours]]*24</f>
        <v>16</v>
      </c>
      <c r="H186" s="76">
        <v>2.6</v>
      </c>
      <c r="I186" s="22">
        <f>Table4[[#This Row],[Available Hours for Service]]</f>
        <v>30</v>
      </c>
      <c r="J186" s="65">
        <v>11100</v>
      </c>
      <c r="K186" s="123">
        <f>Table436[[#This Row],[Min Daily Hours]]*J$199</f>
        <v>20</v>
      </c>
      <c r="L186" s="123">
        <f>SUM(Table436[[#This Row],[1]:[31]])</f>
        <v>23.458333333333332</v>
      </c>
      <c r="M186" s="121">
        <v>0.91666666666666663</v>
      </c>
      <c r="N186" s="121">
        <v>1</v>
      </c>
      <c r="O186" s="121">
        <v>0.75</v>
      </c>
      <c r="P186" s="121">
        <v>0.20833333333333334</v>
      </c>
      <c r="Q186" s="121">
        <v>0.79166666666666663</v>
      </c>
      <c r="R186" s="121">
        <v>0.625</v>
      </c>
      <c r="S186" s="121">
        <v>0.91666666666666663</v>
      </c>
      <c r="T186" s="121">
        <v>1</v>
      </c>
      <c r="U186" s="121">
        <v>1</v>
      </c>
      <c r="V186" s="121">
        <v>1</v>
      </c>
      <c r="W186" s="22">
        <v>0.75</v>
      </c>
      <c r="X186" s="22">
        <v>1</v>
      </c>
      <c r="Y186" s="22">
        <v>1</v>
      </c>
      <c r="Z186" s="22">
        <v>0.91666666666666663</v>
      </c>
      <c r="AA186" s="22">
        <v>1</v>
      </c>
      <c r="AB186" s="22">
        <v>1</v>
      </c>
      <c r="AC186" s="22">
        <v>0.58333333333333337</v>
      </c>
      <c r="AD186" s="22">
        <v>0.95833333333333337</v>
      </c>
      <c r="AE186" s="22">
        <v>0.875</v>
      </c>
      <c r="AF186" s="22">
        <v>0.41666666666666669</v>
      </c>
      <c r="AG186" s="22">
        <v>0.66666666666666663</v>
      </c>
      <c r="AH186" s="215">
        <v>0.41666666666666669</v>
      </c>
      <c r="AI186" s="121">
        <v>0.45833333333333331</v>
      </c>
      <c r="AJ186" s="22">
        <v>0.79166666666666663</v>
      </c>
      <c r="AK186" s="22">
        <v>0.58333333333333337</v>
      </c>
      <c r="AL186" s="22">
        <v>0.54166666666666663</v>
      </c>
      <c r="AM186" s="22">
        <v>0.70833333333333337</v>
      </c>
      <c r="AN186" s="22">
        <v>0.58333333333333337</v>
      </c>
      <c r="AO186" s="22">
        <v>0.625</v>
      </c>
      <c r="AP186" s="22">
        <v>0.79166666666666663</v>
      </c>
      <c r="AQ186" s="22">
        <v>0.58333333333333337</v>
      </c>
    </row>
    <row r="187" spans="1:43" ht="17.25" customHeight="1" x14ac:dyDescent="0.35">
      <c r="A187" s="169" t="s">
        <v>175</v>
      </c>
      <c r="B187" s="170" t="s">
        <v>409</v>
      </c>
      <c r="C187" s="170" t="s">
        <v>15</v>
      </c>
      <c r="D187" s="169" t="s">
        <v>129</v>
      </c>
      <c r="E187" s="169" t="s">
        <v>461</v>
      </c>
      <c r="F187" s="121">
        <v>0.5</v>
      </c>
      <c r="G187" s="195">
        <f>Table436[[#This Row],[Min Daily Hours]]*24</f>
        <v>12</v>
      </c>
      <c r="H187" s="76">
        <v>4.5999999999999996</v>
      </c>
      <c r="I187" s="22">
        <f>Table4[[#This Row],[Available Hours for Service]]</f>
        <v>29.927777777775191</v>
      </c>
      <c r="J187" s="65">
        <v>14350</v>
      </c>
      <c r="K187" s="123">
        <f>Table436[[#This Row],[Min Daily Hours]]*J$199</f>
        <v>15</v>
      </c>
      <c r="L187" s="123">
        <f>SUM(Table436[[#This Row],[1]:[31]])</f>
        <v>20.336111111111101</v>
      </c>
      <c r="M187" s="121">
        <v>0.50694444444444442</v>
      </c>
      <c r="N187" s="121">
        <v>0.66666666666666663</v>
      </c>
      <c r="O187" s="121">
        <v>0.58333333333333337</v>
      </c>
      <c r="P187" s="121">
        <v>0.33333333333333331</v>
      </c>
      <c r="Q187" s="121">
        <v>0.83333333333333337</v>
      </c>
      <c r="R187" s="121">
        <v>0.93472222222222223</v>
      </c>
      <c r="S187" s="121">
        <v>0.67499999999999993</v>
      </c>
      <c r="T187" s="121">
        <v>0.85277777777777775</v>
      </c>
      <c r="U187" s="121">
        <v>0.83333333333333337</v>
      </c>
      <c r="V187" s="121">
        <v>0.79861111111111116</v>
      </c>
      <c r="W187" s="22">
        <v>0.95833333333333337</v>
      </c>
      <c r="X187" s="22">
        <v>0.875</v>
      </c>
      <c r="Y187" s="22">
        <v>0.70833333333333337</v>
      </c>
      <c r="Z187" s="22">
        <v>0.59861111111111109</v>
      </c>
      <c r="AA187" s="22">
        <v>0.69097222222222221</v>
      </c>
      <c r="AB187" s="22">
        <v>0.61111111111111105</v>
      </c>
      <c r="AC187" s="22">
        <v>0.22152777777777777</v>
      </c>
      <c r="AD187" s="22">
        <v>0.84166666666666667</v>
      </c>
      <c r="AE187" s="22">
        <v>0.72777777777777775</v>
      </c>
      <c r="AF187" s="22">
        <v>0.375</v>
      </c>
      <c r="AG187" s="22">
        <v>0.29166666666666669</v>
      </c>
      <c r="AH187" s="215">
        <v>0.625</v>
      </c>
      <c r="AI187" s="22">
        <v>0.54166666666666663</v>
      </c>
      <c r="AJ187" s="22">
        <v>0.75</v>
      </c>
      <c r="AK187" s="22">
        <v>0.75</v>
      </c>
      <c r="AL187" s="22">
        <v>0.58333333333333337</v>
      </c>
      <c r="AM187" s="22">
        <v>0.65972222222222221</v>
      </c>
      <c r="AN187" s="22">
        <v>0.46666666666666662</v>
      </c>
      <c r="AO187" s="22">
        <v>0.375</v>
      </c>
      <c r="AP187" s="22">
        <v>0.83333333333333337</v>
      </c>
      <c r="AQ187" s="22">
        <v>0.83333333333333337</v>
      </c>
    </row>
    <row r="188" spans="1:43" ht="17.25" customHeight="1" x14ac:dyDescent="0.35">
      <c r="A188" s="169" t="s">
        <v>175</v>
      </c>
      <c r="B188" s="170" t="s">
        <v>409</v>
      </c>
      <c r="C188" s="170" t="s">
        <v>15</v>
      </c>
      <c r="D188" s="169" t="s">
        <v>130</v>
      </c>
      <c r="E188" s="169" t="s">
        <v>461</v>
      </c>
      <c r="F188" s="121">
        <v>0.5</v>
      </c>
      <c r="G188" s="195">
        <f>Table436[[#This Row],[Min Daily Hours]]*24</f>
        <v>12</v>
      </c>
      <c r="H188" s="76">
        <v>2.8</v>
      </c>
      <c r="I188" s="22">
        <f>Table4[[#This Row],[Available Hours for Service]]</f>
        <v>30</v>
      </c>
      <c r="J188" s="65">
        <v>3050</v>
      </c>
      <c r="K188" s="123">
        <f>Table436[[#This Row],[Min Daily Hours]]*J$199</f>
        <v>15</v>
      </c>
      <c r="L188" s="123">
        <f>SUM(Table436[[#This Row],[1]:[31]])</f>
        <v>22.017361111111118</v>
      </c>
      <c r="M188" s="121">
        <v>0.54861111111111105</v>
      </c>
      <c r="N188" s="121">
        <v>0.625</v>
      </c>
      <c r="O188" s="121">
        <v>0.58333333333333337</v>
      </c>
      <c r="P188" s="121">
        <v>0.45833333333333331</v>
      </c>
      <c r="Q188" s="121">
        <v>0.83333333333333337</v>
      </c>
      <c r="R188" s="121">
        <v>0.93402777777777779</v>
      </c>
      <c r="S188" s="121">
        <v>0.47638888888888892</v>
      </c>
      <c r="T188" s="121">
        <v>0.85277777777777775</v>
      </c>
      <c r="U188" s="121">
        <v>0.77569444444444446</v>
      </c>
      <c r="V188" s="121">
        <v>0.79861111111111116</v>
      </c>
      <c r="W188" s="22">
        <v>0.95833333333333337</v>
      </c>
      <c r="X188" s="22">
        <v>0.875</v>
      </c>
      <c r="Y188" s="22">
        <v>0.70833333333333337</v>
      </c>
      <c r="Z188" s="22">
        <v>0.59861111111111109</v>
      </c>
      <c r="AA188" s="22">
        <v>0.69166666666666676</v>
      </c>
      <c r="AB188" s="22">
        <v>0.68541666666666667</v>
      </c>
      <c r="AC188" s="22">
        <v>0.60277777777777775</v>
      </c>
      <c r="AD188" s="22">
        <v>0.875</v>
      </c>
      <c r="AE188" s="22">
        <v>0.72777777777777775</v>
      </c>
      <c r="AF188" s="22">
        <v>0.375</v>
      </c>
      <c r="AG188" s="22">
        <v>0.70833333333333337</v>
      </c>
      <c r="AH188" s="215">
        <v>0.70833333333333337</v>
      </c>
      <c r="AI188" s="22">
        <v>0.45833333333333331</v>
      </c>
      <c r="AJ188" s="22">
        <v>0.70833333333333337</v>
      </c>
      <c r="AK188" s="22">
        <v>0.58333333333333337</v>
      </c>
      <c r="AL188" s="22">
        <v>0.73958333333333337</v>
      </c>
      <c r="AM188" s="22">
        <v>0.7993055555555556</v>
      </c>
      <c r="AN188" s="22">
        <v>0.82777777777777783</v>
      </c>
      <c r="AO188" s="22">
        <v>0.66666666666666663</v>
      </c>
      <c r="AP188" s="22">
        <v>0.91666666666666663</v>
      </c>
      <c r="AQ188" s="22">
        <v>0.91666666666666663</v>
      </c>
    </row>
    <row r="189" spans="1:43" ht="17.25" customHeight="1" x14ac:dyDescent="0.35">
      <c r="A189" s="169" t="s">
        <v>175</v>
      </c>
      <c r="B189" s="170" t="s">
        <v>409</v>
      </c>
      <c r="C189" s="170" t="s">
        <v>15</v>
      </c>
      <c r="D189" s="169" t="s">
        <v>128</v>
      </c>
      <c r="E189" s="169" t="s">
        <v>457</v>
      </c>
      <c r="F189" s="121">
        <v>0.83333333333333337</v>
      </c>
      <c r="G189" s="195">
        <f>Table436[[#This Row],[Min Daily Hours]]*24</f>
        <v>20</v>
      </c>
      <c r="H189" s="76">
        <v>2</v>
      </c>
      <c r="I189" s="22">
        <f>Table4[[#This Row],[Available Hours for Service]]</f>
        <v>44806.8125</v>
      </c>
      <c r="J189" s="65">
        <v>4700</v>
      </c>
      <c r="K189" s="123">
        <f>Table436[[#This Row],[Min Daily Hours]]*J$199</f>
        <v>25</v>
      </c>
      <c r="L189" s="123">
        <f>SUM(Table436[[#This Row],[1]:[31]])</f>
        <v>25.199305555555551</v>
      </c>
      <c r="M189" s="121">
        <v>1</v>
      </c>
      <c r="N189" s="121">
        <v>0.95833333333333337</v>
      </c>
      <c r="O189" s="121">
        <v>0.79166666666666663</v>
      </c>
      <c r="P189" s="121">
        <v>1</v>
      </c>
      <c r="Q189" s="121">
        <v>1</v>
      </c>
      <c r="R189" s="121">
        <v>0.95833333333333337</v>
      </c>
      <c r="S189" s="121">
        <v>0.83333333333333337</v>
      </c>
      <c r="T189" s="121">
        <v>0.85277777777777775</v>
      </c>
      <c r="U189" s="121">
        <v>0.89097222222222217</v>
      </c>
      <c r="V189" s="121">
        <v>0.69791666666666663</v>
      </c>
      <c r="W189" s="22">
        <v>0.625</v>
      </c>
      <c r="X189" s="22">
        <v>0.875</v>
      </c>
      <c r="Y189" s="22">
        <v>0.75</v>
      </c>
      <c r="Z189" s="22">
        <v>0.59583333333333333</v>
      </c>
      <c r="AA189" s="22">
        <v>0.65555555555555556</v>
      </c>
      <c r="AB189" s="22">
        <v>0.44305555555555554</v>
      </c>
      <c r="AC189" s="22">
        <v>0.60277777777777775</v>
      </c>
      <c r="AD189" s="22">
        <v>0.875</v>
      </c>
      <c r="AE189" s="22">
        <v>0.72777777777777775</v>
      </c>
      <c r="AF189" s="22">
        <v>0.375</v>
      </c>
      <c r="AG189" s="22">
        <v>0.83333333333333337</v>
      </c>
      <c r="AH189" s="215">
        <v>0.75</v>
      </c>
      <c r="AI189" s="22">
        <v>0.25</v>
      </c>
      <c r="AJ189" s="22">
        <v>1</v>
      </c>
      <c r="AK189" s="22">
        <v>1</v>
      </c>
      <c r="AL189" s="22">
        <v>1</v>
      </c>
      <c r="AM189" s="22">
        <v>0.96944444444444444</v>
      </c>
      <c r="AN189" s="22">
        <v>0.97152777777777777</v>
      </c>
      <c r="AO189" s="22">
        <v>0.95833333333333337</v>
      </c>
      <c r="AP189" s="22">
        <v>1</v>
      </c>
      <c r="AQ189" s="22">
        <v>0.95833333333333337</v>
      </c>
    </row>
    <row r="190" spans="1:43" s="157" customFormat="1" ht="17.25" customHeight="1" x14ac:dyDescent="0.35">
      <c r="A190" s="169" t="s">
        <v>175</v>
      </c>
      <c r="B190" s="170" t="s">
        <v>409</v>
      </c>
      <c r="C190" s="170" t="s">
        <v>15</v>
      </c>
      <c r="D190" s="169" t="s">
        <v>131</v>
      </c>
      <c r="E190" s="169" t="s">
        <v>461</v>
      </c>
      <c r="F190" s="121">
        <v>0.5</v>
      </c>
      <c r="G190" s="195">
        <f>Table436[[#This Row],[Min Daily Hours]]*24</f>
        <v>12</v>
      </c>
      <c r="H190" s="76">
        <v>3.1</v>
      </c>
      <c r="I190" s="121">
        <f>Table4[[#This Row],[Available Hours for Service]]</f>
        <v>44806.413194444438</v>
      </c>
      <c r="J190" s="65">
        <v>6750</v>
      </c>
      <c r="K190" s="123">
        <f>Table436[[#This Row],[Min Daily Hours]]*J$199</f>
        <v>15</v>
      </c>
      <c r="L190" s="123">
        <f>SUM(Table436[[#This Row],[1]:[31]])</f>
        <v>21.33680555555555</v>
      </c>
      <c r="M190" s="121">
        <v>0.54861111111111105</v>
      </c>
      <c r="N190" s="121">
        <v>0.58333333333333337</v>
      </c>
      <c r="O190" s="121">
        <v>0.58333333333333337</v>
      </c>
      <c r="P190" s="121">
        <v>0.625</v>
      </c>
      <c r="Q190" s="121">
        <v>1</v>
      </c>
      <c r="R190" s="121">
        <v>0.95833333333333337</v>
      </c>
      <c r="S190" s="121">
        <v>0.80208333333333337</v>
      </c>
      <c r="T190" s="121">
        <v>0.85277777777777775</v>
      </c>
      <c r="U190" s="121">
        <v>0.70833333333333337</v>
      </c>
      <c r="V190" s="121">
        <v>0.79861111111111116</v>
      </c>
      <c r="W190" s="121">
        <v>0.95833333333333337</v>
      </c>
      <c r="X190" s="121">
        <v>0.875</v>
      </c>
      <c r="Y190" s="121">
        <v>0.625</v>
      </c>
      <c r="Z190" s="121">
        <v>0.59861111111111109</v>
      </c>
      <c r="AA190" s="121">
        <v>0.65138888888888891</v>
      </c>
      <c r="AB190" s="121">
        <v>0.78749999999999998</v>
      </c>
      <c r="AC190" s="121">
        <v>0.60277777777777775</v>
      </c>
      <c r="AD190" s="121">
        <v>0.84583333333333333</v>
      </c>
      <c r="AE190" s="121">
        <v>0.72777777777777775</v>
      </c>
      <c r="AF190" s="121">
        <v>0.375</v>
      </c>
      <c r="AG190" s="121">
        <v>0.66666666666666663</v>
      </c>
      <c r="AH190" s="215">
        <v>0.54166666666666663</v>
      </c>
      <c r="AI190" s="121">
        <v>0.25</v>
      </c>
      <c r="AJ190" s="121">
        <v>0.66666666666666663</v>
      </c>
      <c r="AK190" s="121">
        <v>0.83333333333333337</v>
      </c>
      <c r="AL190" s="121">
        <v>0.58333333333333337</v>
      </c>
      <c r="AM190" s="121">
        <v>0.57500000000000007</v>
      </c>
      <c r="AN190" s="121">
        <v>0.58750000000000002</v>
      </c>
      <c r="AO190" s="121">
        <v>0.625</v>
      </c>
      <c r="AP190" s="121">
        <v>0.66666666666666663</v>
      </c>
      <c r="AQ190" s="121">
        <v>0.83333333333333337</v>
      </c>
    </row>
    <row r="191" spans="1:43" s="157" customFormat="1" ht="17.25" customHeight="1" x14ac:dyDescent="0.35">
      <c r="A191" s="169" t="s">
        <v>175</v>
      </c>
      <c r="B191" s="170" t="s">
        <v>410</v>
      </c>
      <c r="C191" s="170" t="s">
        <v>15</v>
      </c>
      <c r="D191" s="169" t="s">
        <v>126</v>
      </c>
      <c r="E191" s="169" t="s">
        <v>461</v>
      </c>
      <c r="F191" s="121">
        <v>0.5</v>
      </c>
      <c r="G191" s="195">
        <f>Table436[[#This Row],[Min Daily Hours]]*24</f>
        <v>12</v>
      </c>
      <c r="H191" s="76">
        <v>4.3</v>
      </c>
      <c r="I191" s="121">
        <f>Table4[[#This Row],[Available Hours for Service]]</f>
        <v>89596.075000000012</v>
      </c>
      <c r="J191" s="65">
        <v>11250</v>
      </c>
      <c r="K191" s="123">
        <f>Table436[[#This Row],[Min Daily Hours]]*J$199</f>
        <v>15</v>
      </c>
      <c r="L191" s="123">
        <f>SUM(Table436[[#This Row],[1]:[31]])</f>
        <v>19.799305555555552</v>
      </c>
      <c r="M191" s="121">
        <v>0.5</v>
      </c>
      <c r="N191" s="121">
        <v>0.5</v>
      </c>
      <c r="O191" s="121">
        <v>0.54166666666666663</v>
      </c>
      <c r="P191" s="121">
        <v>0.45833333333333331</v>
      </c>
      <c r="Q191" s="121">
        <v>0.73611111111111116</v>
      </c>
      <c r="R191" s="121">
        <v>0.58333333333333337</v>
      </c>
      <c r="S191" s="121">
        <v>0.86111111111111116</v>
      </c>
      <c r="T191" s="121">
        <v>0.64027777777777783</v>
      </c>
      <c r="U191" s="121">
        <v>0.88263888888888886</v>
      </c>
      <c r="V191" s="121">
        <v>0.89722222222222225</v>
      </c>
      <c r="W191" s="121">
        <v>0.72152777777777777</v>
      </c>
      <c r="X191" s="121">
        <v>1</v>
      </c>
      <c r="Y191" s="121">
        <v>0.48055555555555557</v>
      </c>
      <c r="Z191" s="121">
        <v>0.56111111111111112</v>
      </c>
      <c r="AA191" s="121">
        <v>0.55069444444444449</v>
      </c>
      <c r="AB191" s="121">
        <v>0.4284722222222222</v>
      </c>
      <c r="AC191" s="121">
        <v>0.82916666666666661</v>
      </c>
      <c r="AD191" s="121">
        <v>0.90138888888888891</v>
      </c>
      <c r="AE191" s="121">
        <v>0.93263888888888891</v>
      </c>
      <c r="AF191" s="121">
        <v>0.4770833333333333</v>
      </c>
      <c r="AG191" s="121">
        <v>0.46736111111111112</v>
      </c>
      <c r="AH191" s="215">
        <v>0.50069444444444444</v>
      </c>
      <c r="AI191" s="121">
        <v>0.50555555555555554</v>
      </c>
      <c r="AJ191" s="121">
        <v>0.82638888888888884</v>
      </c>
      <c r="AK191" s="121">
        <v>0.75694444444444453</v>
      </c>
      <c r="AL191" s="121">
        <v>0.71388888888888891</v>
      </c>
      <c r="AM191" s="121">
        <v>0.40902777777777777</v>
      </c>
      <c r="AN191" s="121">
        <v>0.35555555555555557</v>
      </c>
      <c r="AO191" s="121">
        <v>0.3972222222222222</v>
      </c>
      <c r="AP191" s="121">
        <v>0.39930555555555558</v>
      </c>
      <c r="AQ191" s="121">
        <v>0.98402777777777783</v>
      </c>
    </row>
    <row r="192" spans="1:43" ht="17.25" customHeight="1" x14ac:dyDescent="0.35">
      <c r="A192" s="175" t="s">
        <v>175</v>
      </c>
      <c r="B192" s="176" t="s">
        <v>410</v>
      </c>
      <c r="C192" s="176" t="s">
        <v>15</v>
      </c>
      <c r="D192" s="175" t="s">
        <v>127</v>
      </c>
      <c r="E192" s="169" t="s">
        <v>459</v>
      </c>
      <c r="F192" s="121">
        <v>0.16666666666666666</v>
      </c>
      <c r="G192" s="195">
        <f>Table436[[#This Row],[Min Daily Hours]]*24</f>
        <v>4</v>
      </c>
      <c r="H192" s="76">
        <v>1.3</v>
      </c>
      <c r="I192" s="22">
        <f>Table4[[#This Row],[Available Hours for Service]]</f>
        <v>-0.22222222221898846</v>
      </c>
      <c r="J192" s="65">
        <v>4150</v>
      </c>
      <c r="K192" s="123">
        <f>Table436[[#This Row],[Min Daily Hours]]*J$199</f>
        <v>5</v>
      </c>
      <c r="L192" s="123">
        <f>SUM(Table436[[#This Row],[1]:[31]])</f>
        <v>20.965277777777779</v>
      </c>
      <c r="M192" s="121">
        <v>0.27916666666666667</v>
      </c>
      <c r="N192" s="121">
        <v>0.5</v>
      </c>
      <c r="O192" s="121">
        <v>0.54166666666666663</v>
      </c>
      <c r="P192" s="121">
        <v>0.40625</v>
      </c>
      <c r="Q192" s="121">
        <v>0.875</v>
      </c>
      <c r="R192" s="121">
        <v>0.58333333333333337</v>
      </c>
      <c r="S192" s="121">
        <v>0.5</v>
      </c>
      <c r="T192" s="121">
        <v>0.20833333333333334</v>
      </c>
      <c r="U192" s="121">
        <v>0.7993055555555556</v>
      </c>
      <c r="V192" s="121">
        <v>0.89722222222222225</v>
      </c>
      <c r="W192" s="22">
        <v>0.72152777777777777</v>
      </c>
      <c r="X192" s="22">
        <v>0.97569444444444453</v>
      </c>
      <c r="Y192" s="22">
        <v>3.4722222222222224E-2</v>
      </c>
      <c r="Z192" s="22">
        <v>0.56111111111111112</v>
      </c>
      <c r="AA192" s="22">
        <v>0.6875</v>
      </c>
      <c r="AB192" s="22">
        <v>0.9159722222222223</v>
      </c>
      <c r="AC192" s="22">
        <v>0.82847222222222217</v>
      </c>
      <c r="AD192" s="22">
        <v>0.90138888888888891</v>
      </c>
      <c r="AE192" s="22">
        <v>0.93263888888888891</v>
      </c>
      <c r="AF192" s="22">
        <v>0.4770833333333333</v>
      </c>
      <c r="AG192" s="22">
        <v>0.66527777777777775</v>
      </c>
      <c r="AH192" s="215">
        <v>0.55555555555555558</v>
      </c>
      <c r="AI192" s="22">
        <v>0.52638888888888891</v>
      </c>
      <c r="AJ192" s="22">
        <v>1</v>
      </c>
      <c r="AK192" s="22">
        <v>1</v>
      </c>
      <c r="AL192" s="22">
        <v>0.71388888888888891</v>
      </c>
      <c r="AM192" s="22">
        <v>0.73611111111111116</v>
      </c>
      <c r="AN192" s="22">
        <v>0.55555555555555558</v>
      </c>
      <c r="AO192" s="22">
        <v>0.59722222222222221</v>
      </c>
      <c r="AP192" s="22">
        <v>1</v>
      </c>
      <c r="AQ192" s="22">
        <v>0.98888888888888893</v>
      </c>
    </row>
    <row r="193" spans="1:43" ht="17.25" customHeight="1" x14ac:dyDescent="0.35">
      <c r="A193" s="175" t="s">
        <v>175</v>
      </c>
      <c r="B193" s="176" t="s">
        <v>410</v>
      </c>
      <c r="C193" s="176" t="s">
        <v>15</v>
      </c>
      <c r="D193" s="175" t="s">
        <v>359</v>
      </c>
      <c r="E193" s="169" t="s">
        <v>457</v>
      </c>
      <c r="F193" s="121">
        <v>0.83333333333333337</v>
      </c>
      <c r="G193" s="195">
        <f>Table436[[#This Row],[Min Daily Hours]]*24</f>
        <v>20</v>
      </c>
      <c r="H193" s="76">
        <v>1.6</v>
      </c>
      <c r="I193" s="22">
        <f>Table4[[#This Row],[Available Hours for Service]]</f>
        <v>30</v>
      </c>
      <c r="J193" s="65">
        <v>9000</v>
      </c>
      <c r="K193" s="123">
        <f>Table436[[#This Row],[Min Daily Hours]]*J$199</f>
        <v>25</v>
      </c>
      <c r="L193" s="123">
        <f>SUM(Table436[[#This Row],[1]:[31]])</f>
        <v>24.65625</v>
      </c>
      <c r="M193" s="121">
        <v>1</v>
      </c>
      <c r="N193" s="121">
        <v>0.39930555555555558</v>
      </c>
      <c r="O193" s="121">
        <v>0.8569444444444444</v>
      </c>
      <c r="P193" s="121">
        <v>0.97777777777777775</v>
      </c>
      <c r="Q193" s="121">
        <v>1</v>
      </c>
      <c r="R193" s="121">
        <v>0.75</v>
      </c>
      <c r="S193" s="121">
        <v>0.76250000000000007</v>
      </c>
      <c r="T193" s="121">
        <v>0.64027777777777783</v>
      </c>
      <c r="U193" s="121">
        <v>0.88263888888888886</v>
      </c>
      <c r="V193" s="121">
        <v>0.89722222222222225</v>
      </c>
      <c r="W193" s="22">
        <v>0.72152777777777777</v>
      </c>
      <c r="X193" s="22">
        <v>1</v>
      </c>
      <c r="Y193" s="22">
        <v>0.48055555555555557</v>
      </c>
      <c r="Z193" s="22">
        <v>0.56111111111111112</v>
      </c>
      <c r="AA193" s="22">
        <v>0.77986111111111101</v>
      </c>
      <c r="AB193" s="22">
        <v>0.9159722222222223</v>
      </c>
      <c r="AC193" s="22">
        <v>0.82847222222222217</v>
      </c>
      <c r="AD193" s="22">
        <v>0.90138888888888891</v>
      </c>
      <c r="AE193" s="22">
        <v>0.93263888888888891</v>
      </c>
      <c r="AF193" s="22">
        <v>0.4770833333333333</v>
      </c>
      <c r="AG193" s="22">
        <v>0.66527777777777775</v>
      </c>
      <c r="AH193" s="215">
        <v>0.65625</v>
      </c>
      <c r="AI193" s="22">
        <v>0.52638888888888891</v>
      </c>
      <c r="AJ193" s="22">
        <v>1</v>
      </c>
      <c r="AK193" s="22">
        <v>1</v>
      </c>
      <c r="AL193" s="22">
        <v>1</v>
      </c>
      <c r="AM193" s="22">
        <v>0.875</v>
      </c>
      <c r="AN193" s="22">
        <v>0.56874999999999998</v>
      </c>
      <c r="AO193" s="22">
        <v>0.61041666666666672</v>
      </c>
      <c r="AP193" s="22">
        <v>1</v>
      </c>
      <c r="AQ193" s="22">
        <v>0.98888888888888893</v>
      </c>
    </row>
    <row r="194" spans="1:43" ht="17.25" customHeight="1" x14ac:dyDescent="0.35">
      <c r="A194" s="175" t="s">
        <v>175</v>
      </c>
      <c r="B194" s="176" t="s">
        <v>410</v>
      </c>
      <c r="C194" s="176" t="s">
        <v>15</v>
      </c>
      <c r="D194" s="175" t="s">
        <v>360</v>
      </c>
      <c r="E194" s="169" t="s">
        <v>457</v>
      </c>
      <c r="F194" s="121">
        <v>0.83333333333333337</v>
      </c>
      <c r="G194" s="195">
        <f>Table436[[#This Row],[Min Daily Hours]]*24</f>
        <v>20</v>
      </c>
      <c r="H194" s="76">
        <v>0.6</v>
      </c>
      <c r="I194" s="22">
        <f>Table4[[#This Row],[Available Hours for Service]]</f>
        <v>30</v>
      </c>
      <c r="J194" s="65">
        <v>4500</v>
      </c>
      <c r="K194" s="123">
        <f>Table436[[#This Row],[Min Daily Hours]]*J$199</f>
        <v>25</v>
      </c>
      <c r="L194" s="123">
        <f>SUM(Table436[[#This Row],[1]:[31]])</f>
        <v>23.345833333333339</v>
      </c>
      <c r="M194" s="121">
        <v>0.51111111111111118</v>
      </c>
      <c r="N194" s="121">
        <v>0.39930555555555558</v>
      </c>
      <c r="O194" s="121">
        <v>0.8569444444444444</v>
      </c>
      <c r="P194" s="121">
        <v>0.97777777777777775</v>
      </c>
      <c r="Q194" s="121">
        <v>0.77777777777777779</v>
      </c>
      <c r="R194" s="121">
        <v>0.75</v>
      </c>
      <c r="S194" s="121">
        <v>1</v>
      </c>
      <c r="T194" s="121">
        <v>0.64027777777777783</v>
      </c>
      <c r="U194" s="121">
        <v>0.88263888888888886</v>
      </c>
      <c r="V194" s="121">
        <v>0.89722222222222225</v>
      </c>
      <c r="W194" s="22">
        <v>0.375</v>
      </c>
      <c r="X194" s="22">
        <v>0.95833333333333337</v>
      </c>
      <c r="Y194" s="22">
        <v>0.125</v>
      </c>
      <c r="Z194" s="22">
        <v>0.56111111111111112</v>
      </c>
      <c r="AA194" s="22">
        <v>0.77986111111111101</v>
      </c>
      <c r="AB194" s="22">
        <v>0.9159722222222223</v>
      </c>
      <c r="AC194" s="22">
        <v>0.82916666666666661</v>
      </c>
      <c r="AD194" s="22">
        <v>0.90138888888888891</v>
      </c>
      <c r="AE194" s="22">
        <v>0.93263888888888891</v>
      </c>
      <c r="AF194" s="22">
        <v>0.4770833333333333</v>
      </c>
      <c r="AG194" s="22">
        <v>0.66527777777777775</v>
      </c>
      <c r="AH194" s="215">
        <v>0.65625</v>
      </c>
      <c r="AI194" s="22">
        <v>0.52638888888888891</v>
      </c>
      <c r="AJ194" s="22">
        <v>1</v>
      </c>
      <c r="AK194" s="22">
        <v>1</v>
      </c>
      <c r="AL194" s="22">
        <v>1</v>
      </c>
      <c r="AM194" s="22">
        <v>0.875</v>
      </c>
      <c r="AN194" s="22">
        <v>0.56874999999999998</v>
      </c>
      <c r="AO194" s="121">
        <v>0.61041666666666672</v>
      </c>
      <c r="AP194" s="121">
        <v>1</v>
      </c>
      <c r="AQ194" s="22">
        <v>0.89513888888888893</v>
      </c>
    </row>
    <row r="195" spans="1:43" ht="17.25" customHeight="1" x14ac:dyDescent="0.35">
      <c r="A195" s="175" t="s">
        <v>175</v>
      </c>
      <c r="B195" s="176" t="s">
        <v>436</v>
      </c>
      <c r="C195" s="176" t="s">
        <v>233</v>
      </c>
      <c r="D195" s="175" t="s">
        <v>467</v>
      </c>
      <c r="E195" s="169" t="s">
        <v>461</v>
      </c>
      <c r="F195" s="121">
        <v>0.5</v>
      </c>
      <c r="G195" s="195">
        <f>Table436[[#This Row],[Min Daily Hours]]*24</f>
        <v>12</v>
      </c>
      <c r="H195" s="76">
        <v>1.3</v>
      </c>
      <c r="I195" s="22">
        <f>Table4[[#This Row],[Available Hours for Service]]</f>
        <v>30</v>
      </c>
      <c r="J195" s="65">
        <v>6000</v>
      </c>
      <c r="K195" s="123">
        <f>Table436[[#This Row],[Min Daily Hours]]*J$199</f>
        <v>15</v>
      </c>
      <c r="L195" s="123">
        <f>SUM(Table436[[#This Row],[1]:[31]])</f>
        <v>11.367361111111116</v>
      </c>
      <c r="M195" s="121">
        <v>0.3979166666666667</v>
      </c>
      <c r="N195" s="121">
        <v>0.34861111111111115</v>
      </c>
      <c r="O195" s="121">
        <v>0.43333333333333335</v>
      </c>
      <c r="P195" s="121">
        <v>0.26874999999999999</v>
      </c>
      <c r="Q195" s="121">
        <v>0.57152777777777775</v>
      </c>
      <c r="R195" s="121">
        <v>0.65138888888888891</v>
      </c>
      <c r="S195" s="121">
        <v>0.36805555555555558</v>
      </c>
      <c r="T195" s="121">
        <v>0.625</v>
      </c>
      <c r="U195" s="121">
        <v>0.8125</v>
      </c>
      <c r="V195" s="121">
        <v>0.14652777777777778</v>
      </c>
      <c r="W195" s="22">
        <v>0.39027777777777778</v>
      </c>
      <c r="X195" s="22">
        <v>0.42708333333333331</v>
      </c>
      <c r="Y195" s="22">
        <v>2.7777777777777779E-3</v>
      </c>
      <c r="Z195" s="22">
        <v>0.44097222222222227</v>
      </c>
      <c r="AA195" s="22">
        <v>0.57291666666666663</v>
      </c>
      <c r="AB195" s="22">
        <v>0.30902777777777779</v>
      </c>
      <c r="AC195" s="22">
        <v>0.40972222222222227</v>
      </c>
      <c r="AD195" s="22">
        <v>0.39166666666666666</v>
      </c>
      <c r="AE195" s="22">
        <v>0.48541666666666666</v>
      </c>
      <c r="AF195" s="22">
        <v>0.19444444444444445</v>
      </c>
      <c r="AG195" s="22">
        <v>0.22708333333333333</v>
      </c>
      <c r="AH195" s="215">
        <v>0.30763888888888891</v>
      </c>
      <c r="AI195" s="22">
        <v>6.9444444444444441E-3</v>
      </c>
      <c r="AJ195" s="22">
        <v>0.37361111111111112</v>
      </c>
      <c r="AK195" s="22">
        <v>0.27777777777777779</v>
      </c>
      <c r="AL195" s="22">
        <v>0.50486111111111109</v>
      </c>
      <c r="AM195" s="22">
        <v>0.6972222222222223</v>
      </c>
      <c r="AN195" s="22">
        <v>0.22708333333333333</v>
      </c>
      <c r="AO195" s="22">
        <v>0.26874999999999999</v>
      </c>
      <c r="AP195" s="22">
        <v>0.22847222222222222</v>
      </c>
      <c r="AQ195" s="22">
        <v>0</v>
      </c>
    </row>
    <row r="196" spans="1:43" ht="17.25" customHeight="1" x14ac:dyDescent="0.35">
      <c r="A196" s="175" t="s">
        <v>175</v>
      </c>
      <c r="B196" s="176" t="s">
        <v>436</v>
      </c>
      <c r="C196" s="176" t="s">
        <v>233</v>
      </c>
      <c r="D196" s="175" t="s">
        <v>132</v>
      </c>
      <c r="E196" s="169" t="s">
        <v>461</v>
      </c>
      <c r="F196" s="121">
        <v>0.5</v>
      </c>
      <c r="G196" s="195">
        <f>Table436[[#This Row],[Min Daily Hours]]*24</f>
        <v>12</v>
      </c>
      <c r="H196" s="76">
        <v>1.7</v>
      </c>
      <c r="I196" s="22">
        <f>Table4[[#This Row],[Available Hours for Service]]</f>
        <v>30</v>
      </c>
      <c r="J196" s="65">
        <v>6300</v>
      </c>
      <c r="K196" s="123">
        <f>Table436[[#This Row],[Min Daily Hours]]*J$199</f>
        <v>15</v>
      </c>
      <c r="L196" s="123">
        <f>SUM(Table436[[#This Row],[1]:[31]])</f>
        <v>11.479166666666671</v>
      </c>
      <c r="M196" s="121">
        <v>0.3979166666666667</v>
      </c>
      <c r="N196" s="121">
        <v>0.34861111111111115</v>
      </c>
      <c r="O196" s="121">
        <v>0.43333333333333335</v>
      </c>
      <c r="P196" s="121">
        <v>0.26874999999999999</v>
      </c>
      <c r="Q196" s="121">
        <v>0.57152777777777775</v>
      </c>
      <c r="R196" s="121">
        <v>0.65138888888888891</v>
      </c>
      <c r="S196" s="121">
        <v>0.36805555555555558</v>
      </c>
      <c r="T196" s="121">
        <v>0.625</v>
      </c>
      <c r="U196" s="121">
        <v>0.8125</v>
      </c>
      <c r="V196" s="121">
        <v>0.14652777777777778</v>
      </c>
      <c r="W196" s="22">
        <v>0.39027777777777778</v>
      </c>
      <c r="X196" s="22">
        <v>0.41319444444444442</v>
      </c>
      <c r="Y196" s="22">
        <v>3.125E-2</v>
      </c>
      <c r="Z196" s="22">
        <v>0.52430555555555558</v>
      </c>
      <c r="AA196" s="22">
        <v>0.57291666666666663</v>
      </c>
      <c r="AB196" s="22">
        <v>0.30902777777777779</v>
      </c>
      <c r="AC196" s="22">
        <v>0.40972222222222227</v>
      </c>
      <c r="AD196" s="22">
        <v>0.39166666666666666</v>
      </c>
      <c r="AE196" s="22">
        <v>0.48541666666666666</v>
      </c>
      <c r="AF196" s="22">
        <v>0.19444444444444445</v>
      </c>
      <c r="AG196" s="22">
        <v>0.22708333333333333</v>
      </c>
      <c r="AH196" s="22">
        <v>0.30763888888888891</v>
      </c>
      <c r="AI196" s="22">
        <v>6.9444444444444441E-3</v>
      </c>
      <c r="AJ196" s="121">
        <v>0.2902777777777778</v>
      </c>
      <c r="AK196" s="121">
        <v>0.27777777777777779</v>
      </c>
      <c r="AL196" s="22">
        <v>0.50486111111111109</v>
      </c>
      <c r="AM196" s="22">
        <v>0.6972222222222223</v>
      </c>
      <c r="AN196" s="22">
        <v>0.27569444444444446</v>
      </c>
      <c r="AO196" s="121">
        <v>0.31736111111111115</v>
      </c>
      <c r="AP196" s="121">
        <v>0.22847222222222222</v>
      </c>
      <c r="AQ196" s="121">
        <v>0</v>
      </c>
    </row>
    <row r="197" spans="1:43" ht="15" x14ac:dyDescent="0.35">
      <c r="A197" s="216" t="s">
        <v>194</v>
      </c>
      <c r="B197" s="217"/>
      <c r="C197" s="217"/>
      <c r="D197" s="216"/>
      <c r="E197" s="216"/>
      <c r="F197" s="216"/>
      <c r="G197" s="216"/>
      <c r="H197" s="216"/>
      <c r="I197" s="218" t="e">
        <f>SUBTOTAL(109,Table436[Total Available Hours for Service])</f>
        <v>#VALUE!</v>
      </c>
      <c r="J197" s="219">
        <f>SUBTOTAL(109,Table436[Connected Capacity per feeder (KVA)])</f>
        <v>3427188</v>
      </c>
      <c r="K197" s="219"/>
      <c r="L197" s="219"/>
      <c r="M197" s="121"/>
      <c r="N197" s="121"/>
      <c r="O197" s="121"/>
      <c r="P197" s="121"/>
      <c r="Q197" s="121"/>
      <c r="R197" s="121"/>
      <c r="S197" s="121"/>
      <c r="T197" s="121"/>
      <c r="U197" s="121"/>
      <c r="V197" s="121"/>
      <c r="W197" s="121"/>
      <c r="X197" s="121"/>
      <c r="Y197" s="121"/>
      <c r="Z197" s="121"/>
      <c r="AA197" s="121"/>
      <c r="AB197" s="121"/>
      <c r="AC197" s="121"/>
      <c r="AD197" s="121"/>
      <c r="AE197" s="121"/>
      <c r="AF197" s="121"/>
      <c r="AG197" s="121"/>
      <c r="AH197" s="121"/>
      <c r="AI197" s="121"/>
      <c r="AJ197" s="121"/>
      <c r="AK197" s="121"/>
      <c r="AL197" s="121"/>
      <c r="AM197" s="121"/>
      <c r="AN197" s="121"/>
      <c r="AO197" s="121"/>
      <c r="AP197" s="121"/>
      <c r="AQ197" s="121"/>
    </row>
    <row r="199" spans="1:43" x14ac:dyDescent="0.35">
      <c r="I199" s="117" t="s">
        <v>485</v>
      </c>
      <c r="J199" s="157">
        <v>30</v>
      </c>
    </row>
    <row r="209" spans="2:9" x14ac:dyDescent="0.35">
      <c r="B209"/>
      <c r="C209"/>
      <c r="D209"/>
      <c r="E209" s="157"/>
      <c r="F209" s="157"/>
      <c r="G209" s="157"/>
      <c r="H209"/>
      <c r="I209"/>
    </row>
    <row r="216" spans="2:9" x14ac:dyDescent="0.35">
      <c r="B216"/>
      <c r="C216"/>
      <c r="D216"/>
      <c r="E216" s="157"/>
      <c r="F216" s="157"/>
      <c r="G216" s="157"/>
      <c r="H216"/>
      <c r="I216"/>
    </row>
    <row r="217" spans="2:9" x14ac:dyDescent="0.35">
      <c r="B217"/>
      <c r="C217"/>
      <c r="D217"/>
      <c r="E217" s="157"/>
      <c r="F217" s="157"/>
      <c r="G217" s="157"/>
      <c r="H217"/>
      <c r="I217"/>
    </row>
    <row r="218" spans="2:9" x14ac:dyDescent="0.35">
      <c r="B218"/>
      <c r="C218"/>
      <c r="D218"/>
      <c r="E218" s="157"/>
      <c r="F218" s="157"/>
      <c r="G218" s="157"/>
      <c r="H218"/>
      <c r="I218"/>
    </row>
    <row r="219" spans="2:9" x14ac:dyDescent="0.35">
      <c r="B219"/>
      <c r="C219"/>
      <c r="D219"/>
      <c r="E219" s="157"/>
      <c r="F219" s="157"/>
      <c r="G219" s="157"/>
      <c r="H219"/>
      <c r="I219"/>
    </row>
    <row r="220" spans="2:9" x14ac:dyDescent="0.35">
      <c r="B220"/>
      <c r="C220"/>
      <c r="D220"/>
      <c r="E220" s="157"/>
      <c r="F220" s="157"/>
      <c r="G220" s="157"/>
      <c r="H220"/>
      <c r="I220"/>
    </row>
    <row r="221" spans="2:9" x14ac:dyDescent="0.35">
      <c r="B221"/>
      <c r="C221"/>
      <c r="D221"/>
      <c r="E221" s="157"/>
      <c r="F221" s="157"/>
      <c r="G221" s="157"/>
      <c r="H221"/>
      <c r="I221"/>
    </row>
    <row r="222" spans="2:9" x14ac:dyDescent="0.35">
      <c r="B222"/>
      <c r="C222"/>
      <c r="D222"/>
      <c r="E222" s="157"/>
      <c r="F222" s="157"/>
      <c r="G222" s="157"/>
      <c r="H222"/>
      <c r="I222"/>
    </row>
    <row r="223" spans="2:9" x14ac:dyDescent="0.35">
      <c r="B223"/>
      <c r="C223"/>
      <c r="D223"/>
      <c r="E223" s="157"/>
      <c r="F223" s="157"/>
      <c r="G223" s="157"/>
      <c r="H223"/>
      <c r="I223"/>
    </row>
    <row r="224" spans="2:9" x14ac:dyDescent="0.35">
      <c r="B224"/>
      <c r="C224"/>
      <c r="D224"/>
      <c r="E224" s="157"/>
      <c r="F224" s="157"/>
      <c r="G224" s="157"/>
      <c r="H224"/>
      <c r="I224"/>
    </row>
    <row r="225" spans="2:9" x14ac:dyDescent="0.35">
      <c r="B225"/>
      <c r="C225"/>
      <c r="D225"/>
      <c r="E225" s="157"/>
      <c r="F225" s="157"/>
      <c r="G225" s="157"/>
      <c r="H225"/>
      <c r="I225"/>
    </row>
    <row r="226" spans="2:9" x14ac:dyDescent="0.35">
      <c r="B226"/>
      <c r="C226"/>
      <c r="D226"/>
      <c r="E226" s="157"/>
      <c r="F226" s="157"/>
      <c r="G226" s="157"/>
      <c r="H226"/>
      <c r="I226"/>
    </row>
    <row r="227" spans="2:9" x14ac:dyDescent="0.35">
      <c r="B227"/>
      <c r="C227"/>
      <c r="D227"/>
      <c r="E227" s="157"/>
      <c r="F227" s="157"/>
      <c r="G227" s="157"/>
      <c r="H227"/>
      <c r="I22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82"/>
  <sheetViews>
    <sheetView zoomScale="70" zoomScaleNormal="70" workbookViewId="0">
      <selection activeCell="E17" sqref="E17"/>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s="157" customFormat="1" ht="15.5" x14ac:dyDescent="0.35">
      <c r="A2" s="158" t="s">
        <v>45</v>
      </c>
      <c r="B2" s="159" t="s">
        <v>150</v>
      </c>
      <c r="C2" s="160"/>
      <c r="D2" s="160"/>
      <c r="E2" s="160">
        <v>44774.009722222225</v>
      </c>
      <c r="F2" s="165"/>
      <c r="G2" s="159" t="s">
        <v>164</v>
      </c>
      <c r="H2" s="135" t="s">
        <v>501</v>
      </c>
      <c r="I2" s="135" t="s">
        <v>334</v>
      </c>
      <c r="J2" s="160">
        <v>44774.469444444447</v>
      </c>
      <c r="K2" s="168"/>
      <c r="L2" s="161">
        <f>J2-E2</f>
        <v>0.45972222222189885</v>
      </c>
      <c r="M2" s="167">
        <f>L2*F2</f>
        <v>0</v>
      </c>
      <c r="N2" s="162" t="str">
        <f>IF(Table268323467[[#This Row],[Fault Type]]="PM",IF(L2&lt;=(D2-C2),"Yes","No"),"")</f>
        <v/>
      </c>
      <c r="O2" s="163" t="str">
        <f>IF(N2="No",(L2-(D2-C2)),"")</f>
        <v/>
      </c>
      <c r="P2" s="166"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2" s="164"/>
    </row>
    <row r="3" spans="1:17" ht="15.5" x14ac:dyDescent="0.35">
      <c r="A3" s="4" t="s">
        <v>23</v>
      </c>
      <c r="B3" s="159" t="s">
        <v>150</v>
      </c>
      <c r="C3" s="13"/>
      <c r="D3" s="13"/>
      <c r="E3" s="13">
        <v>44774.025000000001</v>
      </c>
      <c r="F3" s="12">
        <v>3.5</v>
      </c>
      <c r="G3" s="12" t="s">
        <v>164</v>
      </c>
      <c r="H3" s="27" t="s">
        <v>502</v>
      </c>
      <c r="I3" s="27" t="s">
        <v>334</v>
      </c>
      <c r="J3" s="13">
        <v>44774.286805555559</v>
      </c>
      <c r="K3" s="32"/>
      <c r="L3" s="14">
        <f t="shared" ref="L3:L68" si="0">J3-E3</f>
        <v>0.2618055555576575</v>
      </c>
      <c r="M3" s="31">
        <f t="shared" ref="M3:M21" si="1">L3*F3</f>
        <v>0.91631944445180125</v>
      </c>
      <c r="N3" s="15" t="str">
        <f>IF(Table268323467[[#This Row],[Fault Type]]="PM",IF(L3&lt;=(D3-C3),"Yes","No"),"")</f>
        <v/>
      </c>
      <c r="O3" s="16" t="str">
        <f t="shared" ref="O3:O68" si="2">IF(N3="No",(L3-(D3-C3)),"")</f>
        <v/>
      </c>
      <c r="P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 s="17"/>
    </row>
    <row r="4" spans="1:17" ht="15.5" x14ac:dyDescent="0.35">
      <c r="A4" s="4" t="s">
        <v>112</v>
      </c>
      <c r="B4" s="159" t="s">
        <v>150</v>
      </c>
      <c r="C4" s="13"/>
      <c r="D4" s="13"/>
      <c r="E4" s="13">
        <v>44774.034722222219</v>
      </c>
      <c r="F4" s="12">
        <v>1.5</v>
      </c>
      <c r="G4" s="159" t="s">
        <v>164</v>
      </c>
      <c r="H4" s="27" t="s">
        <v>503</v>
      </c>
      <c r="I4" s="27" t="s">
        <v>334</v>
      </c>
      <c r="J4" s="13">
        <v>44774.736111111109</v>
      </c>
      <c r="K4" s="32"/>
      <c r="L4" s="14">
        <f t="shared" si="0"/>
        <v>0.70138888889050577</v>
      </c>
      <c r="M4" s="31">
        <f t="shared" si="1"/>
        <v>1.0520833333357587</v>
      </c>
      <c r="N4" s="15" t="str">
        <f>IF(Table268323467[[#This Row],[Fault Type]]="PM",IF(L4&lt;=(D4-C4),"Yes","No"),"")</f>
        <v/>
      </c>
      <c r="O4" s="16" t="str">
        <f t="shared" si="2"/>
        <v/>
      </c>
      <c r="P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4" s="17"/>
    </row>
    <row r="5" spans="1:17" ht="15.5" x14ac:dyDescent="0.35">
      <c r="A5" s="4" t="s">
        <v>442</v>
      </c>
      <c r="B5" s="159" t="s">
        <v>150</v>
      </c>
      <c r="C5" s="13"/>
      <c r="D5" s="13"/>
      <c r="E5" s="13">
        <v>44774.090277777781</v>
      </c>
      <c r="F5" s="12">
        <v>0.6</v>
      </c>
      <c r="G5" s="159" t="s">
        <v>164</v>
      </c>
      <c r="H5" s="79" t="s">
        <v>504</v>
      </c>
      <c r="I5" s="12" t="s">
        <v>334</v>
      </c>
      <c r="J5" s="13">
        <v>44774.399305555555</v>
      </c>
      <c r="K5" s="80"/>
      <c r="L5" s="14">
        <f t="shared" si="0"/>
        <v>0.30902777777373558</v>
      </c>
      <c r="M5" s="31">
        <f t="shared" si="1"/>
        <v>0.18541666666424134</v>
      </c>
      <c r="N5" s="15" t="str">
        <f>IF(Table268323467[[#This Row],[Fault Type]]="PM",IF(L5&lt;=(D5-C5),"Yes","No"),"")</f>
        <v/>
      </c>
      <c r="O5" s="16" t="str">
        <f t="shared" si="2"/>
        <v/>
      </c>
      <c r="P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5" s="17"/>
    </row>
    <row r="6" spans="1:17" ht="15.5" x14ac:dyDescent="0.35">
      <c r="A6" s="4" t="s">
        <v>47</v>
      </c>
      <c r="B6" s="159" t="s">
        <v>150</v>
      </c>
      <c r="C6" s="13"/>
      <c r="D6" s="13"/>
      <c r="E6" s="13">
        <v>44774.095833333333</v>
      </c>
      <c r="F6" s="12">
        <v>3.4</v>
      </c>
      <c r="G6" s="159" t="s">
        <v>164</v>
      </c>
      <c r="H6" s="12" t="s">
        <v>505</v>
      </c>
      <c r="I6" s="12" t="s">
        <v>334</v>
      </c>
      <c r="J6" s="13">
        <v>44774.495833333334</v>
      </c>
      <c r="K6" s="32"/>
      <c r="L6" s="14">
        <f t="shared" si="0"/>
        <v>0.40000000000145519</v>
      </c>
      <c r="M6" s="31">
        <f t="shared" si="1"/>
        <v>1.3600000000049477</v>
      </c>
      <c r="N6" s="15" t="str">
        <f>IF(Table268323467[[#This Row],[Fault Type]]="PM",IF(L6&lt;=(D6-C6),"Yes","No"),"")</f>
        <v/>
      </c>
      <c r="O6" s="16" t="str">
        <f t="shared" si="2"/>
        <v/>
      </c>
      <c r="P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6" s="17"/>
    </row>
    <row r="7" spans="1:17" ht="15.5" x14ac:dyDescent="0.35">
      <c r="A7" s="4" t="s">
        <v>87</v>
      </c>
      <c r="B7" s="12" t="s">
        <v>150</v>
      </c>
      <c r="C7" s="13"/>
      <c r="D7" s="13"/>
      <c r="E7" s="13">
        <v>44774.104166666664</v>
      </c>
      <c r="F7" s="12">
        <v>0.3</v>
      </c>
      <c r="G7" s="159" t="s">
        <v>164</v>
      </c>
      <c r="H7" s="12" t="s">
        <v>506</v>
      </c>
      <c r="I7" s="12" t="s">
        <v>333</v>
      </c>
      <c r="J7" s="13">
        <v>44774.525694444441</v>
      </c>
      <c r="K7" s="32"/>
      <c r="L7" s="14">
        <f t="shared" si="0"/>
        <v>0.42152777777664596</v>
      </c>
      <c r="M7" s="31">
        <f t="shared" si="1"/>
        <v>0.12645833333299378</v>
      </c>
      <c r="N7" s="15" t="str">
        <f>IF(Table268323467[[#This Row],[Fault Type]]="PM",IF(L7&lt;=(D7-C7),"Yes","No"),"")</f>
        <v/>
      </c>
      <c r="O7" s="16" t="str">
        <f t="shared" si="2"/>
        <v/>
      </c>
      <c r="P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7" s="17"/>
    </row>
    <row r="8" spans="1:17" ht="15.5" x14ac:dyDescent="0.35">
      <c r="A8" s="4" t="s">
        <v>25</v>
      </c>
      <c r="B8" s="12" t="s">
        <v>150</v>
      </c>
      <c r="C8" s="13"/>
      <c r="D8" s="13"/>
      <c r="E8" s="13">
        <v>44774.129166666666</v>
      </c>
      <c r="F8" s="12">
        <v>2.6</v>
      </c>
      <c r="G8" s="159" t="s">
        <v>164</v>
      </c>
      <c r="H8" s="12" t="s">
        <v>507</v>
      </c>
      <c r="I8" s="12" t="s">
        <v>334</v>
      </c>
      <c r="J8" s="13">
        <v>44774.28125</v>
      </c>
      <c r="K8" s="32"/>
      <c r="L8" s="14">
        <f t="shared" si="0"/>
        <v>0.15208333333430346</v>
      </c>
      <c r="M8" s="31">
        <f t="shared" si="1"/>
        <v>0.39541666666918901</v>
      </c>
      <c r="N8" s="15" t="str">
        <f>IF(Table268323467[[#This Row],[Fault Type]]="PM",IF(L8&lt;=(D8-C8),"Yes","No"),"")</f>
        <v/>
      </c>
      <c r="O8" s="16" t="str">
        <f t="shared" si="2"/>
        <v/>
      </c>
      <c r="P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8" s="17"/>
    </row>
    <row r="9" spans="1:17" ht="15.5" x14ac:dyDescent="0.35">
      <c r="A9" s="4" t="s">
        <v>28</v>
      </c>
      <c r="B9" s="12" t="s">
        <v>150</v>
      </c>
      <c r="C9" s="13"/>
      <c r="D9" s="13"/>
      <c r="E9" s="13">
        <v>44774.20208333333</v>
      </c>
      <c r="F9" s="12">
        <v>5.6</v>
      </c>
      <c r="G9" s="159" t="s">
        <v>164</v>
      </c>
      <c r="H9" s="12" t="s">
        <v>508</v>
      </c>
      <c r="I9" s="12" t="s">
        <v>334</v>
      </c>
      <c r="J9" s="13">
        <v>44774.359722222223</v>
      </c>
      <c r="K9" s="32"/>
      <c r="L9" s="14">
        <f t="shared" si="0"/>
        <v>0.15763888889341615</v>
      </c>
      <c r="M9" s="31">
        <f t="shared" si="1"/>
        <v>0.88277777780313038</v>
      </c>
      <c r="N9" s="15" t="str">
        <f>IF(Table268323467[[#This Row],[Fault Type]]="PM",IF(L9&lt;=(D9-C9),"Yes","No"),"")</f>
        <v/>
      </c>
      <c r="O9" s="16" t="str">
        <f t="shared" si="2"/>
        <v/>
      </c>
      <c r="P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9" s="17"/>
    </row>
    <row r="10" spans="1:17" ht="15.5" x14ac:dyDescent="0.35">
      <c r="A10" s="4" t="s">
        <v>370</v>
      </c>
      <c r="B10" s="12" t="s">
        <v>150</v>
      </c>
      <c r="C10" s="13"/>
      <c r="D10" s="13"/>
      <c r="E10" s="13">
        <v>44774.206250000003</v>
      </c>
      <c r="F10" s="12">
        <v>6.6</v>
      </c>
      <c r="G10" s="159" t="s">
        <v>164</v>
      </c>
      <c r="H10" s="12" t="s">
        <v>509</v>
      </c>
      <c r="I10" s="12" t="s">
        <v>334</v>
      </c>
      <c r="J10" s="126">
        <v>44774.390972222223</v>
      </c>
      <c r="K10" s="32"/>
      <c r="L10" s="14">
        <f t="shared" si="0"/>
        <v>0.18472222222044365</v>
      </c>
      <c r="M10" s="31">
        <f t="shared" si="1"/>
        <v>1.2191666666549281</v>
      </c>
      <c r="N10" s="15" t="str">
        <f>IF(Table268323467[[#This Row],[Fault Type]]="PM",IF(L10&lt;=(D10-C10),"Yes","No"),"")</f>
        <v/>
      </c>
      <c r="O10" s="16" t="str">
        <f t="shared" si="2"/>
        <v/>
      </c>
      <c r="P1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0" s="17"/>
    </row>
    <row r="11" spans="1:17" ht="15.5" x14ac:dyDescent="0.35">
      <c r="A11" s="4" t="s">
        <v>195</v>
      </c>
      <c r="B11" s="12" t="s">
        <v>150</v>
      </c>
      <c r="C11" s="13"/>
      <c r="D11" s="13"/>
      <c r="E11" s="13">
        <v>44774.227083333331</v>
      </c>
      <c r="F11" s="12">
        <v>1.3</v>
      </c>
      <c r="G11" s="159" t="s">
        <v>164</v>
      </c>
      <c r="H11" s="12" t="s">
        <v>510</v>
      </c>
      <c r="I11" s="12" t="s">
        <v>334</v>
      </c>
      <c r="J11" s="13">
        <v>44774.282638888886</v>
      </c>
      <c r="K11" s="32"/>
      <c r="L11" s="14">
        <f t="shared" si="0"/>
        <v>5.5555555554747116E-2</v>
      </c>
      <c r="M11" s="31">
        <f t="shared" si="1"/>
        <v>7.2222222221171251E-2</v>
      </c>
      <c r="N11" s="15" t="str">
        <f>IF(Table268323467[[#This Row],[Fault Type]]="PM",IF(L11&lt;=(D11-C11),"Yes","No"),"")</f>
        <v/>
      </c>
      <c r="O11" s="16" t="str">
        <f t="shared" si="2"/>
        <v/>
      </c>
      <c r="P1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1" s="17"/>
    </row>
    <row r="12" spans="1:17" ht="15.5" x14ac:dyDescent="0.35">
      <c r="A12" s="4" t="s">
        <v>26</v>
      </c>
      <c r="B12" s="12" t="s">
        <v>150</v>
      </c>
      <c r="C12" s="13"/>
      <c r="D12" s="13"/>
      <c r="E12" s="13">
        <v>44774.25277777778</v>
      </c>
      <c r="F12" s="12">
        <v>2.2999999999999998</v>
      </c>
      <c r="G12" s="159" t="s">
        <v>164</v>
      </c>
      <c r="H12" s="12" t="s">
        <v>511</v>
      </c>
      <c r="I12" s="12" t="s">
        <v>334</v>
      </c>
      <c r="J12" s="13">
        <v>44774.281944444447</v>
      </c>
      <c r="K12" s="32"/>
      <c r="L12" s="14">
        <f t="shared" si="0"/>
        <v>2.9166666667151731E-2</v>
      </c>
      <c r="M12" s="31">
        <f t="shared" si="1"/>
        <v>6.7083333334448977E-2</v>
      </c>
      <c r="N12" s="15" t="str">
        <f>IF(Table268323467[[#This Row],[Fault Type]]="PM",IF(L12&lt;=(D12-C12),"Yes","No"),"")</f>
        <v/>
      </c>
      <c r="O12" s="16" t="str">
        <f t="shared" si="2"/>
        <v/>
      </c>
      <c r="P1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2" s="17"/>
    </row>
    <row r="13" spans="1:17" ht="15.5" x14ac:dyDescent="0.35">
      <c r="A13" s="4" t="s">
        <v>512</v>
      </c>
      <c r="B13" s="12" t="s">
        <v>150</v>
      </c>
      <c r="C13" s="13"/>
      <c r="D13" s="13"/>
      <c r="E13" s="13">
        <v>44774.253472222219</v>
      </c>
      <c r="F13" s="12"/>
      <c r="G13" s="159" t="s">
        <v>164</v>
      </c>
      <c r="H13" s="12" t="s">
        <v>513</v>
      </c>
      <c r="I13" s="12" t="s">
        <v>334</v>
      </c>
      <c r="J13" s="13">
        <v>44774.277777777781</v>
      </c>
      <c r="K13" s="32"/>
      <c r="L13" s="14">
        <f t="shared" si="0"/>
        <v>2.4305555562023073E-2</v>
      </c>
      <c r="M13" s="31">
        <f t="shared" si="1"/>
        <v>0</v>
      </c>
      <c r="N13" s="15" t="str">
        <f>IF(Table268323467[[#This Row],[Fault Type]]="PM",IF(L13&lt;=(D13-C13),"Yes","No"),"")</f>
        <v/>
      </c>
      <c r="O13" s="16" t="str">
        <f t="shared" si="2"/>
        <v/>
      </c>
      <c r="P13" s="30" t="e">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#N/A</v>
      </c>
      <c r="Q13" s="17"/>
    </row>
    <row r="14" spans="1:17" ht="15.5" x14ac:dyDescent="0.35">
      <c r="A14" s="4" t="s">
        <v>30</v>
      </c>
      <c r="B14" s="12" t="s">
        <v>150</v>
      </c>
      <c r="C14" s="13"/>
      <c r="D14" s="13"/>
      <c r="E14" s="13">
        <v>44774.258333333331</v>
      </c>
      <c r="F14" s="12">
        <v>4.8</v>
      </c>
      <c r="G14" s="159" t="s">
        <v>164</v>
      </c>
      <c r="H14" s="12" t="s">
        <v>514</v>
      </c>
      <c r="I14" s="12" t="s">
        <v>334</v>
      </c>
      <c r="J14" s="13">
        <v>44774.286805555559</v>
      </c>
      <c r="K14" s="32"/>
      <c r="L14" s="14">
        <f t="shared" si="0"/>
        <v>2.8472222227719612E-2</v>
      </c>
      <c r="M14" s="31">
        <f t="shared" si="1"/>
        <v>0.13666666669305413</v>
      </c>
      <c r="N14" s="15" t="str">
        <f>IF(Table268323467[[#This Row],[Fault Type]]="PM",IF(L14&lt;=(D14-C14),"Yes","No"),"")</f>
        <v/>
      </c>
      <c r="O14" s="16" t="str">
        <f t="shared" si="2"/>
        <v/>
      </c>
      <c r="P1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4" s="17"/>
    </row>
    <row r="15" spans="1:17" ht="15.5" x14ac:dyDescent="0.35">
      <c r="A15" s="4" t="s">
        <v>112</v>
      </c>
      <c r="B15" s="12" t="s">
        <v>150</v>
      </c>
      <c r="C15" s="13"/>
      <c r="D15" s="13"/>
      <c r="E15" s="13">
        <v>44774.295138888891</v>
      </c>
      <c r="F15" s="12"/>
      <c r="G15" s="159" t="s">
        <v>164</v>
      </c>
      <c r="H15" s="18" t="s">
        <v>515</v>
      </c>
      <c r="I15" s="12" t="s">
        <v>333</v>
      </c>
      <c r="J15" s="126">
        <v>44774.736111111109</v>
      </c>
      <c r="K15" s="80"/>
      <c r="L15" s="14">
        <f t="shared" si="0"/>
        <v>0.44097222221898846</v>
      </c>
      <c r="M15" s="31">
        <f t="shared" si="1"/>
        <v>0</v>
      </c>
      <c r="N15" s="15" t="str">
        <f>IF(Table268323467[[#This Row],[Fault Type]]="PM",IF(L15&lt;=(D15-C15),"Yes","No"),"")</f>
        <v/>
      </c>
      <c r="O15" s="16" t="str">
        <f t="shared" si="2"/>
        <v/>
      </c>
      <c r="P1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15" s="17"/>
    </row>
    <row r="16" spans="1:17" ht="15.5" x14ac:dyDescent="0.35">
      <c r="A16" s="4" t="s">
        <v>512</v>
      </c>
      <c r="B16" s="12" t="s">
        <v>150</v>
      </c>
      <c r="C16" s="13"/>
      <c r="D16" s="13"/>
      <c r="E16" s="13">
        <v>44774.404166666667</v>
      </c>
      <c r="F16" s="12">
        <v>1.5</v>
      </c>
      <c r="G16" s="159" t="s">
        <v>164</v>
      </c>
      <c r="H16" s="12" t="s">
        <v>516</v>
      </c>
      <c r="I16" s="12" t="s">
        <v>333</v>
      </c>
      <c r="J16" s="13">
        <v>44774.511805555558</v>
      </c>
      <c r="K16" s="32"/>
      <c r="L16" s="14">
        <f t="shared" si="0"/>
        <v>0.10763888889050577</v>
      </c>
      <c r="M16" s="31">
        <f t="shared" si="1"/>
        <v>0.16145833333575865</v>
      </c>
      <c r="N16" s="15" t="str">
        <f>IF(Table268323467[[#This Row],[Fault Type]]="PM",IF(L16&lt;=(D16-C16),"Yes","No"),"")</f>
        <v/>
      </c>
      <c r="O16" s="16" t="str">
        <f t="shared" si="2"/>
        <v/>
      </c>
      <c r="P16" s="30" t="e">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#N/A</v>
      </c>
      <c r="Q16" s="17"/>
    </row>
    <row r="17" spans="1:17" s="116" customFormat="1" ht="15.5" x14ac:dyDescent="0.35">
      <c r="A17" s="124" t="s">
        <v>62</v>
      </c>
      <c r="B17" s="125" t="s">
        <v>150</v>
      </c>
      <c r="C17" s="126"/>
      <c r="D17" s="126"/>
      <c r="E17" s="126">
        <v>44774.409722222219</v>
      </c>
      <c r="F17" s="125">
        <v>3</v>
      </c>
      <c r="G17" s="159" t="s">
        <v>162</v>
      </c>
      <c r="H17" s="125" t="s">
        <v>517</v>
      </c>
      <c r="I17" s="125" t="s">
        <v>334</v>
      </c>
      <c r="J17" s="126">
        <v>44774.555555555555</v>
      </c>
      <c r="K17" s="129"/>
      <c r="L17" s="14">
        <f>J17-E17</f>
        <v>0.14583333333575865</v>
      </c>
      <c r="M17" s="31">
        <f>L17*F17</f>
        <v>0.43750000000727596</v>
      </c>
      <c r="N17" s="15" t="str">
        <f>IF(Table268323467[[#This Row],[Fault Type]]="PM",IF(L17&lt;=(D17-C17),"Yes","No"),"")</f>
        <v/>
      </c>
      <c r="O17" s="16" t="str">
        <f>IF(N17="No",(L17-(D17-C17)),"")</f>
        <v/>
      </c>
      <c r="P1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7" s="130"/>
    </row>
    <row r="18" spans="1:17" ht="15.5" x14ac:dyDescent="0.35">
      <c r="A18" s="4" t="s">
        <v>83</v>
      </c>
      <c r="B18" s="12" t="s">
        <v>150</v>
      </c>
      <c r="C18" s="13"/>
      <c r="D18" s="13"/>
      <c r="E18" s="13">
        <v>44774.411805555559</v>
      </c>
      <c r="F18" s="12">
        <v>2.5</v>
      </c>
      <c r="G18" s="159" t="s">
        <v>164</v>
      </c>
      <c r="H18" s="12" t="s">
        <v>518</v>
      </c>
      <c r="I18" s="18" t="s">
        <v>333</v>
      </c>
      <c r="J18" s="13">
        <v>44774.572222222225</v>
      </c>
      <c r="K18" s="32"/>
      <c r="L18" s="14">
        <f t="shared" si="0"/>
        <v>0.16041666666569654</v>
      </c>
      <c r="M18" s="31">
        <f t="shared" si="1"/>
        <v>0.40104166666424135</v>
      </c>
      <c r="N18" s="15" t="str">
        <f>IF(Table268323467[[#This Row],[Fault Type]]="PM",IF(L18&lt;=(D18-C18),"Yes","No"),"")</f>
        <v/>
      </c>
      <c r="O18" s="16" t="str">
        <f t="shared" si="2"/>
        <v/>
      </c>
      <c r="P1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8" s="17"/>
    </row>
    <row r="19" spans="1:17" ht="15.5" x14ac:dyDescent="0.35">
      <c r="A19" s="4" t="s">
        <v>92</v>
      </c>
      <c r="B19" s="12" t="s">
        <v>150</v>
      </c>
      <c r="C19" s="13"/>
      <c r="D19" s="13"/>
      <c r="E19" s="13">
        <v>44774.414583333331</v>
      </c>
      <c r="F19" s="12">
        <v>3.3</v>
      </c>
      <c r="G19" s="159" t="s">
        <v>164</v>
      </c>
      <c r="H19" s="12" t="s">
        <v>519</v>
      </c>
      <c r="I19" s="12" t="s">
        <v>333</v>
      </c>
      <c r="J19" s="13">
        <v>44774.527777777781</v>
      </c>
      <c r="K19" s="32"/>
      <c r="L19" s="14">
        <f t="shared" si="0"/>
        <v>0.11319444444961846</v>
      </c>
      <c r="M19" s="31">
        <f t="shared" si="1"/>
        <v>0.37354166668374089</v>
      </c>
      <c r="N19" s="15" t="str">
        <f>IF(Table268323467[[#This Row],[Fault Type]]="PM",IF(L19&lt;=(D19-C19),"Yes","No"),"")</f>
        <v/>
      </c>
      <c r="O19" s="16" t="str">
        <f t="shared" si="2"/>
        <v/>
      </c>
      <c r="P1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19" s="17"/>
    </row>
    <row r="20" spans="1:17" ht="15.5" x14ac:dyDescent="0.35">
      <c r="A20" s="4" t="s">
        <v>44</v>
      </c>
      <c r="B20" s="12" t="s">
        <v>150</v>
      </c>
      <c r="C20" s="13"/>
      <c r="D20" s="13"/>
      <c r="E20" s="13">
        <v>44774.452777777777</v>
      </c>
      <c r="F20" s="18">
        <v>3.5</v>
      </c>
      <c r="G20" s="159" t="s">
        <v>164</v>
      </c>
      <c r="H20" s="18" t="s">
        <v>520</v>
      </c>
      <c r="I20" s="18" t="s">
        <v>334</v>
      </c>
      <c r="J20" s="13">
        <v>44774.613194444442</v>
      </c>
      <c r="K20" s="32"/>
      <c r="L20" s="14">
        <f t="shared" si="0"/>
        <v>0.16041666666569654</v>
      </c>
      <c r="M20" s="31">
        <f t="shared" si="1"/>
        <v>0.56145833332993789</v>
      </c>
      <c r="N20" s="15" t="str">
        <f>IF(Table268323467[[#This Row],[Fault Type]]="PM",IF(L20&lt;=(D20-C20),"Yes","No"),"")</f>
        <v/>
      </c>
      <c r="O20" s="16" t="str">
        <f t="shared" si="2"/>
        <v/>
      </c>
      <c r="P2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0" s="17"/>
    </row>
    <row r="21" spans="1:17" ht="15.5" x14ac:dyDescent="0.35">
      <c r="A21" s="4" t="s">
        <v>25</v>
      </c>
      <c r="B21" s="12" t="s">
        <v>150</v>
      </c>
      <c r="C21" s="13"/>
      <c r="D21" s="13"/>
      <c r="E21" s="13">
        <v>44774.558333333334</v>
      </c>
      <c r="F21" s="18">
        <v>3.9</v>
      </c>
      <c r="G21" s="159" t="s">
        <v>164</v>
      </c>
      <c r="H21" s="18" t="s">
        <v>521</v>
      </c>
      <c r="I21" s="18" t="s">
        <v>334</v>
      </c>
      <c r="J21" s="13">
        <v>44774.609027777777</v>
      </c>
      <c r="K21" s="80"/>
      <c r="L21" s="14">
        <f t="shared" si="0"/>
        <v>5.0694444442342501E-2</v>
      </c>
      <c r="M21" s="31">
        <f t="shared" si="1"/>
        <v>0.19770833332513574</v>
      </c>
      <c r="N21" s="15" t="str">
        <f>IF(Table268323467[[#This Row],[Fault Type]]="PM",IF(L21&lt;=(D21-C21),"Yes","No"),"")</f>
        <v/>
      </c>
      <c r="O21" s="16" t="str">
        <f t="shared" si="2"/>
        <v/>
      </c>
      <c r="P2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1" s="17"/>
    </row>
    <row r="22" spans="1:17" ht="15.5" x14ac:dyDescent="0.35">
      <c r="A22" s="4" t="s">
        <v>92</v>
      </c>
      <c r="B22" s="12" t="s">
        <v>150</v>
      </c>
      <c r="C22" s="13"/>
      <c r="D22" s="13"/>
      <c r="E22" s="13">
        <v>44774.567361111112</v>
      </c>
      <c r="F22" s="18">
        <v>2.9</v>
      </c>
      <c r="G22" s="159" t="s">
        <v>164</v>
      </c>
      <c r="H22" s="18" t="s">
        <v>522</v>
      </c>
      <c r="I22" s="54" t="s">
        <v>333</v>
      </c>
      <c r="J22" s="13">
        <v>44774.604166666664</v>
      </c>
      <c r="K22" s="80"/>
      <c r="L22" s="14">
        <f t="shared" si="0"/>
        <v>3.6805555551836733E-2</v>
      </c>
      <c r="M22" s="31">
        <f>L22*F22</f>
        <v>0.10673611110032652</v>
      </c>
      <c r="N22" s="15" t="str">
        <f>IF(Table268323467[[#This Row],[Fault Type]]="PM",IF(L22&lt;=(D22-C22),"Yes","No"),"")</f>
        <v/>
      </c>
      <c r="O22" s="16" t="str">
        <f t="shared" si="2"/>
        <v/>
      </c>
      <c r="P2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2" s="17"/>
    </row>
    <row r="23" spans="1:17" ht="15.5" x14ac:dyDescent="0.35">
      <c r="A23" s="4" t="s">
        <v>139</v>
      </c>
      <c r="B23" s="12" t="s">
        <v>150</v>
      </c>
      <c r="C23" s="13"/>
      <c r="D23" s="13"/>
      <c r="E23" s="13">
        <v>44774.574305555558</v>
      </c>
      <c r="F23" s="18">
        <v>1</v>
      </c>
      <c r="G23" s="159" t="s">
        <v>523</v>
      </c>
      <c r="H23" s="18" t="s">
        <v>524</v>
      </c>
      <c r="I23" s="54" t="s">
        <v>333</v>
      </c>
      <c r="J23" s="13">
        <v>44774.779166666667</v>
      </c>
      <c r="K23" s="80"/>
      <c r="L23" s="14">
        <f>J23-E23</f>
        <v>0.20486111110949423</v>
      </c>
      <c r="M23" s="31">
        <f>L23*F23</f>
        <v>0.20486111110949423</v>
      </c>
      <c r="N23" s="15" t="str">
        <f>IF(Table268323467[[#This Row],[Fault Type]]="PM",IF(L23&lt;=(D23-C23),"Yes","No"),"")</f>
        <v/>
      </c>
      <c r="O23" s="16" t="str">
        <f>IF(N23="No",(L23-(D23-C23)),"")</f>
        <v/>
      </c>
      <c r="P2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23" s="17"/>
    </row>
    <row r="24" spans="1:17" ht="15.5" x14ac:dyDescent="0.35">
      <c r="A24" s="4" t="s">
        <v>45</v>
      </c>
      <c r="B24" s="12" t="s">
        <v>150</v>
      </c>
      <c r="C24" s="13"/>
      <c r="D24" s="13"/>
      <c r="E24" s="13">
        <v>44774.612500000003</v>
      </c>
      <c r="F24" s="12">
        <v>2.9</v>
      </c>
      <c r="G24" s="159" t="s">
        <v>164</v>
      </c>
      <c r="H24" s="12" t="s">
        <v>525</v>
      </c>
      <c r="I24" s="18" t="s">
        <v>334</v>
      </c>
      <c r="J24" s="13">
        <v>44774.714583333334</v>
      </c>
      <c r="K24" s="32"/>
      <c r="L24" s="14">
        <f t="shared" si="0"/>
        <v>0.10208333333139308</v>
      </c>
      <c r="M24" s="31">
        <f>L24*F24</f>
        <v>0.29604166666103993</v>
      </c>
      <c r="N24" s="15" t="str">
        <f>IF(Table268323467[[#This Row],[Fault Type]]="PM",IF(L24&lt;=(D24-C24),"Yes","No"),"")</f>
        <v/>
      </c>
      <c r="O24" s="16" t="str">
        <f t="shared" si="2"/>
        <v/>
      </c>
      <c r="P2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4" s="17"/>
    </row>
    <row r="25" spans="1:17" ht="15.5" x14ac:dyDescent="0.35">
      <c r="A25" s="4" t="s">
        <v>367</v>
      </c>
      <c r="B25" s="12" t="s">
        <v>150</v>
      </c>
      <c r="C25" s="13"/>
      <c r="D25" s="13"/>
      <c r="E25" s="13">
        <v>44774.642361111109</v>
      </c>
      <c r="F25" s="18">
        <v>1.3</v>
      </c>
      <c r="G25" s="159" t="s">
        <v>162</v>
      </c>
      <c r="H25" s="18" t="s">
        <v>526</v>
      </c>
      <c r="I25" s="18" t="s">
        <v>526</v>
      </c>
      <c r="J25" s="13">
        <v>44774.650694444441</v>
      </c>
      <c r="K25" s="32"/>
      <c r="L25" s="14">
        <f t="shared" si="0"/>
        <v>8.333333331393078E-3</v>
      </c>
      <c r="M25" s="31">
        <f>L25*F25</f>
        <v>1.0833333330811002E-2</v>
      </c>
      <c r="N25" s="15" t="str">
        <f>IF(Table268323467[[#This Row],[Fault Type]]="PM",IF(L25&lt;=(D25-C25),"Yes","No"),"")</f>
        <v/>
      </c>
      <c r="O25" s="16" t="str">
        <f t="shared" si="2"/>
        <v/>
      </c>
      <c r="P2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5" s="17"/>
    </row>
    <row r="26" spans="1:17" ht="15.5" x14ac:dyDescent="0.35">
      <c r="A26" s="4" t="s">
        <v>191</v>
      </c>
      <c r="B26" s="12" t="s">
        <v>150</v>
      </c>
      <c r="C26" s="13"/>
      <c r="D26" s="13"/>
      <c r="E26" s="13">
        <v>44774.729861111111</v>
      </c>
      <c r="F26" s="18"/>
      <c r="G26" s="159" t="s">
        <v>164</v>
      </c>
      <c r="H26" s="18" t="s">
        <v>527</v>
      </c>
      <c r="I26" s="18" t="s">
        <v>333</v>
      </c>
      <c r="J26" s="13">
        <v>44774.872916666667</v>
      </c>
      <c r="K26" s="32"/>
      <c r="L26" s="14">
        <f t="shared" si="0"/>
        <v>0.14305555555620231</v>
      </c>
      <c r="M26" s="31">
        <f t="shared" ref="M26:M82" si="3">L26*F26</f>
        <v>0</v>
      </c>
      <c r="N26" s="15" t="str">
        <f>IF(Table268323467[[#This Row],[Fault Type]]="PM",IF(L26&lt;=(D26-C26),"Yes","No"),"")</f>
        <v/>
      </c>
      <c r="O26" s="16" t="str">
        <f t="shared" si="2"/>
        <v/>
      </c>
      <c r="P2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6" s="17"/>
    </row>
    <row r="27" spans="1:17" ht="15.5" x14ac:dyDescent="0.35">
      <c r="A27" s="4" t="s">
        <v>29</v>
      </c>
      <c r="B27" s="12" t="s">
        <v>150</v>
      </c>
      <c r="C27" s="13"/>
      <c r="D27" s="13"/>
      <c r="E27" s="13">
        <v>44774.729861111111</v>
      </c>
      <c r="F27" s="165"/>
      <c r="G27" s="159" t="s">
        <v>162</v>
      </c>
      <c r="H27" s="54" t="s">
        <v>528</v>
      </c>
      <c r="I27" s="18" t="s">
        <v>333</v>
      </c>
      <c r="J27" s="13">
        <v>44774.737500000003</v>
      </c>
      <c r="K27" s="32"/>
      <c r="L27" s="14">
        <f t="shared" si="0"/>
        <v>7.6388888919609599E-3</v>
      </c>
      <c r="M27" s="31">
        <f t="shared" si="3"/>
        <v>0</v>
      </c>
      <c r="N27" s="15" t="str">
        <f>IF(Table268323467[[#This Row],[Fault Type]]="PM",IF(L27&lt;=(D27-C27),"Yes","No"),"")</f>
        <v/>
      </c>
      <c r="O27" s="16" t="str">
        <f t="shared" si="2"/>
        <v/>
      </c>
      <c r="P2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7" s="17"/>
    </row>
    <row r="28" spans="1:17" ht="15.5" x14ac:dyDescent="0.35">
      <c r="A28" s="4" t="s">
        <v>79</v>
      </c>
      <c r="B28" s="12" t="s">
        <v>150</v>
      </c>
      <c r="C28" s="13"/>
      <c r="D28" s="13"/>
      <c r="E28" s="13">
        <v>44774.737500000003</v>
      </c>
      <c r="F28" s="18">
        <v>1.9</v>
      </c>
      <c r="G28" s="159" t="s">
        <v>164</v>
      </c>
      <c r="H28" s="18" t="s">
        <v>529</v>
      </c>
      <c r="I28" s="18" t="s">
        <v>333</v>
      </c>
      <c r="J28" s="13">
        <v>44774.810416666667</v>
      </c>
      <c r="K28" s="32"/>
      <c r="L28" s="14">
        <f t="shared" si="0"/>
        <v>7.2916666664241347E-2</v>
      </c>
      <c r="M28" s="31">
        <f t="shared" si="3"/>
        <v>0.13854166666205855</v>
      </c>
      <c r="N28" s="15" t="str">
        <f>IF(Table268323467[[#This Row],[Fault Type]]="PM",IF(L28&lt;=(D28-C28),"Yes","No"),"")</f>
        <v/>
      </c>
      <c r="O28" s="16" t="str">
        <f t="shared" si="2"/>
        <v/>
      </c>
      <c r="P2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8" s="17"/>
    </row>
    <row r="29" spans="1:17" ht="15.5" x14ac:dyDescent="0.35">
      <c r="A29" s="4" t="s">
        <v>38</v>
      </c>
      <c r="B29" s="12" t="s">
        <v>150</v>
      </c>
      <c r="C29" s="13"/>
      <c r="D29" s="13"/>
      <c r="E29" s="13">
        <v>44774.752083333333</v>
      </c>
      <c r="F29" s="18">
        <v>18</v>
      </c>
      <c r="G29" s="159" t="s">
        <v>162</v>
      </c>
      <c r="H29" s="18" t="s">
        <v>508</v>
      </c>
      <c r="I29" s="12" t="s">
        <v>526</v>
      </c>
      <c r="J29" s="13">
        <v>44774.755555555559</v>
      </c>
      <c r="K29" s="32"/>
      <c r="L29" s="14">
        <f t="shared" si="0"/>
        <v>3.4722222262644209E-3</v>
      </c>
      <c r="M29" s="31">
        <f t="shared" si="3"/>
        <v>6.2500000072759576E-2</v>
      </c>
      <c r="N29" s="15" t="str">
        <f>IF(Table268323467[[#This Row],[Fault Type]]="PM",IF(L29&lt;=(D29-C29),"Yes","No"),"")</f>
        <v/>
      </c>
      <c r="O29" s="16" t="str">
        <f t="shared" si="2"/>
        <v/>
      </c>
      <c r="P2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29" s="17"/>
    </row>
    <row r="30" spans="1:17" ht="15.5" x14ac:dyDescent="0.35">
      <c r="A30" s="4" t="s">
        <v>39</v>
      </c>
      <c r="B30" s="12" t="s">
        <v>150</v>
      </c>
      <c r="C30" s="13"/>
      <c r="D30" s="13"/>
      <c r="E30" s="13">
        <v>44774.792361111111</v>
      </c>
      <c r="F30" s="18">
        <v>9.6999999999999993</v>
      </c>
      <c r="G30" s="159" t="s">
        <v>162</v>
      </c>
      <c r="H30" s="18" t="s">
        <v>508</v>
      </c>
      <c r="I30" s="18" t="s">
        <v>526</v>
      </c>
      <c r="J30" s="13">
        <v>44774.798611111109</v>
      </c>
      <c r="K30" s="32"/>
      <c r="L30" s="14">
        <f t="shared" si="0"/>
        <v>6.2499999985448085E-3</v>
      </c>
      <c r="M30" s="31">
        <f t="shared" si="3"/>
        <v>6.0624999985884637E-2</v>
      </c>
      <c r="N30" s="15" t="str">
        <f>IF(Table268323467[[#This Row],[Fault Type]]="PM",IF(L30&lt;=(D30-C30),"Yes","No"),"")</f>
        <v/>
      </c>
      <c r="O30" s="16" t="str">
        <f t="shared" si="2"/>
        <v/>
      </c>
      <c r="P3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30" s="17"/>
    </row>
    <row r="31" spans="1:17" ht="15.5" x14ac:dyDescent="0.35">
      <c r="A31" s="4" t="s">
        <v>41</v>
      </c>
      <c r="B31" s="12" t="s">
        <v>150</v>
      </c>
      <c r="C31" s="13"/>
      <c r="D31" s="13"/>
      <c r="E31" s="13">
        <v>44774.834027777775</v>
      </c>
      <c r="F31" s="18">
        <v>7.8</v>
      </c>
      <c r="G31" s="159" t="s">
        <v>164</v>
      </c>
      <c r="H31" s="18" t="s">
        <v>530</v>
      </c>
      <c r="I31" s="18" t="s">
        <v>333</v>
      </c>
      <c r="J31" s="13">
        <v>44774.94027777778</v>
      </c>
      <c r="K31" s="32"/>
      <c r="L31" s="14">
        <f t="shared" si="0"/>
        <v>0.10625000000436557</v>
      </c>
      <c r="M31" s="31">
        <f t="shared" si="3"/>
        <v>0.82875000003405142</v>
      </c>
      <c r="N31" s="15" t="str">
        <f>IF(Table268323467[[#This Row],[Fault Type]]="PM",IF(L31&lt;=(D31-C31),"Yes","No"),"")</f>
        <v/>
      </c>
      <c r="O31" s="16" t="str">
        <f t="shared" si="2"/>
        <v/>
      </c>
      <c r="P3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31" s="17"/>
    </row>
    <row r="32" spans="1:17" ht="15.5" x14ac:dyDescent="0.35">
      <c r="A32" s="4" t="s">
        <v>31</v>
      </c>
      <c r="B32" s="12" t="s">
        <v>150</v>
      </c>
      <c r="C32" s="13"/>
      <c r="D32" s="13"/>
      <c r="E32" s="13">
        <v>44774.847222222219</v>
      </c>
      <c r="F32" s="18">
        <v>10.199999999999999</v>
      </c>
      <c r="G32" s="159" t="s">
        <v>164</v>
      </c>
      <c r="H32" s="18" t="s">
        <v>531</v>
      </c>
      <c r="I32" s="12" t="s">
        <v>333</v>
      </c>
      <c r="J32" s="13">
        <v>44774.906944444447</v>
      </c>
      <c r="K32" s="32"/>
      <c r="L32" s="14">
        <f t="shared" si="0"/>
        <v>5.9722222227719612E-2</v>
      </c>
      <c r="M32" s="31">
        <f t="shared" si="3"/>
        <v>0.60916666672274</v>
      </c>
      <c r="N32" s="15" t="str">
        <f>IF(Table268323467[[#This Row],[Fault Type]]="PM",IF(L32&lt;=(D32-C32),"Yes","No"),"")</f>
        <v/>
      </c>
      <c r="O32" s="16" t="str">
        <f t="shared" si="2"/>
        <v/>
      </c>
      <c r="P3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32" s="17"/>
    </row>
    <row r="33" spans="1:17" ht="15.5" x14ac:dyDescent="0.35">
      <c r="A33" s="4" t="s">
        <v>36</v>
      </c>
      <c r="B33" s="12" t="s">
        <v>150</v>
      </c>
      <c r="C33" s="13"/>
      <c r="D33" s="13"/>
      <c r="E33" s="13">
        <v>44774.854861111111</v>
      </c>
      <c r="F33" s="12">
        <v>3.4</v>
      </c>
      <c r="G33" s="159" t="s">
        <v>164</v>
      </c>
      <c r="H33" s="12" t="s">
        <v>532</v>
      </c>
      <c r="I33" s="18" t="s">
        <v>333</v>
      </c>
      <c r="J33" s="13">
        <v>44774.953472222223</v>
      </c>
      <c r="K33" s="32"/>
      <c r="L33" s="14">
        <f t="shared" si="0"/>
        <v>9.8611111112404615E-2</v>
      </c>
      <c r="M33" s="31">
        <f t="shared" si="3"/>
        <v>0.33527777778217566</v>
      </c>
      <c r="N33" s="15" t="str">
        <f>IF(Table268323467[[#This Row],[Fault Type]]="PM",IF(L33&lt;=(D33-C33),"Yes","No"),"")</f>
        <v/>
      </c>
      <c r="O33" s="16" t="str">
        <f t="shared" si="2"/>
        <v/>
      </c>
      <c r="P3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33" s="17"/>
    </row>
    <row r="34" spans="1:17" ht="15.5" x14ac:dyDescent="0.35">
      <c r="A34" s="4" t="s">
        <v>442</v>
      </c>
      <c r="B34" s="12" t="s">
        <v>150</v>
      </c>
      <c r="C34" s="13"/>
      <c r="D34" s="13"/>
      <c r="E34" s="13">
        <v>44774.901388888888</v>
      </c>
      <c r="F34" s="18">
        <v>1.7</v>
      </c>
      <c r="G34" s="159" t="s">
        <v>164</v>
      </c>
      <c r="H34" s="18" t="s">
        <v>533</v>
      </c>
      <c r="I34" s="18" t="s">
        <v>334</v>
      </c>
      <c r="J34" s="13">
        <v>44775.431944444441</v>
      </c>
      <c r="K34" s="32"/>
      <c r="L34" s="14">
        <f t="shared" si="0"/>
        <v>0.53055555555329192</v>
      </c>
      <c r="M34" s="31">
        <f t="shared" si="3"/>
        <v>0.90194444444059629</v>
      </c>
      <c r="N34" s="15" t="str">
        <f>IF(Table268323467[[#This Row],[Fault Type]]="PM",IF(L34&lt;=(D34-C34),"Yes","No"),"")</f>
        <v/>
      </c>
      <c r="O34" s="16" t="str">
        <f t="shared" si="2"/>
        <v/>
      </c>
      <c r="P3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4" s="17"/>
    </row>
    <row r="35" spans="1:17" ht="15.5" x14ac:dyDescent="0.35">
      <c r="A35" s="4" t="s">
        <v>371</v>
      </c>
      <c r="B35" s="12" t="s">
        <v>150</v>
      </c>
      <c r="C35" s="13"/>
      <c r="D35" s="13"/>
      <c r="E35" s="13">
        <v>44774.909722222219</v>
      </c>
      <c r="F35" s="18">
        <v>2.6</v>
      </c>
      <c r="G35" s="159" t="s">
        <v>164</v>
      </c>
      <c r="H35" s="18" t="s">
        <v>534</v>
      </c>
      <c r="I35" s="18" t="s">
        <v>333</v>
      </c>
      <c r="J35" s="13">
        <v>44775.14166666667</v>
      </c>
      <c r="K35" s="32"/>
      <c r="L35" s="14">
        <f t="shared" si="0"/>
        <v>0.23194444445107365</v>
      </c>
      <c r="M35" s="31">
        <f t="shared" si="3"/>
        <v>0.60305555557279156</v>
      </c>
      <c r="N35" s="15" t="str">
        <f>IF(Table268323467[[#This Row],[Fault Type]]="PM",IF(L35&lt;=(D35-C35),"Yes","No"),"")</f>
        <v/>
      </c>
      <c r="O35" s="16" t="str">
        <f t="shared" si="2"/>
        <v/>
      </c>
      <c r="P3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35" s="17"/>
    </row>
    <row r="36" spans="1:17" ht="15.5" x14ac:dyDescent="0.35">
      <c r="A36" s="4" t="s">
        <v>308</v>
      </c>
      <c r="B36" s="12" t="s">
        <v>150</v>
      </c>
      <c r="C36" s="13"/>
      <c r="D36" s="13"/>
      <c r="E36" s="13">
        <v>44774.915277777778</v>
      </c>
      <c r="F36" s="12">
        <v>0.8</v>
      </c>
      <c r="G36" s="159" t="s">
        <v>164</v>
      </c>
      <c r="H36" s="12" t="s">
        <v>535</v>
      </c>
      <c r="I36" s="18" t="s">
        <v>334</v>
      </c>
      <c r="J36" s="13">
        <v>44775.492361111108</v>
      </c>
      <c r="K36" s="32"/>
      <c r="L36" s="14">
        <f t="shared" si="0"/>
        <v>0.57708333332993789</v>
      </c>
      <c r="M36" s="31">
        <f t="shared" si="3"/>
        <v>0.46166666666395034</v>
      </c>
      <c r="N36" s="15" t="str">
        <f>IF(Table268323467[[#This Row],[Fault Type]]="PM",IF(L36&lt;=(D36-C36),"Yes","No"),"")</f>
        <v/>
      </c>
      <c r="O36" s="16" t="str">
        <f t="shared" si="2"/>
        <v/>
      </c>
      <c r="P3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6" s="17"/>
    </row>
    <row r="37" spans="1:17" ht="15.5" x14ac:dyDescent="0.35">
      <c r="A37" s="4" t="s">
        <v>58</v>
      </c>
      <c r="B37" s="12" t="s">
        <v>150</v>
      </c>
      <c r="C37" s="13"/>
      <c r="D37" s="13"/>
      <c r="E37" s="13">
        <v>44774.930555555555</v>
      </c>
      <c r="F37" s="18">
        <v>2</v>
      </c>
      <c r="G37" s="159" t="s">
        <v>164</v>
      </c>
      <c r="H37" s="18" t="s">
        <v>536</v>
      </c>
      <c r="I37" s="18" t="s">
        <v>334</v>
      </c>
      <c r="J37" s="13">
        <v>44775.272222222222</v>
      </c>
      <c r="K37" s="32"/>
      <c r="L37" s="14">
        <f t="shared" si="0"/>
        <v>0.34166666666715173</v>
      </c>
      <c r="M37" s="31">
        <f t="shared" si="3"/>
        <v>0.68333333333430346</v>
      </c>
      <c r="N37" s="15" t="str">
        <f>IF(Table268323467[[#This Row],[Fault Type]]="PM",IF(L37&lt;=(D37-C37),"Yes","No"),"")</f>
        <v/>
      </c>
      <c r="O37" s="16" t="str">
        <f t="shared" si="2"/>
        <v/>
      </c>
      <c r="P3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7" s="17"/>
    </row>
    <row r="38" spans="1:17" ht="15.5" x14ac:dyDescent="0.35">
      <c r="A38" s="4" t="s">
        <v>26</v>
      </c>
      <c r="B38" s="12" t="s">
        <v>150</v>
      </c>
      <c r="C38" s="13"/>
      <c r="D38" s="13"/>
      <c r="E38" s="13">
        <v>44774.943055555559</v>
      </c>
      <c r="F38" s="18">
        <v>3.1</v>
      </c>
      <c r="G38" s="159" t="s">
        <v>164</v>
      </c>
      <c r="H38" s="18" t="s">
        <v>537</v>
      </c>
      <c r="I38" s="18" t="s">
        <v>333</v>
      </c>
      <c r="J38" s="13">
        <v>44775.305555555555</v>
      </c>
      <c r="K38" s="32"/>
      <c r="L38" s="14">
        <f t="shared" si="0"/>
        <v>0.36249999999563443</v>
      </c>
      <c r="M38" s="31">
        <f t="shared" si="3"/>
        <v>1.1237499999864669</v>
      </c>
      <c r="N38" s="15" t="str">
        <f>IF(Table268323467[[#This Row],[Fault Type]]="PM",IF(L38&lt;=(D38-C38),"Yes","No"),"")</f>
        <v/>
      </c>
      <c r="O38" s="16" t="str">
        <f t="shared" si="2"/>
        <v/>
      </c>
      <c r="P3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8" s="17"/>
    </row>
    <row r="39" spans="1:17" ht="15.5" x14ac:dyDescent="0.35">
      <c r="A39" s="4" t="s">
        <v>85</v>
      </c>
      <c r="B39" s="12" t="s">
        <v>158</v>
      </c>
      <c r="C39" s="13"/>
      <c r="D39" s="13"/>
      <c r="E39" s="13">
        <v>44774.948611111111</v>
      </c>
      <c r="F39" s="18">
        <v>4.5</v>
      </c>
      <c r="G39" s="159"/>
      <c r="H39" s="18" t="s">
        <v>538</v>
      </c>
      <c r="I39" s="18" t="s">
        <v>333</v>
      </c>
      <c r="J39" s="13">
        <v>44775.967361111114</v>
      </c>
      <c r="K39" s="32"/>
      <c r="L39" s="14">
        <f t="shared" si="0"/>
        <v>1.0187500000029104</v>
      </c>
      <c r="M39" s="31">
        <f t="shared" si="3"/>
        <v>4.5843750000130967</v>
      </c>
      <c r="N39" s="15" t="str">
        <f>IF(Table268323467[[#This Row],[Fault Type]]="PM",IF(L39&lt;=(D39-C39),"Yes","No"),"")</f>
        <v/>
      </c>
      <c r="O39" s="16" t="str">
        <f t="shared" si="2"/>
        <v/>
      </c>
      <c r="P3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39" s="17"/>
    </row>
    <row r="40" spans="1:17" ht="15.5" x14ac:dyDescent="0.35">
      <c r="A40" s="4" t="s">
        <v>539</v>
      </c>
      <c r="B40" s="12" t="s">
        <v>150</v>
      </c>
      <c r="C40" s="13"/>
      <c r="D40" s="13"/>
      <c r="E40" s="13">
        <v>44774.958333333336</v>
      </c>
      <c r="F40" s="18">
        <v>4</v>
      </c>
      <c r="G40" s="159" t="s">
        <v>164</v>
      </c>
      <c r="H40" s="18" t="s">
        <v>508</v>
      </c>
      <c r="I40" s="18" t="s">
        <v>334</v>
      </c>
      <c r="J40" s="13">
        <v>44775.011111111111</v>
      </c>
      <c r="K40" s="32"/>
      <c r="L40" s="14">
        <f t="shared" si="0"/>
        <v>5.2777777775190771E-2</v>
      </c>
      <c r="M40" s="31">
        <f t="shared" si="3"/>
        <v>0.21111111110076308</v>
      </c>
      <c r="N40" s="15" t="str">
        <f>IF(Table268323467[[#This Row],[Fault Type]]="PM",IF(L40&lt;=(D40-C40),"Yes","No"),"")</f>
        <v/>
      </c>
      <c r="O40" s="16" t="str">
        <f t="shared" si="2"/>
        <v/>
      </c>
      <c r="P40" s="30" t="e">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#N/A</v>
      </c>
      <c r="Q40" s="17"/>
    </row>
    <row r="41" spans="1:17" ht="15.5" x14ac:dyDescent="0.35">
      <c r="A41" s="4" t="s">
        <v>363</v>
      </c>
      <c r="B41" s="12" t="s">
        <v>150</v>
      </c>
      <c r="C41" s="13"/>
      <c r="D41" s="13"/>
      <c r="E41" s="13">
        <v>44774.986805555556</v>
      </c>
      <c r="F41" s="18">
        <v>1.6</v>
      </c>
      <c r="G41" s="159" t="s">
        <v>164</v>
      </c>
      <c r="H41" s="18" t="s">
        <v>540</v>
      </c>
      <c r="I41" s="18" t="s">
        <v>334</v>
      </c>
      <c r="J41" s="13">
        <v>44775.018055555556</v>
      </c>
      <c r="K41" s="32"/>
      <c r="L41" s="14">
        <f t="shared" si="0"/>
        <v>3.125E-2</v>
      </c>
      <c r="M41" s="31">
        <f t="shared" si="3"/>
        <v>0.05</v>
      </c>
      <c r="N41" s="15" t="str">
        <f>IF(Table268323467[[#This Row],[Fault Type]]="PM",IF(L41&lt;=(D41-C41),"Yes","No"),"")</f>
        <v/>
      </c>
      <c r="O41" s="16" t="str">
        <f t="shared" si="2"/>
        <v/>
      </c>
      <c r="P4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41" s="17"/>
    </row>
    <row r="42" spans="1:17" ht="15.5" x14ac:dyDescent="0.35">
      <c r="A42" s="4" t="s">
        <v>42</v>
      </c>
      <c r="B42" s="12" t="s">
        <v>150</v>
      </c>
      <c r="C42" s="13"/>
      <c r="D42" s="13"/>
      <c r="E42" s="13">
        <v>44774.986805555556</v>
      </c>
      <c r="F42" s="18">
        <v>2.5</v>
      </c>
      <c r="G42" s="159" t="s">
        <v>164</v>
      </c>
      <c r="H42" s="18" t="s">
        <v>541</v>
      </c>
      <c r="I42" s="18" t="s">
        <v>334</v>
      </c>
      <c r="J42" s="13">
        <v>44775.01458333333</v>
      </c>
      <c r="K42" s="32"/>
      <c r="L42" s="14">
        <f t="shared" si="0"/>
        <v>2.7777777773735579E-2</v>
      </c>
      <c r="M42" s="31">
        <f t="shared" si="3"/>
        <v>6.9444444434338948E-2</v>
      </c>
      <c r="N42" s="15" t="str">
        <f>IF(Table268323467[[#This Row],[Fault Type]]="PM",IF(L42&lt;=(D42-C42),"Yes","No"),"")</f>
        <v/>
      </c>
      <c r="O42" s="16" t="str">
        <f t="shared" si="2"/>
        <v/>
      </c>
      <c r="P4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Yes</v>
      </c>
      <c r="Q42" s="17"/>
    </row>
    <row r="43" spans="1:17" ht="15.5" x14ac:dyDescent="0.35">
      <c r="A43" s="4" t="s">
        <v>23</v>
      </c>
      <c r="B43" s="12" t="s">
        <v>150</v>
      </c>
      <c r="C43" s="13"/>
      <c r="D43" s="13"/>
      <c r="E43" s="13">
        <v>44774.987500000003</v>
      </c>
      <c r="F43" s="18">
        <v>5</v>
      </c>
      <c r="G43" s="159" t="s">
        <v>162</v>
      </c>
      <c r="H43" s="18" t="s">
        <v>508</v>
      </c>
      <c r="I43" s="18" t="s">
        <v>526</v>
      </c>
      <c r="J43" s="13">
        <v>44775.984722222223</v>
      </c>
      <c r="K43" s="32"/>
      <c r="L43" s="14">
        <f t="shared" si="0"/>
        <v>0.99722222222044365</v>
      </c>
      <c r="M43" s="31">
        <f t="shared" si="3"/>
        <v>4.9861111111022183</v>
      </c>
      <c r="N43" s="15" t="str">
        <f>IF(Table268323467[[#This Row],[Fault Type]]="PM",IF(L43&lt;=(D43-C43),"Yes","No"),"")</f>
        <v/>
      </c>
      <c r="O43" s="16" t="str">
        <f t="shared" si="2"/>
        <v/>
      </c>
      <c r="P4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43" s="17"/>
    </row>
    <row r="44" spans="1:17" ht="15.5" x14ac:dyDescent="0.35">
      <c r="A44" s="4" t="s">
        <v>316</v>
      </c>
      <c r="B44" s="12" t="s">
        <v>150</v>
      </c>
      <c r="C44" s="13"/>
      <c r="D44" s="13"/>
      <c r="E44" s="13">
        <v>44774.989583333336</v>
      </c>
      <c r="F44" s="18">
        <v>2.4</v>
      </c>
      <c r="G44" s="159" t="s">
        <v>164</v>
      </c>
      <c r="H44" s="18" t="s">
        <v>542</v>
      </c>
      <c r="I44" s="18" t="s">
        <v>334</v>
      </c>
      <c r="J44" s="13">
        <v>44775.545138888891</v>
      </c>
      <c r="K44" s="32"/>
      <c r="L44" s="14">
        <f t="shared" si="0"/>
        <v>0.55555555555474712</v>
      </c>
      <c r="M44" s="31">
        <f t="shared" si="3"/>
        <v>1.333333333331393</v>
      </c>
      <c r="N44" s="15" t="str">
        <f>IF(Table268323467[[#This Row],[Fault Type]]="PM",IF(L44&lt;=(D44-C44),"Yes","No"),"")</f>
        <v/>
      </c>
      <c r="O44" s="16" t="str">
        <f t="shared" si="2"/>
        <v/>
      </c>
      <c r="P4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44" s="17"/>
    </row>
    <row r="45" spans="1:17" ht="15.5" x14ac:dyDescent="0.35">
      <c r="A45" s="4" t="s">
        <v>315</v>
      </c>
      <c r="B45" s="12" t="s">
        <v>150</v>
      </c>
      <c r="C45" s="13"/>
      <c r="D45" s="13"/>
      <c r="E45" s="13">
        <v>44774.991666666669</v>
      </c>
      <c r="F45" s="18">
        <v>2.6</v>
      </c>
      <c r="G45" s="159" t="s">
        <v>164</v>
      </c>
      <c r="H45" s="18" t="s">
        <v>543</v>
      </c>
      <c r="I45" s="18" t="s">
        <v>334</v>
      </c>
      <c r="J45" s="13">
        <v>44775.45</v>
      </c>
      <c r="K45" s="32"/>
      <c r="L45" s="14">
        <f t="shared" si="0"/>
        <v>0.45833333332848269</v>
      </c>
      <c r="M45" s="31">
        <f t="shared" si="3"/>
        <v>1.191666666654055</v>
      </c>
      <c r="N45" s="15" t="str">
        <f>IF(Table268323467[[#This Row],[Fault Type]]="PM",IF(L45&lt;=(D45-C45),"Yes","No"),"")</f>
        <v/>
      </c>
      <c r="O45" s="16" t="str">
        <f t="shared" si="2"/>
        <v/>
      </c>
      <c r="P4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No</v>
      </c>
      <c r="Q45" s="17"/>
    </row>
    <row r="46" spans="1:17" ht="15.5" x14ac:dyDescent="0.35">
      <c r="A46" s="4"/>
      <c r="B46" s="12"/>
      <c r="C46" s="13"/>
      <c r="D46" s="13"/>
      <c r="E46" s="13"/>
      <c r="F46" s="18"/>
      <c r="G46" s="159"/>
      <c r="H46" s="18"/>
      <c r="I46" s="18"/>
      <c r="J46" s="13"/>
      <c r="K46" s="80"/>
      <c r="L46" s="14">
        <f t="shared" si="0"/>
        <v>0</v>
      </c>
      <c r="M46" s="31">
        <f t="shared" si="3"/>
        <v>0</v>
      </c>
      <c r="N46" s="15" t="str">
        <f>IF(Table268323467[[#This Row],[Fault Type]]="PM",IF(L46&lt;=(D46-C46),"Yes","No"),"")</f>
        <v/>
      </c>
      <c r="O46" s="16" t="str">
        <f t="shared" si="2"/>
        <v/>
      </c>
      <c r="P4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46" s="17"/>
    </row>
    <row r="47" spans="1:17" ht="15.5" x14ac:dyDescent="0.35">
      <c r="A47" s="4"/>
      <c r="B47" s="12"/>
      <c r="C47" s="13"/>
      <c r="D47" s="13"/>
      <c r="E47" s="13"/>
      <c r="F47" s="18"/>
      <c r="G47" s="159"/>
      <c r="H47" s="18"/>
      <c r="I47" s="18"/>
      <c r="J47" s="13"/>
      <c r="K47" s="80"/>
      <c r="L47" s="14">
        <f t="shared" si="0"/>
        <v>0</v>
      </c>
      <c r="M47" s="31">
        <f t="shared" si="3"/>
        <v>0</v>
      </c>
      <c r="N47" s="15" t="str">
        <f>IF(Table268323467[[#This Row],[Fault Type]]="PM",IF(L47&lt;=(D47-C47),"Yes","No"),"")</f>
        <v/>
      </c>
      <c r="O47" s="16" t="str">
        <f t="shared" si="2"/>
        <v/>
      </c>
      <c r="P4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47" s="17"/>
    </row>
    <row r="48" spans="1:17" ht="15.75" customHeight="1" x14ac:dyDescent="0.35">
      <c r="A48" s="4"/>
      <c r="B48" s="12"/>
      <c r="C48" s="13"/>
      <c r="D48" s="13"/>
      <c r="E48" s="13"/>
      <c r="F48" s="18"/>
      <c r="G48" s="159"/>
      <c r="H48" s="18"/>
      <c r="I48" s="12"/>
      <c r="J48" s="13"/>
      <c r="K48" s="32"/>
      <c r="L48" s="14">
        <f t="shared" si="0"/>
        <v>0</v>
      </c>
      <c r="M48" s="31">
        <f t="shared" si="3"/>
        <v>0</v>
      </c>
      <c r="N48" s="15" t="str">
        <f>IF(Table268323467[[#This Row],[Fault Type]]="PM",IF(L48&lt;=(D48-C48),"Yes","No"),"")</f>
        <v/>
      </c>
      <c r="O48" s="16" t="str">
        <f t="shared" si="2"/>
        <v/>
      </c>
      <c r="P4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48" s="17"/>
    </row>
    <row r="49" spans="1:17" ht="15.5" x14ac:dyDescent="0.35">
      <c r="A49" s="4"/>
      <c r="B49" s="12"/>
      <c r="C49" s="13"/>
      <c r="D49" s="13"/>
      <c r="E49" s="13"/>
      <c r="F49" s="18"/>
      <c r="G49" s="159"/>
      <c r="H49" s="18"/>
      <c r="I49" s="18"/>
      <c r="J49" s="13"/>
      <c r="K49" s="32"/>
      <c r="L49" s="14">
        <f t="shared" si="0"/>
        <v>0</v>
      </c>
      <c r="M49" s="31">
        <f t="shared" si="3"/>
        <v>0</v>
      </c>
      <c r="N49" s="15" t="str">
        <f>IF(Table268323467[[#This Row],[Fault Type]]="PM",IF(L49&lt;=(D49-C49),"Yes","No"),"")</f>
        <v/>
      </c>
      <c r="O49" s="16" t="str">
        <f t="shared" si="2"/>
        <v/>
      </c>
      <c r="P4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49" s="17"/>
    </row>
    <row r="50" spans="1:17" ht="15.5" x14ac:dyDescent="0.35">
      <c r="A50" s="4"/>
      <c r="B50" s="12"/>
      <c r="C50" s="49"/>
      <c r="D50" s="49"/>
      <c r="E50" s="13"/>
      <c r="F50" s="18"/>
      <c r="G50" s="159"/>
      <c r="H50" s="18"/>
      <c r="I50" s="54"/>
      <c r="J50" s="13"/>
      <c r="K50" s="32"/>
      <c r="L50" s="14">
        <f t="shared" si="0"/>
        <v>0</v>
      </c>
      <c r="M50" s="53">
        <f t="shared" si="3"/>
        <v>0</v>
      </c>
      <c r="N50" s="50" t="str">
        <f>IF(Table268323467[[#This Row],[Fault Type]]="PM",IF(L50&lt;=(D50-C50),"Yes","No"),"")</f>
        <v/>
      </c>
      <c r="O50" s="51" t="str">
        <f t="shared" si="2"/>
        <v/>
      </c>
      <c r="P5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row>
    <row r="51" spans="1:17" ht="15.5" x14ac:dyDescent="0.35">
      <c r="A51" s="158"/>
      <c r="B51" s="12"/>
      <c r="C51" s="56"/>
      <c r="D51" s="56"/>
      <c r="E51" s="13"/>
      <c r="F51" s="18"/>
      <c r="G51" s="159"/>
      <c r="H51" s="18"/>
      <c r="I51" s="18"/>
      <c r="J51" s="13"/>
      <c r="K51" s="32"/>
      <c r="L51" s="14">
        <f t="shared" si="0"/>
        <v>0</v>
      </c>
      <c r="M51" s="59">
        <f t="shared" si="3"/>
        <v>0</v>
      </c>
      <c r="N51" s="61" t="str">
        <f>IF(Table268323467[[#This Row],[Fault Type]]="PM",IF(L51&lt;=(D51-C51),"Yes","No"),"")</f>
        <v/>
      </c>
      <c r="O51" s="62" t="str">
        <f t="shared" si="2"/>
        <v/>
      </c>
      <c r="P5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1" s="63"/>
    </row>
    <row r="52" spans="1:17" ht="15.5" x14ac:dyDescent="0.35">
      <c r="A52" s="158"/>
      <c r="B52" s="12"/>
      <c r="C52" s="56"/>
      <c r="D52" s="56"/>
      <c r="E52" s="13"/>
      <c r="F52" s="18"/>
      <c r="G52" s="159"/>
      <c r="H52" s="18"/>
      <c r="I52" s="18"/>
      <c r="J52" s="13"/>
      <c r="K52" s="80"/>
      <c r="L52" s="14">
        <f t="shared" si="0"/>
        <v>0</v>
      </c>
      <c r="M52" s="59">
        <f t="shared" si="3"/>
        <v>0</v>
      </c>
      <c r="N52" s="61" t="str">
        <f>IF(Table268323467[[#This Row],[Fault Type]]="PM",IF(L52&lt;=(D52-C52),"Yes","No"),"")</f>
        <v/>
      </c>
      <c r="O52" s="62" t="str">
        <f t="shared" si="2"/>
        <v/>
      </c>
      <c r="P5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2" s="63"/>
    </row>
    <row r="53" spans="1:17" ht="15.5" x14ac:dyDescent="0.35">
      <c r="A53" s="158"/>
      <c r="B53" s="12"/>
      <c r="C53" s="56"/>
      <c r="D53" s="56"/>
      <c r="E53" s="13"/>
      <c r="F53" s="18"/>
      <c r="G53" s="159"/>
      <c r="H53" s="18"/>
      <c r="I53" s="18"/>
      <c r="J53" s="13"/>
      <c r="K53" s="32"/>
      <c r="L53" s="14">
        <f t="shared" si="0"/>
        <v>0</v>
      </c>
      <c r="M53" s="59">
        <f t="shared" si="3"/>
        <v>0</v>
      </c>
      <c r="N53" s="61" t="str">
        <f>IF(Table268323467[[#This Row],[Fault Type]]="PM",IF(L53&lt;=(D53-C53),"Yes","No"),"")</f>
        <v/>
      </c>
      <c r="O53" s="62" t="str">
        <f t="shared" si="2"/>
        <v/>
      </c>
      <c r="P5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3" s="63"/>
    </row>
    <row r="54" spans="1:17" ht="15.5" x14ac:dyDescent="0.35">
      <c r="A54" s="158"/>
      <c r="B54" s="12"/>
      <c r="C54" s="56"/>
      <c r="D54" s="56"/>
      <c r="E54" s="13"/>
      <c r="F54" s="18"/>
      <c r="G54" s="159"/>
      <c r="H54" s="18"/>
      <c r="I54" s="18"/>
      <c r="J54" s="13"/>
      <c r="K54" s="32"/>
      <c r="L54" s="14">
        <f t="shared" si="0"/>
        <v>0</v>
      </c>
      <c r="M54" s="59">
        <f t="shared" si="3"/>
        <v>0</v>
      </c>
      <c r="N54" s="61" t="str">
        <f>IF(Table268323467[[#This Row],[Fault Type]]="PM",IF(L54&lt;=(D54-C54),"Yes","No"),"")</f>
        <v/>
      </c>
      <c r="O54" s="62" t="str">
        <f t="shared" si="2"/>
        <v/>
      </c>
      <c r="P5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4" s="63"/>
    </row>
    <row r="55" spans="1:17" ht="15.5" x14ac:dyDescent="0.35">
      <c r="A55" s="158"/>
      <c r="B55" s="12"/>
      <c r="C55" s="56"/>
      <c r="D55" s="56"/>
      <c r="E55" s="13"/>
      <c r="F55" s="12"/>
      <c r="G55" s="159"/>
      <c r="H55" s="12"/>
      <c r="I55" s="18"/>
      <c r="J55" s="13"/>
      <c r="K55" s="32"/>
      <c r="L55" s="14">
        <f t="shared" si="0"/>
        <v>0</v>
      </c>
      <c r="M55" s="59">
        <f t="shared" si="3"/>
        <v>0</v>
      </c>
      <c r="N55" s="61" t="str">
        <f>IF(Table268323467[[#This Row],[Fault Type]]="PM",IF(L55&lt;=(D55-C55),"Yes","No"),"")</f>
        <v/>
      </c>
      <c r="O55" s="62" t="str">
        <f t="shared" si="2"/>
        <v/>
      </c>
      <c r="P5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5" s="63"/>
    </row>
    <row r="56" spans="1:17" ht="15.5" x14ac:dyDescent="0.35">
      <c r="A56" s="158"/>
      <c r="B56" s="12"/>
      <c r="C56" s="56"/>
      <c r="D56" s="56"/>
      <c r="E56" s="13"/>
      <c r="F56" s="12"/>
      <c r="G56" s="159"/>
      <c r="H56" s="12"/>
      <c r="I56" s="18"/>
      <c r="J56" s="13"/>
      <c r="K56" s="32"/>
      <c r="L56" s="14">
        <f t="shared" si="0"/>
        <v>0</v>
      </c>
      <c r="M56" s="59">
        <f t="shared" si="3"/>
        <v>0</v>
      </c>
      <c r="N56" s="61" t="str">
        <f>IF(Table268323467[[#This Row],[Fault Type]]="PM",IF(L56&lt;=(D56-C56),"Yes","No"),"")</f>
        <v/>
      </c>
      <c r="O56" s="62" t="str">
        <f t="shared" si="2"/>
        <v/>
      </c>
      <c r="P5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6" s="63"/>
    </row>
    <row r="57" spans="1:17" ht="15.5" x14ac:dyDescent="0.35">
      <c r="A57" s="158"/>
      <c r="B57" s="49"/>
      <c r="C57" s="56"/>
      <c r="D57" s="56"/>
      <c r="E57" s="13"/>
      <c r="F57" s="64"/>
      <c r="G57" s="159"/>
      <c r="H57" s="54"/>
      <c r="I57" s="18"/>
      <c r="J57" s="13"/>
      <c r="K57" s="32"/>
      <c r="L57" s="14">
        <f>J57-E57</f>
        <v>0</v>
      </c>
      <c r="M57" s="59">
        <f t="shared" si="3"/>
        <v>0</v>
      </c>
      <c r="N57" s="61" t="str">
        <f>IF(Table268323467[[#This Row],[Fault Type]]="PM",IF(L57&lt;=(D57-C57),"Yes","No"),"")</f>
        <v/>
      </c>
      <c r="O57" s="62" t="str">
        <f t="shared" si="2"/>
        <v/>
      </c>
      <c r="P5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7" s="63"/>
    </row>
    <row r="58" spans="1:17" ht="15.5" x14ac:dyDescent="0.35">
      <c r="A58" s="158"/>
      <c r="B58" s="55"/>
      <c r="C58" s="56"/>
      <c r="D58" s="56"/>
      <c r="E58" s="13"/>
      <c r="F58" s="55"/>
      <c r="G58" s="159"/>
      <c r="H58" s="57"/>
      <c r="I58" s="18"/>
      <c r="J58" s="13"/>
      <c r="K58" s="32"/>
      <c r="L58" s="14">
        <f t="shared" si="0"/>
        <v>0</v>
      </c>
      <c r="M58" s="59">
        <f t="shared" si="3"/>
        <v>0</v>
      </c>
      <c r="N58" s="61" t="str">
        <f>IF(Table268323467[[#This Row],[Fault Type]]="PM",IF(L58&lt;=(D58-C58),"Yes","No"),"")</f>
        <v/>
      </c>
      <c r="O58" s="62" t="str">
        <f t="shared" si="2"/>
        <v/>
      </c>
      <c r="P5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8" s="63"/>
    </row>
    <row r="59" spans="1:17" ht="15.5" x14ac:dyDescent="0.35">
      <c r="A59" s="158"/>
      <c r="B59" s="55"/>
      <c r="C59" s="56"/>
      <c r="D59" s="56"/>
      <c r="E59" s="13"/>
      <c r="F59" s="55"/>
      <c r="G59" s="159"/>
      <c r="H59" s="57"/>
      <c r="I59" s="18"/>
      <c r="J59" s="13"/>
      <c r="K59" s="83"/>
      <c r="L59" s="14">
        <f t="shared" si="0"/>
        <v>0</v>
      </c>
      <c r="M59" s="59">
        <f t="shared" si="3"/>
        <v>0</v>
      </c>
      <c r="N59" s="61" t="str">
        <f>IF(Table268323467[[#This Row],[Fault Type]]="PM",IF(L59&lt;=(D59-C59),"Yes","No"),"")</f>
        <v/>
      </c>
      <c r="O59" s="62" t="str">
        <f t="shared" si="2"/>
        <v/>
      </c>
      <c r="P5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59" s="63"/>
    </row>
    <row r="60" spans="1:17" ht="15.5" x14ac:dyDescent="0.35">
      <c r="A60" s="158"/>
      <c r="B60" s="55"/>
      <c r="C60" s="56"/>
      <c r="D60" s="56"/>
      <c r="E60" s="13"/>
      <c r="F60" s="55"/>
      <c r="G60" s="159"/>
      <c r="H60" s="57"/>
      <c r="I60" s="18"/>
      <c r="J60" s="13"/>
      <c r="K60" s="83"/>
      <c r="L60" s="14">
        <f t="shared" si="0"/>
        <v>0</v>
      </c>
      <c r="M60" s="59">
        <f t="shared" si="3"/>
        <v>0</v>
      </c>
      <c r="N60" s="61" t="str">
        <f>IF(Table268323467[[#This Row],[Fault Type]]="PM",IF(L60&lt;=(D60-C60),"Yes","No"),"")</f>
        <v/>
      </c>
      <c r="O60" s="62" t="str">
        <f t="shared" si="2"/>
        <v/>
      </c>
      <c r="P6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0" s="63"/>
    </row>
    <row r="61" spans="1:17" ht="15.5" x14ac:dyDescent="0.35">
      <c r="A61" s="158"/>
      <c r="B61" s="55"/>
      <c r="C61" s="56"/>
      <c r="D61" s="56"/>
      <c r="E61" s="13"/>
      <c r="F61" s="55"/>
      <c r="G61" s="159"/>
      <c r="H61" s="57"/>
      <c r="I61" s="18"/>
      <c r="J61" s="13"/>
      <c r="K61" s="83"/>
      <c r="L61" s="14">
        <f t="shared" si="0"/>
        <v>0</v>
      </c>
      <c r="M61" s="59">
        <f t="shared" si="3"/>
        <v>0</v>
      </c>
      <c r="N61" s="61" t="str">
        <f>IF(Table268323467[[#This Row],[Fault Type]]="PM",IF(L61&lt;=(D61-C61),"Yes","No"),"")</f>
        <v/>
      </c>
      <c r="O61" s="62" t="str">
        <f t="shared" si="2"/>
        <v/>
      </c>
      <c r="P6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1" s="63"/>
    </row>
    <row r="62" spans="1:17" ht="15.5" x14ac:dyDescent="0.35">
      <c r="A62" s="58"/>
      <c r="B62" s="55"/>
      <c r="C62" s="56"/>
      <c r="D62" s="56"/>
      <c r="E62" s="13"/>
      <c r="F62" s="55"/>
      <c r="G62" s="159"/>
      <c r="H62" s="57"/>
      <c r="I62" s="18"/>
      <c r="J62" s="13"/>
      <c r="K62" s="60"/>
      <c r="L62" s="14">
        <f t="shared" si="0"/>
        <v>0</v>
      </c>
      <c r="M62" s="59">
        <f t="shared" si="3"/>
        <v>0</v>
      </c>
      <c r="N62" s="61" t="str">
        <f>IF(Table268323467[[#This Row],[Fault Type]]="PM",IF(L62&lt;=(D62-C62),"Yes","No"),"")</f>
        <v/>
      </c>
      <c r="O62" s="62" t="str">
        <f t="shared" si="2"/>
        <v/>
      </c>
      <c r="P6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2" s="63"/>
    </row>
    <row r="63" spans="1:17" ht="15.5" x14ac:dyDescent="0.35">
      <c r="A63" s="58"/>
      <c r="B63" s="55"/>
      <c r="C63" s="56"/>
      <c r="D63" s="56"/>
      <c r="E63" s="13"/>
      <c r="F63" s="55"/>
      <c r="G63" s="159"/>
      <c r="H63" s="57"/>
      <c r="I63" s="18"/>
      <c r="J63" s="13"/>
      <c r="K63" s="60"/>
      <c r="L63" s="14">
        <f t="shared" si="0"/>
        <v>0</v>
      </c>
      <c r="M63" s="59">
        <f t="shared" si="3"/>
        <v>0</v>
      </c>
      <c r="N63" s="61" t="str">
        <f>IF(Table268323467[[#This Row],[Fault Type]]="PM",IF(L63&lt;=(D63-C63),"Yes","No"),"")</f>
        <v/>
      </c>
      <c r="O63" s="62" t="str">
        <f t="shared" si="2"/>
        <v/>
      </c>
      <c r="P6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3" s="63"/>
    </row>
    <row r="64" spans="1:17" ht="15.5" x14ac:dyDescent="0.35">
      <c r="A64" s="58"/>
      <c r="B64" s="55"/>
      <c r="C64" s="56"/>
      <c r="D64" s="56"/>
      <c r="E64" s="13"/>
      <c r="F64" s="55"/>
      <c r="G64" s="159"/>
      <c r="H64" s="57"/>
      <c r="I64" s="18"/>
      <c r="J64" s="13"/>
      <c r="K64" s="60"/>
      <c r="L64" s="14">
        <f t="shared" si="0"/>
        <v>0</v>
      </c>
      <c r="M64" s="59">
        <f t="shared" si="3"/>
        <v>0</v>
      </c>
      <c r="N64" s="61" t="str">
        <f>IF(Table268323467[[#This Row],[Fault Type]]="PM",IF(L64&lt;=(D64-C64),"Yes","No"),"")</f>
        <v/>
      </c>
      <c r="O64" s="62" t="str">
        <f t="shared" si="2"/>
        <v/>
      </c>
      <c r="P6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4" s="63"/>
    </row>
    <row r="65" spans="1:17" ht="15.5" x14ac:dyDescent="0.35">
      <c r="A65" s="58"/>
      <c r="B65" s="55"/>
      <c r="C65" s="56"/>
      <c r="D65" s="56"/>
      <c r="E65" s="13"/>
      <c r="F65" s="55"/>
      <c r="G65" s="159"/>
      <c r="H65" s="57"/>
      <c r="I65" s="18"/>
      <c r="J65" s="13"/>
      <c r="K65" s="60"/>
      <c r="L65" s="14">
        <f t="shared" si="0"/>
        <v>0</v>
      </c>
      <c r="M65" s="59">
        <f t="shared" si="3"/>
        <v>0</v>
      </c>
      <c r="N65" s="61" t="str">
        <f>IF(Table268323467[[#This Row],[Fault Type]]="PM",IF(L65&lt;=(D65-C65),"Yes","No"),"")</f>
        <v/>
      </c>
      <c r="O65" s="62" t="str">
        <f t="shared" si="2"/>
        <v/>
      </c>
      <c r="P6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5" s="63"/>
    </row>
    <row r="66" spans="1:17" ht="15.5" x14ac:dyDescent="0.35">
      <c r="A66" s="58"/>
      <c r="B66" s="55"/>
      <c r="C66" s="56"/>
      <c r="D66" s="56"/>
      <c r="E66" s="13"/>
      <c r="F66" s="55"/>
      <c r="G66" s="159"/>
      <c r="H66" s="57"/>
      <c r="I66" s="18"/>
      <c r="J66" s="13"/>
      <c r="K66" s="60"/>
      <c r="L66" s="14">
        <f t="shared" si="0"/>
        <v>0</v>
      </c>
      <c r="M66" s="59">
        <f t="shared" si="3"/>
        <v>0</v>
      </c>
      <c r="N66" s="61" t="str">
        <f>IF(Table268323467[[#This Row],[Fault Type]]="PM",IF(L66&lt;=(D66-C66),"Yes","No"),"")</f>
        <v/>
      </c>
      <c r="O66" s="62" t="str">
        <f t="shared" si="2"/>
        <v/>
      </c>
      <c r="P6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6" s="63"/>
    </row>
    <row r="67" spans="1:17" ht="15.5" x14ac:dyDescent="0.35">
      <c r="A67" s="58"/>
      <c r="B67" s="55"/>
      <c r="C67" s="56"/>
      <c r="D67" s="56"/>
      <c r="E67" s="13"/>
      <c r="F67" s="55"/>
      <c r="G67" s="159"/>
      <c r="H67" s="57"/>
      <c r="I67" s="18"/>
      <c r="J67" s="13"/>
      <c r="K67" s="60"/>
      <c r="L67" s="14">
        <f t="shared" si="0"/>
        <v>0</v>
      </c>
      <c r="M67" s="59">
        <f t="shared" si="3"/>
        <v>0</v>
      </c>
      <c r="N67" s="61" t="str">
        <f>IF(Table268323467[[#This Row],[Fault Type]]="PM",IF(L67&lt;=(D67-C67),"Yes","No"),"")</f>
        <v/>
      </c>
      <c r="O67" s="62" t="str">
        <f t="shared" si="2"/>
        <v/>
      </c>
      <c r="P6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7" s="63"/>
    </row>
    <row r="68" spans="1:17" ht="15.5" x14ac:dyDescent="0.35">
      <c r="A68" s="58"/>
      <c r="B68" s="55"/>
      <c r="C68" s="56"/>
      <c r="D68" s="56"/>
      <c r="E68" s="13"/>
      <c r="F68" s="55"/>
      <c r="G68" s="159"/>
      <c r="H68" s="57"/>
      <c r="I68" s="18"/>
      <c r="J68" s="13"/>
      <c r="K68" s="60"/>
      <c r="L68" s="14">
        <f t="shared" si="0"/>
        <v>0</v>
      </c>
      <c r="M68" s="59">
        <f t="shared" si="3"/>
        <v>0</v>
      </c>
      <c r="N68" s="61" t="str">
        <f>IF(Table268323467[[#This Row],[Fault Type]]="PM",IF(L68&lt;=(D68-C68),"Yes","No"),"")</f>
        <v/>
      </c>
      <c r="O68" s="62" t="str">
        <f t="shared" si="2"/>
        <v/>
      </c>
      <c r="P6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8" s="63"/>
    </row>
    <row r="69" spans="1:17" ht="15.5" x14ac:dyDescent="0.35">
      <c r="A69" s="58"/>
      <c r="B69" s="55"/>
      <c r="C69" s="56"/>
      <c r="D69" s="56"/>
      <c r="E69" s="13"/>
      <c r="F69" s="55"/>
      <c r="G69" s="159"/>
      <c r="H69" s="57"/>
      <c r="I69" s="18"/>
      <c r="J69" s="13"/>
      <c r="K69" s="60"/>
      <c r="L69" s="14">
        <f t="shared" ref="L69:L82" si="4">J69-E69</f>
        <v>0</v>
      </c>
      <c r="M69" s="59">
        <f t="shared" si="3"/>
        <v>0</v>
      </c>
      <c r="N69" s="61" t="str">
        <f>IF(Table268323467[[#This Row],[Fault Type]]="PM",IF(L69&lt;=(D69-C69),"Yes","No"),"")</f>
        <v/>
      </c>
      <c r="O69" s="62" t="str">
        <f t="shared" ref="O69:O82" si="5">IF(N69="No",(L69-(D69-C69)),"")</f>
        <v/>
      </c>
      <c r="P6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69" s="63"/>
    </row>
    <row r="70" spans="1:17" ht="15.5" x14ac:dyDescent="0.35">
      <c r="A70" s="58"/>
      <c r="B70" s="55"/>
      <c r="C70" s="56"/>
      <c r="D70" s="56"/>
      <c r="E70" s="13"/>
      <c r="F70" s="55"/>
      <c r="G70" s="159"/>
      <c r="H70" s="57"/>
      <c r="I70" s="18"/>
      <c r="J70" s="13"/>
      <c r="K70" s="60"/>
      <c r="L70" s="14">
        <f t="shared" si="4"/>
        <v>0</v>
      </c>
      <c r="M70" s="59">
        <f t="shared" si="3"/>
        <v>0</v>
      </c>
      <c r="N70" s="61" t="str">
        <f>IF(Table268323467[[#This Row],[Fault Type]]="PM",IF(L70&lt;=(D70-C70),"Yes","No"),"")</f>
        <v/>
      </c>
      <c r="O70" s="62" t="str">
        <f t="shared" si="5"/>
        <v/>
      </c>
      <c r="P7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0" s="63"/>
    </row>
    <row r="71" spans="1:17" ht="15.5" x14ac:dyDescent="0.35">
      <c r="A71" s="58"/>
      <c r="B71" s="55"/>
      <c r="C71" s="56"/>
      <c r="D71" s="56"/>
      <c r="E71" s="13"/>
      <c r="F71" s="55"/>
      <c r="G71" s="159"/>
      <c r="H71" s="57"/>
      <c r="I71" s="18"/>
      <c r="J71" s="13"/>
      <c r="K71" s="60"/>
      <c r="L71" s="14">
        <f t="shared" si="4"/>
        <v>0</v>
      </c>
      <c r="M71" s="59">
        <f t="shared" si="3"/>
        <v>0</v>
      </c>
      <c r="N71" s="61" t="str">
        <f>IF(Table268323467[[#This Row],[Fault Type]]="PM",IF(L71&lt;=(D71-C71),"Yes","No"),"")</f>
        <v/>
      </c>
      <c r="O71" s="62" t="str">
        <f t="shared" si="5"/>
        <v/>
      </c>
      <c r="P7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1" s="63"/>
    </row>
    <row r="72" spans="1:17" ht="15.5" x14ac:dyDescent="0.35">
      <c r="A72" s="58"/>
      <c r="B72" s="55"/>
      <c r="C72" s="56"/>
      <c r="D72" s="56"/>
      <c r="E72" s="13"/>
      <c r="F72" s="55"/>
      <c r="G72" s="159"/>
      <c r="H72" s="57"/>
      <c r="I72" s="18"/>
      <c r="J72" s="13"/>
      <c r="K72" s="60"/>
      <c r="L72" s="14">
        <f t="shared" si="4"/>
        <v>0</v>
      </c>
      <c r="M72" s="59">
        <f t="shared" si="3"/>
        <v>0</v>
      </c>
      <c r="N72" s="61" t="str">
        <f>IF(Table268323467[[#This Row],[Fault Type]]="PM",IF(L72&lt;=(D72-C72),"Yes","No"),"")</f>
        <v/>
      </c>
      <c r="O72" s="62" t="str">
        <f t="shared" si="5"/>
        <v/>
      </c>
      <c r="P7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2" s="63"/>
    </row>
    <row r="73" spans="1:17" ht="15.5" x14ac:dyDescent="0.35">
      <c r="A73" s="58"/>
      <c r="B73" s="55"/>
      <c r="C73" s="56"/>
      <c r="D73" s="56"/>
      <c r="E73" s="13"/>
      <c r="F73" s="55"/>
      <c r="G73" s="159"/>
      <c r="H73" s="57"/>
      <c r="I73" s="18"/>
      <c r="J73" s="13"/>
      <c r="K73" s="60"/>
      <c r="L73" s="14">
        <f t="shared" si="4"/>
        <v>0</v>
      </c>
      <c r="M73" s="59">
        <f t="shared" si="3"/>
        <v>0</v>
      </c>
      <c r="N73" s="61" t="str">
        <f>IF(Table268323467[[#This Row],[Fault Type]]="PM",IF(L73&lt;=(D73-C73),"Yes","No"),"")</f>
        <v/>
      </c>
      <c r="O73" s="62" t="str">
        <f t="shared" si="5"/>
        <v/>
      </c>
      <c r="P73"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3" s="63"/>
    </row>
    <row r="74" spans="1:17" ht="15.5" x14ac:dyDescent="0.35">
      <c r="A74" s="58"/>
      <c r="B74" s="55"/>
      <c r="C74" s="56"/>
      <c r="D74" s="56"/>
      <c r="E74" s="13"/>
      <c r="F74" s="55"/>
      <c r="G74" s="159"/>
      <c r="H74" s="57"/>
      <c r="I74" s="18"/>
      <c r="J74" s="13"/>
      <c r="K74" s="60"/>
      <c r="L74" s="14">
        <f t="shared" si="4"/>
        <v>0</v>
      </c>
      <c r="M74" s="59">
        <f t="shared" si="3"/>
        <v>0</v>
      </c>
      <c r="N74" s="61" t="str">
        <f>IF(Table268323467[[#This Row],[Fault Type]]="PM",IF(L74&lt;=(D74-C74),"Yes","No"),"")</f>
        <v/>
      </c>
      <c r="O74" s="62" t="str">
        <f t="shared" si="5"/>
        <v/>
      </c>
      <c r="P74"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4" s="63"/>
    </row>
    <row r="75" spans="1:17" ht="15.5" x14ac:dyDescent="0.35">
      <c r="A75" s="58"/>
      <c r="B75" s="55"/>
      <c r="C75" s="56"/>
      <c r="D75" s="56"/>
      <c r="E75" s="13"/>
      <c r="F75" s="55"/>
      <c r="G75" s="159"/>
      <c r="H75" s="57"/>
      <c r="I75" s="18"/>
      <c r="J75" s="13"/>
      <c r="K75" s="60"/>
      <c r="L75" s="14">
        <f t="shared" si="4"/>
        <v>0</v>
      </c>
      <c r="M75" s="59">
        <f t="shared" si="3"/>
        <v>0</v>
      </c>
      <c r="N75" s="61" t="str">
        <f>IF(Table268323467[[#This Row],[Fault Type]]="PM",IF(L75&lt;=(D75-C75),"Yes","No"),"")</f>
        <v/>
      </c>
      <c r="O75" s="62" t="str">
        <f t="shared" si="5"/>
        <v/>
      </c>
      <c r="P75"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5" s="63"/>
    </row>
    <row r="76" spans="1:17" ht="15.5" x14ac:dyDescent="0.35">
      <c r="A76" s="58"/>
      <c r="B76" s="55"/>
      <c r="C76" s="56"/>
      <c r="D76" s="56"/>
      <c r="E76" s="13"/>
      <c r="F76" s="55"/>
      <c r="G76" s="159"/>
      <c r="H76" s="57"/>
      <c r="I76" s="18"/>
      <c r="J76" s="13"/>
      <c r="K76" s="60"/>
      <c r="L76" s="14">
        <f t="shared" si="4"/>
        <v>0</v>
      </c>
      <c r="M76" s="59">
        <f t="shared" si="3"/>
        <v>0</v>
      </c>
      <c r="N76" s="61" t="str">
        <f>IF(Table268323467[[#This Row],[Fault Type]]="PM",IF(L76&lt;=(D76-C76),"Yes","No"),"")</f>
        <v/>
      </c>
      <c r="O76" s="62" t="str">
        <f t="shared" si="5"/>
        <v/>
      </c>
      <c r="P76"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6" s="63"/>
    </row>
    <row r="77" spans="1:17" ht="15.5" x14ac:dyDescent="0.35">
      <c r="A77" s="58"/>
      <c r="B77" s="55"/>
      <c r="C77" s="56"/>
      <c r="D77" s="56"/>
      <c r="E77" s="13"/>
      <c r="F77" s="55"/>
      <c r="G77" s="159"/>
      <c r="H77" s="57"/>
      <c r="I77" s="18"/>
      <c r="J77" s="13"/>
      <c r="K77" s="60"/>
      <c r="L77" s="14">
        <f t="shared" si="4"/>
        <v>0</v>
      </c>
      <c r="M77" s="59">
        <f t="shared" si="3"/>
        <v>0</v>
      </c>
      <c r="N77" s="61" t="str">
        <f>IF(Table268323467[[#This Row],[Fault Type]]="PM",IF(L77&lt;=(D77-C77),"Yes","No"),"")</f>
        <v/>
      </c>
      <c r="O77" s="62" t="str">
        <f t="shared" si="5"/>
        <v/>
      </c>
      <c r="P77"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7" s="63"/>
    </row>
    <row r="78" spans="1:17" ht="15.5" x14ac:dyDescent="0.35">
      <c r="A78" s="58"/>
      <c r="B78" s="55"/>
      <c r="C78" s="56"/>
      <c r="D78" s="56"/>
      <c r="E78" s="13"/>
      <c r="F78" s="55"/>
      <c r="G78" s="159"/>
      <c r="H78" s="57"/>
      <c r="I78" s="18"/>
      <c r="J78" s="13"/>
      <c r="K78" s="60"/>
      <c r="L78" s="14">
        <f t="shared" si="4"/>
        <v>0</v>
      </c>
      <c r="M78" s="59">
        <f t="shared" si="3"/>
        <v>0</v>
      </c>
      <c r="N78" s="61" t="str">
        <f>IF(Table268323467[[#This Row],[Fault Type]]="PM",IF(L78&lt;=(D78-C78),"Yes","No"),"")</f>
        <v/>
      </c>
      <c r="O78" s="62" t="str">
        <f t="shared" si="5"/>
        <v/>
      </c>
      <c r="P78"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8" s="63"/>
    </row>
    <row r="79" spans="1:17" ht="15.5" x14ac:dyDescent="0.35">
      <c r="A79" s="58"/>
      <c r="B79" s="55"/>
      <c r="C79" s="56"/>
      <c r="D79" s="56"/>
      <c r="E79" s="13"/>
      <c r="F79" s="55"/>
      <c r="G79" s="159"/>
      <c r="H79" s="57"/>
      <c r="I79" s="18"/>
      <c r="J79" s="13"/>
      <c r="K79" s="60"/>
      <c r="L79" s="14">
        <f t="shared" si="4"/>
        <v>0</v>
      </c>
      <c r="M79" s="59">
        <f t="shared" si="3"/>
        <v>0</v>
      </c>
      <c r="N79" s="61" t="str">
        <f>IF(Table268323467[[#This Row],[Fault Type]]="PM",IF(L79&lt;=(D79-C79),"Yes","No"),"")</f>
        <v/>
      </c>
      <c r="O79" s="62" t="str">
        <f t="shared" si="5"/>
        <v/>
      </c>
      <c r="P79"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79" s="63"/>
    </row>
    <row r="80" spans="1:17" ht="15.5" x14ac:dyDescent="0.35">
      <c r="A80" s="58"/>
      <c r="B80" s="55"/>
      <c r="C80" s="56"/>
      <c r="D80" s="56"/>
      <c r="E80" s="13"/>
      <c r="F80" s="55"/>
      <c r="G80" s="159"/>
      <c r="H80" s="57"/>
      <c r="I80" s="18"/>
      <c r="J80" s="13"/>
      <c r="K80" s="60"/>
      <c r="L80" s="14">
        <f t="shared" si="4"/>
        <v>0</v>
      </c>
      <c r="M80" s="59">
        <f t="shared" si="3"/>
        <v>0</v>
      </c>
      <c r="N80" s="61" t="str">
        <f>IF(Table268323467[[#This Row],[Fault Type]]="PM",IF(L80&lt;=(D80-C80),"Yes","No"),"")</f>
        <v/>
      </c>
      <c r="O80" s="62" t="str">
        <f t="shared" si="5"/>
        <v/>
      </c>
      <c r="P80"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80" s="63"/>
    </row>
    <row r="81" spans="1:17" ht="15.5" x14ac:dyDescent="0.35">
      <c r="A81" s="58"/>
      <c r="B81" s="55"/>
      <c r="C81" s="56"/>
      <c r="D81" s="56"/>
      <c r="E81" s="13"/>
      <c r="F81" s="55"/>
      <c r="G81" s="159"/>
      <c r="H81" s="57"/>
      <c r="I81" s="18"/>
      <c r="J81" s="13"/>
      <c r="K81" s="60"/>
      <c r="L81" s="14">
        <f t="shared" si="4"/>
        <v>0</v>
      </c>
      <c r="M81" s="59">
        <f t="shared" si="3"/>
        <v>0</v>
      </c>
      <c r="N81" s="61" t="str">
        <f>IF(Table268323467[[#This Row],[Fault Type]]="PM",IF(L81&lt;=(D81-C81),"Yes","No"),"")</f>
        <v/>
      </c>
      <c r="O81" s="62" t="str">
        <f t="shared" si="5"/>
        <v/>
      </c>
      <c r="P81"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81" s="63"/>
    </row>
    <row r="82" spans="1:17" ht="15.5" x14ac:dyDescent="0.35">
      <c r="A82" s="58"/>
      <c r="B82" s="55"/>
      <c r="C82" s="56"/>
      <c r="D82" s="56"/>
      <c r="E82" s="13"/>
      <c r="F82" s="55"/>
      <c r="G82" s="159"/>
      <c r="H82" s="57"/>
      <c r="I82" s="18"/>
      <c r="J82" s="13"/>
      <c r="K82" s="60"/>
      <c r="L82" s="14">
        <f t="shared" si="4"/>
        <v>0</v>
      </c>
      <c r="M82" s="59">
        <f t="shared" si="3"/>
        <v>0</v>
      </c>
      <c r="N82" s="61" t="str">
        <f>IF(Table268323467[[#This Row],[Fault Type]]="PM",IF(L82&lt;=(D82-C82),"Yes","No"),"")</f>
        <v/>
      </c>
      <c r="O82" s="62" t="str">
        <f t="shared" si="5"/>
        <v/>
      </c>
      <c r="P82" s="30" t="str">
        <f>IF(AND(Table268323467[[#This Row],[Name of Feeder]]&lt;&gt;"",OR(Table268323467[[#This Row],[Fault Type]]="TL",Table268323467[[#This Row],[Fault Type]]="TS",Table268323467[[#This Row],[Fault Type]]="UF",Table268323467[[#This Row],[Fault Type]]="SE")),(IF(AND(VLOOKUP(Table268323467[[#This Row],[Name of Feeder]],Main!D:E,2,0)="URBAN",ISNUMBER(SEARCH("33KV",Table268323467[[#This Row],[Name of Feeder]]))),IF(AND(Table268323467[[#This Row],[Outage Duration]]&gt;0,Table268323467[[#This Row],[Outage Duration]]&lt;=0.25),"Yes","No"),IF(AND(VLOOKUP(Table268323467[[#This Row],[Name of Feeder]],Main!D:E,2,0)="RURAL",ISNUMBER(SEARCH("33KV",Table268323467[[#This Row],[Name of Feeder]]))),IF(AND(Table268323467[[#This Row],[Outage Duration]]&gt;0,Table268323467[[#This Row],[Outage Duration]]&lt;=0.33),"Yes","No"),IF(AND(VLOOKUP(Table268323467[[#This Row],[Name of Feeder]],Main!D:E,2,0)="RURAL",ISNUMBER(SEARCH("11KV",Table268323467[[#This Row],[Name of Feeder]]))),IF(AND(Table268323467[[#This Row],[Outage Duration]]&gt;0,Table268323467[[#This Row],[Outage Duration]]&lt;=0.17),"Yes","No"),IF(AND(VLOOKUP(Table268323467[[#This Row],[Name of Feeder]],Main!D:E,2,0)="URBAN",ISNUMBER(SEARCH("11KV",Table268323467[[#This Row],[Name of Feeder]]))),IF(AND(Table268323467[[#This Row],[Outage Duration]]&gt;0,Table268323467[[#This Row],[Outage Duration]]&lt;=0.17),"Yes","No"),""))))),"")</f>
        <v/>
      </c>
      <c r="Q82" s="63"/>
    </row>
  </sheetData>
  <pageMargins left="0.7" right="0.7" top="0.75" bottom="0.75" header="0.3" footer="0.3"/>
  <pageSetup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Main!$F$226:$F$228</xm:f>
          </x14:formula1>
          <xm:sqref>I2:I82</xm:sqref>
        </x14:dataValidation>
        <x14:dataValidation type="list" allowBlank="1" showInputMessage="1" showErrorMessage="1" xr:uid="{00000000-0002-0000-0400-000001000000}">
          <x14:formula1>
            <xm:f>Main!$D$2:$D$196</xm:f>
          </x14:formula1>
          <xm:sqref>A2:A82</xm:sqref>
        </x14:dataValidation>
        <x14:dataValidation type="list" allowBlank="1" showInputMessage="1" showErrorMessage="1" xr:uid="{00000000-0002-0000-0400-000002000000}">
          <x14:formula1>
            <xm:f>Main!F$222:F$225</xm:f>
          </x14:formula1>
          <xm:sqref>G2:G82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6"/>
  <sheetViews>
    <sheetView zoomScale="70" zoomScaleNormal="70" workbookViewId="0">
      <selection activeCell="A2" sqref="A2:J91"/>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50</v>
      </c>
      <c r="B2" s="12" t="s">
        <v>150</v>
      </c>
      <c r="C2" s="13"/>
      <c r="D2" s="13"/>
      <c r="E2" s="13">
        <v>44775.000694444447</v>
      </c>
      <c r="F2" s="12">
        <v>1</v>
      </c>
      <c r="G2" s="12" t="s">
        <v>162</v>
      </c>
      <c r="H2" s="27" t="s">
        <v>508</v>
      </c>
      <c r="I2" s="27" t="s">
        <v>526</v>
      </c>
      <c r="J2" s="13">
        <v>44775.030555555553</v>
      </c>
      <c r="K2" s="32"/>
      <c r="L2" s="14">
        <f t="shared" ref="L2:L75" si="0">J2-E2</f>
        <v>2.9861111106583849E-2</v>
      </c>
      <c r="M2" s="31">
        <f t="shared" ref="M2:M24" si="1">L2*F2</f>
        <v>2.9861111106583849E-2</v>
      </c>
      <c r="N2" s="15" t="str">
        <f>IF(Table26832346[[#This Row],[Fault Type]]="PM",IF(L2&lt;=(D2-C2),"Yes","No"),"")</f>
        <v/>
      </c>
      <c r="O2" s="16" t="str">
        <f t="shared" ref="O2:O75" si="2">IF(N2="No",(L2-(D2-C2)),"")</f>
        <v/>
      </c>
      <c r="P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 s="17"/>
    </row>
    <row r="3" spans="1:17" s="116" customFormat="1" ht="15.5" x14ac:dyDescent="0.35">
      <c r="A3" s="124" t="s">
        <v>23</v>
      </c>
      <c r="B3" s="125"/>
      <c r="C3" s="126"/>
      <c r="D3" s="126"/>
      <c r="E3" s="126">
        <v>44775.001388888886</v>
      </c>
      <c r="F3" s="125">
        <v>6</v>
      </c>
      <c r="G3" s="159" t="s">
        <v>164</v>
      </c>
      <c r="H3" s="128" t="s">
        <v>544</v>
      </c>
      <c r="I3" s="128" t="s">
        <v>334</v>
      </c>
      <c r="J3" s="126">
        <v>44775.520833333336</v>
      </c>
      <c r="K3" s="129"/>
      <c r="L3" s="14">
        <f>J3-E3</f>
        <v>0.51944444444961846</v>
      </c>
      <c r="M3" s="31">
        <f>L3*F3</f>
        <v>3.1166666666977108</v>
      </c>
      <c r="N3" s="15" t="str">
        <f>IF(Table26832346[[#This Row],[Fault Type]]="PM",IF(L3&lt;=(D3-C3),"Yes","No"),"")</f>
        <v/>
      </c>
      <c r="O3" s="16" t="str">
        <f>IF(N3="No",(L3-(D3-C3)),"")</f>
        <v/>
      </c>
      <c r="P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c r="Q3" s="130"/>
    </row>
    <row r="4" spans="1:17" ht="15.5" x14ac:dyDescent="0.35">
      <c r="A4" s="4" t="s">
        <v>195</v>
      </c>
      <c r="B4" s="12" t="s">
        <v>150</v>
      </c>
      <c r="C4" s="13"/>
      <c r="D4" s="13"/>
      <c r="E4" s="13">
        <v>44775.00277777778</v>
      </c>
      <c r="F4" s="12">
        <v>3.1</v>
      </c>
      <c r="G4" s="159" t="s">
        <v>164</v>
      </c>
      <c r="H4" s="27" t="s">
        <v>545</v>
      </c>
      <c r="I4" s="27" t="s">
        <v>334</v>
      </c>
      <c r="J4" s="13">
        <v>44775.306944444441</v>
      </c>
      <c r="K4" s="32"/>
      <c r="L4" s="14">
        <f t="shared" si="0"/>
        <v>0.30416666666133096</v>
      </c>
      <c r="M4" s="31">
        <f t="shared" si="1"/>
        <v>0.94291666665012597</v>
      </c>
      <c r="N4" s="15" t="str">
        <f>IF(Table26832346[[#This Row],[Fault Type]]="PM",IF(L4&lt;=(D4-C4),"Yes","No"),"")</f>
        <v/>
      </c>
      <c r="O4" s="16" t="str">
        <f t="shared" si="2"/>
        <v/>
      </c>
      <c r="P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 s="17"/>
    </row>
    <row r="5" spans="1:17" s="116" customFormat="1" ht="15.5" x14ac:dyDescent="0.35">
      <c r="A5" s="124" t="s">
        <v>45</v>
      </c>
      <c r="B5" s="125" t="s">
        <v>150</v>
      </c>
      <c r="C5" s="126"/>
      <c r="D5" s="126"/>
      <c r="E5" s="126">
        <v>44775.021527777775</v>
      </c>
      <c r="F5" s="125">
        <v>2.7</v>
      </c>
      <c r="G5" s="159" t="s">
        <v>164</v>
      </c>
      <c r="H5" s="128"/>
      <c r="I5" s="128"/>
      <c r="J5" s="126"/>
      <c r="K5" s="129"/>
      <c r="L5" s="14">
        <f>J5-E5</f>
        <v>-44775.021527777775</v>
      </c>
      <c r="M5" s="31">
        <f>L5*F5</f>
        <v>-120892.558125</v>
      </c>
      <c r="N5" s="15" t="str">
        <f>IF(Table26832346[[#This Row],[Fault Type]]="PM",IF(L5&lt;=(D5-C5),"Yes","No"),"")</f>
        <v/>
      </c>
      <c r="O5" s="16" t="str">
        <f>IF(N5="No",(L5-(D5-C5)),"")</f>
        <v/>
      </c>
      <c r="P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5" s="130"/>
    </row>
    <row r="6" spans="1:17" ht="15.5" x14ac:dyDescent="0.35">
      <c r="A6" s="4" t="s">
        <v>51</v>
      </c>
      <c r="B6" s="12" t="s">
        <v>150</v>
      </c>
      <c r="C6" s="13"/>
      <c r="D6" s="13"/>
      <c r="E6" s="13">
        <v>44775.032638888886</v>
      </c>
      <c r="F6" s="12">
        <v>3.2</v>
      </c>
      <c r="G6" s="159" t="s">
        <v>164</v>
      </c>
      <c r="H6" s="12"/>
      <c r="I6" s="12"/>
      <c r="J6" s="13"/>
      <c r="K6" s="32"/>
      <c r="L6" s="14">
        <f t="shared" si="0"/>
        <v>-44775.032638888886</v>
      </c>
      <c r="M6" s="31">
        <f t="shared" si="1"/>
        <v>-143280.10444444444</v>
      </c>
      <c r="N6" s="15" t="str">
        <f>IF(Table26832346[[#This Row],[Fault Type]]="PM",IF(L6&lt;=(D6-C6),"Yes","No"),"")</f>
        <v/>
      </c>
      <c r="O6" s="16" t="str">
        <f t="shared" si="2"/>
        <v/>
      </c>
      <c r="P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6" s="17"/>
    </row>
    <row r="7" spans="1:17" ht="15.5" x14ac:dyDescent="0.35">
      <c r="A7" s="4" t="s">
        <v>546</v>
      </c>
      <c r="B7" s="12" t="s">
        <v>150</v>
      </c>
      <c r="C7" s="13"/>
      <c r="D7" s="13"/>
      <c r="E7" s="13">
        <v>44775.038888888892</v>
      </c>
      <c r="F7" s="12">
        <v>2.8</v>
      </c>
      <c r="G7" s="159" t="s">
        <v>164</v>
      </c>
      <c r="H7" s="18" t="s">
        <v>547</v>
      </c>
      <c r="I7" s="12" t="s">
        <v>334</v>
      </c>
      <c r="J7" s="13">
        <v>44775.501388888886</v>
      </c>
      <c r="K7" s="80"/>
      <c r="L7" s="14">
        <f t="shared" si="0"/>
        <v>0.46249999999417923</v>
      </c>
      <c r="M7" s="31">
        <f t="shared" si="1"/>
        <v>1.2949999999837019</v>
      </c>
      <c r="N7" s="15" t="str">
        <f>IF(Table26832346[[#This Row],[Fault Type]]="PM",IF(L7&lt;=(D7-C7),"Yes","No"),"")</f>
        <v/>
      </c>
      <c r="O7" s="16" t="str">
        <f t="shared" si="2"/>
        <v/>
      </c>
      <c r="P7"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7" s="17"/>
    </row>
    <row r="8" spans="1:17" s="116" customFormat="1" ht="15.5" x14ac:dyDescent="0.35">
      <c r="A8" s="124" t="s">
        <v>48</v>
      </c>
      <c r="B8" s="125" t="s">
        <v>150</v>
      </c>
      <c r="C8" s="126"/>
      <c r="D8" s="126"/>
      <c r="E8" s="126">
        <v>44775.043055555558</v>
      </c>
      <c r="F8" s="125">
        <v>0.8</v>
      </c>
      <c r="G8" s="159" t="s">
        <v>164</v>
      </c>
      <c r="H8" s="127" t="s">
        <v>548</v>
      </c>
      <c r="I8" s="125" t="s">
        <v>333</v>
      </c>
      <c r="J8" s="126">
        <v>44775.635416666664</v>
      </c>
      <c r="K8" s="115"/>
      <c r="L8" s="14">
        <f>J8-E8</f>
        <v>0.59236111110658385</v>
      </c>
      <c r="M8" s="31">
        <f>L8*F8</f>
        <v>0.47388888888526709</v>
      </c>
      <c r="N8" s="15" t="str">
        <f>IF(Table26832346[[#This Row],[Fault Type]]="PM",IF(L8&lt;=(D8-C8),"Yes","No"),"")</f>
        <v/>
      </c>
      <c r="O8" s="16" t="str">
        <f>IF(N8="No",(L8-(D8-C8)),"")</f>
        <v/>
      </c>
      <c r="P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 s="130"/>
    </row>
    <row r="9" spans="1:17" s="116" customFormat="1" ht="15.5" x14ac:dyDescent="0.35">
      <c r="A9" s="124" t="s">
        <v>370</v>
      </c>
      <c r="B9" s="125" t="s">
        <v>150</v>
      </c>
      <c r="C9" s="126"/>
      <c r="D9" s="126"/>
      <c r="E9" s="126">
        <v>44775.046527777777</v>
      </c>
      <c r="F9" s="125">
        <v>7.5</v>
      </c>
      <c r="G9" s="159" t="s">
        <v>164</v>
      </c>
      <c r="H9" s="127" t="s">
        <v>549</v>
      </c>
      <c r="I9" s="125" t="s">
        <v>334</v>
      </c>
      <c r="J9" s="126">
        <v>44775.750694444447</v>
      </c>
      <c r="K9" s="115"/>
      <c r="L9" s="14">
        <f>J9-E9</f>
        <v>0.70416666667006211</v>
      </c>
      <c r="M9" s="31">
        <f>L9*F9</f>
        <v>5.2812500000254659</v>
      </c>
      <c r="N9" s="15" t="str">
        <f>IF(Table26832346[[#This Row],[Fault Type]]="PM",IF(L9&lt;=(D9-C9),"Yes","No"),"")</f>
        <v/>
      </c>
      <c r="O9" s="16" t="str">
        <f>IF(N9="No",(L9-(D9-C9)),"")</f>
        <v/>
      </c>
      <c r="P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9" s="130"/>
    </row>
    <row r="10" spans="1:17" ht="15.5" x14ac:dyDescent="0.35">
      <c r="A10" s="4" t="s">
        <v>43</v>
      </c>
      <c r="B10" s="12" t="s">
        <v>150</v>
      </c>
      <c r="C10" s="13"/>
      <c r="D10" s="13"/>
      <c r="E10" s="13">
        <v>44775.049305555556</v>
      </c>
      <c r="F10" s="12">
        <v>1.7</v>
      </c>
      <c r="G10" s="159" t="s">
        <v>164</v>
      </c>
      <c r="H10" s="12" t="s">
        <v>550</v>
      </c>
      <c r="I10" s="12" t="s">
        <v>334</v>
      </c>
      <c r="J10" s="13">
        <v>44775.511111111111</v>
      </c>
      <c r="K10" s="32"/>
      <c r="L10" s="14">
        <f t="shared" si="0"/>
        <v>0.46180555555474712</v>
      </c>
      <c r="M10" s="31">
        <f t="shared" si="1"/>
        <v>0.78506944444307003</v>
      </c>
      <c r="N10" s="15" t="str">
        <f>IF(Table26832346[[#This Row],[Fault Type]]="PM",IF(L10&lt;=(D10-C10),"Yes","No"),"")</f>
        <v/>
      </c>
      <c r="O10" s="16" t="str">
        <f t="shared" si="2"/>
        <v/>
      </c>
      <c r="P1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0" s="17"/>
    </row>
    <row r="11" spans="1:17" ht="15.5" x14ac:dyDescent="0.35">
      <c r="A11" s="4" t="s">
        <v>551</v>
      </c>
      <c r="B11" s="12" t="s">
        <v>150</v>
      </c>
      <c r="C11" s="13"/>
      <c r="D11" s="13"/>
      <c r="E11" s="13">
        <v>44775.072916666664</v>
      </c>
      <c r="F11" s="12"/>
      <c r="G11" s="159"/>
      <c r="H11" s="12" t="s">
        <v>552</v>
      </c>
      <c r="I11" s="12" t="s">
        <v>333</v>
      </c>
      <c r="J11" s="13">
        <v>44775.604166666664</v>
      </c>
      <c r="K11" s="32"/>
      <c r="L11" s="14">
        <f t="shared" si="0"/>
        <v>0.53125</v>
      </c>
      <c r="M11" s="31">
        <f t="shared" si="1"/>
        <v>0</v>
      </c>
      <c r="N11" s="15" t="str">
        <f>IF(Table26832346[[#This Row],[Fault Type]]="PM",IF(L11&lt;=(D11-C11),"Yes","No"),"")</f>
        <v/>
      </c>
      <c r="O11" s="16" t="str">
        <f t="shared" si="2"/>
        <v/>
      </c>
      <c r="P11"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11" s="17"/>
    </row>
    <row r="12" spans="1:17" ht="15.5" x14ac:dyDescent="0.35">
      <c r="A12" s="4" t="s">
        <v>50</v>
      </c>
      <c r="B12" s="12" t="s">
        <v>150</v>
      </c>
      <c r="C12" s="13"/>
      <c r="D12" s="13"/>
      <c r="E12" s="13">
        <v>44775.09097222222</v>
      </c>
      <c r="F12" s="12">
        <v>2</v>
      </c>
      <c r="G12" s="159" t="s">
        <v>164</v>
      </c>
      <c r="H12" s="12" t="s">
        <v>553</v>
      </c>
      <c r="I12" s="12" t="s">
        <v>333</v>
      </c>
      <c r="J12" s="13">
        <v>44775.381944444445</v>
      </c>
      <c r="K12" s="32"/>
      <c r="L12" s="14">
        <f t="shared" si="0"/>
        <v>0.29097222222480923</v>
      </c>
      <c r="M12" s="31">
        <f t="shared" si="1"/>
        <v>0.58194444444961846</v>
      </c>
      <c r="N12" s="15" t="str">
        <f>IF(Table26832346[[#This Row],[Fault Type]]="PM",IF(L12&lt;=(D12-C12),"Yes","No"),"")</f>
        <v/>
      </c>
      <c r="O12" s="16" t="str">
        <f t="shared" si="2"/>
        <v/>
      </c>
      <c r="P1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12" s="17"/>
    </row>
    <row r="13" spans="1:17" ht="15.5" x14ac:dyDescent="0.35">
      <c r="A13" s="4" t="s">
        <v>47</v>
      </c>
      <c r="B13" s="12" t="s">
        <v>150</v>
      </c>
      <c r="C13" s="13"/>
      <c r="D13" s="13"/>
      <c r="E13" s="13">
        <v>44775.095833333333</v>
      </c>
      <c r="F13" s="12">
        <v>3.4</v>
      </c>
      <c r="G13" s="159" t="s">
        <v>164</v>
      </c>
      <c r="H13" s="12" t="s">
        <v>554</v>
      </c>
      <c r="I13" s="12" t="s">
        <v>334</v>
      </c>
      <c r="J13" s="13">
        <v>44775.495833333334</v>
      </c>
      <c r="K13" s="32"/>
      <c r="L13" s="14">
        <f t="shared" si="0"/>
        <v>0.40000000000145519</v>
      </c>
      <c r="M13" s="31">
        <f t="shared" si="1"/>
        <v>1.3600000000049477</v>
      </c>
      <c r="N13" s="15" t="str">
        <f>IF(Table26832346[[#This Row],[Fault Type]]="PM",IF(L13&lt;=(D13-C13),"Yes","No"),"")</f>
        <v/>
      </c>
      <c r="O13" s="16" t="str">
        <f t="shared" si="2"/>
        <v/>
      </c>
      <c r="P1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3" s="17"/>
    </row>
    <row r="14" spans="1:17" ht="15.5" x14ac:dyDescent="0.35">
      <c r="A14" s="4" t="s">
        <v>39</v>
      </c>
      <c r="B14" s="12" t="s">
        <v>150</v>
      </c>
      <c r="C14" s="13"/>
      <c r="D14" s="13"/>
      <c r="E14" s="13">
        <v>44775.1</v>
      </c>
      <c r="F14" s="12">
        <v>9.4</v>
      </c>
      <c r="G14" s="159" t="s">
        <v>162</v>
      </c>
      <c r="H14" s="18" t="s">
        <v>508</v>
      </c>
      <c r="I14" s="12" t="s">
        <v>526</v>
      </c>
      <c r="J14" s="13">
        <v>44775.107638888891</v>
      </c>
      <c r="K14" s="80"/>
      <c r="L14" s="14">
        <f t="shared" si="0"/>
        <v>7.6388888919609599E-3</v>
      </c>
      <c r="M14" s="31">
        <f t="shared" si="1"/>
        <v>7.1805555584433023E-2</v>
      </c>
      <c r="N14" s="15" t="str">
        <f>IF(Table26832346[[#This Row],[Fault Type]]="PM",IF(L14&lt;=(D14-C14),"Yes","No"),"")</f>
        <v/>
      </c>
      <c r="O14" s="16" t="str">
        <f t="shared" si="2"/>
        <v/>
      </c>
      <c r="P1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14" s="130"/>
    </row>
    <row r="15" spans="1:17" ht="15.5" x14ac:dyDescent="0.35">
      <c r="A15" s="4" t="s">
        <v>44</v>
      </c>
      <c r="B15" s="12" t="s">
        <v>150</v>
      </c>
      <c r="C15" s="13"/>
      <c r="D15" s="13"/>
      <c r="E15" s="13">
        <v>44775.146527777775</v>
      </c>
      <c r="F15" s="12">
        <v>2</v>
      </c>
      <c r="G15" s="159" t="s">
        <v>164</v>
      </c>
      <c r="H15" s="12" t="s">
        <v>555</v>
      </c>
      <c r="I15" s="12" t="s">
        <v>334</v>
      </c>
      <c r="J15" s="13">
        <v>44775.564583333333</v>
      </c>
      <c r="K15" s="32"/>
      <c r="L15" s="14">
        <f t="shared" si="0"/>
        <v>0.4180555555576575</v>
      </c>
      <c r="M15" s="31">
        <f t="shared" si="1"/>
        <v>0.836111111115315</v>
      </c>
      <c r="N15" s="15" t="str">
        <f>IF(Table26832346[[#This Row],[Fault Type]]="PM",IF(L15&lt;=(D15-C15),"Yes","No"),"")</f>
        <v/>
      </c>
      <c r="O15" s="16" t="str">
        <f t="shared" si="2"/>
        <v/>
      </c>
      <c r="P1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5" s="130"/>
    </row>
    <row r="16" spans="1:17" ht="15.5" x14ac:dyDescent="0.35">
      <c r="A16" s="4" t="s">
        <v>46</v>
      </c>
      <c r="B16" s="12" t="s">
        <v>150</v>
      </c>
      <c r="C16" s="13"/>
      <c r="D16" s="13"/>
      <c r="E16" s="13">
        <v>44775.147916666669</v>
      </c>
      <c r="F16" s="12">
        <v>4</v>
      </c>
      <c r="G16" s="159" t="s">
        <v>164</v>
      </c>
      <c r="H16" s="12" t="s">
        <v>556</v>
      </c>
      <c r="I16" s="12" t="s">
        <v>333</v>
      </c>
      <c r="J16" s="13">
        <v>44775.529166666667</v>
      </c>
      <c r="K16" s="32"/>
      <c r="L16" s="14">
        <f t="shared" si="0"/>
        <v>0.38124999999854481</v>
      </c>
      <c r="M16" s="31">
        <f t="shared" si="1"/>
        <v>1.5249999999941792</v>
      </c>
      <c r="N16" s="15" t="str">
        <f>IF(Table26832346[[#This Row],[Fault Type]]="PM",IF(L16&lt;=(D16-C16),"Yes","No"),"")</f>
        <v/>
      </c>
      <c r="O16" s="16" t="str">
        <f t="shared" si="2"/>
        <v/>
      </c>
      <c r="P1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6" s="130"/>
    </row>
    <row r="17" spans="1:17" ht="15.5" x14ac:dyDescent="0.35">
      <c r="A17" s="4" t="s">
        <v>18</v>
      </c>
      <c r="B17" s="12" t="s">
        <v>150</v>
      </c>
      <c r="C17" s="13"/>
      <c r="D17" s="13"/>
      <c r="E17" s="13">
        <v>44775.214583333334</v>
      </c>
      <c r="F17" s="12">
        <v>5.8</v>
      </c>
      <c r="G17" s="159" t="s">
        <v>164</v>
      </c>
      <c r="H17" s="12" t="s">
        <v>557</v>
      </c>
      <c r="I17" s="12" t="s">
        <v>334</v>
      </c>
      <c r="J17" s="13">
        <v>44775.449305555558</v>
      </c>
      <c r="K17" s="32"/>
      <c r="L17" s="14">
        <f t="shared" si="0"/>
        <v>0.23472222222335404</v>
      </c>
      <c r="M17" s="31">
        <f t="shared" si="1"/>
        <v>1.3613888888954533</v>
      </c>
      <c r="N17" s="15" t="str">
        <f>IF(Table26832346[[#This Row],[Fault Type]]="PM",IF(L17&lt;=(D17-C17),"Yes","No"),"")</f>
        <v/>
      </c>
      <c r="O17" s="16" t="str">
        <f t="shared" si="2"/>
        <v/>
      </c>
      <c r="P1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17" s="130"/>
    </row>
    <row r="18" spans="1:17" s="116" customFormat="1" ht="15.5" x14ac:dyDescent="0.35">
      <c r="A18" s="124" t="s">
        <v>40</v>
      </c>
      <c r="B18" s="125" t="s">
        <v>150</v>
      </c>
      <c r="C18" s="126"/>
      <c r="D18" s="126"/>
      <c r="E18" s="126">
        <v>44775.225694444445</v>
      </c>
      <c r="F18" s="125">
        <v>8.5</v>
      </c>
      <c r="G18" s="159" t="s">
        <v>164</v>
      </c>
      <c r="H18" s="125" t="s">
        <v>558</v>
      </c>
      <c r="I18" s="125" t="s">
        <v>334</v>
      </c>
      <c r="J18" s="126">
        <v>44775.527083333334</v>
      </c>
      <c r="K18" s="129"/>
      <c r="L18" s="14">
        <f>J18-E18</f>
        <v>0.30138888888905058</v>
      </c>
      <c r="M18" s="31">
        <f>L18*F18</f>
        <v>2.5618055555569299</v>
      </c>
      <c r="N18" s="15" t="str">
        <f>IF(Table26832346[[#This Row],[Fault Type]]="PM",IF(L18&lt;=(D18-C18),"Yes","No"),"")</f>
        <v/>
      </c>
      <c r="O18" s="16" t="str">
        <f>IF(N18="No",(L18-(D18-C18)),"")</f>
        <v/>
      </c>
      <c r="P1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8" s="130"/>
    </row>
    <row r="19" spans="1:17" ht="15.5" x14ac:dyDescent="0.35">
      <c r="A19" s="4" t="s">
        <v>363</v>
      </c>
      <c r="B19" s="12" t="s">
        <v>150</v>
      </c>
      <c r="C19" s="13"/>
      <c r="D19" s="13"/>
      <c r="E19" s="13">
        <v>44775.230555555558</v>
      </c>
      <c r="F19" s="12">
        <v>1.2</v>
      </c>
      <c r="G19" s="159" t="s">
        <v>162</v>
      </c>
      <c r="H19" s="12" t="s">
        <v>559</v>
      </c>
      <c r="I19" s="12" t="s">
        <v>334</v>
      </c>
      <c r="J19" s="13">
        <v>44776.690972222219</v>
      </c>
      <c r="K19" s="32"/>
      <c r="L19" s="14">
        <f t="shared" si="0"/>
        <v>1.460416666661331</v>
      </c>
      <c r="M19" s="31">
        <f t="shared" si="1"/>
        <v>1.7524999999935971</v>
      </c>
      <c r="N19" s="15" t="str">
        <f>IF(Table26832346[[#This Row],[Fault Type]]="PM",IF(L19&lt;=(D19-C19),"Yes","No"),"")</f>
        <v/>
      </c>
      <c r="O19" s="16" t="str">
        <f t="shared" si="2"/>
        <v/>
      </c>
      <c r="P1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19" s="130"/>
    </row>
    <row r="20" spans="1:17" ht="15.5" x14ac:dyDescent="0.35">
      <c r="A20" s="4" t="s">
        <v>37</v>
      </c>
      <c r="B20" s="12" t="s">
        <v>150</v>
      </c>
      <c r="C20" s="13"/>
      <c r="D20" s="13"/>
      <c r="E20" s="13">
        <v>44775.270833333336</v>
      </c>
      <c r="F20" s="12">
        <v>13</v>
      </c>
      <c r="G20" s="159" t="s">
        <v>164</v>
      </c>
      <c r="H20" s="18" t="s">
        <v>508</v>
      </c>
      <c r="I20" s="12" t="s">
        <v>334</v>
      </c>
      <c r="J20" s="13">
        <v>44775.577777777777</v>
      </c>
      <c r="K20" s="80"/>
      <c r="L20" s="14">
        <f t="shared" si="0"/>
        <v>0.30694444444088731</v>
      </c>
      <c r="M20" s="31">
        <f t="shared" si="1"/>
        <v>3.990277777731535</v>
      </c>
      <c r="N20" s="15" t="str">
        <f>IF(Table26832346[[#This Row],[Fault Type]]="PM",IF(L20&lt;=(D20-C20),"Yes","No"),"")</f>
        <v/>
      </c>
      <c r="O20" s="16" t="str">
        <f t="shared" si="2"/>
        <v/>
      </c>
      <c r="P2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20" s="130"/>
    </row>
    <row r="21" spans="1:17" ht="15.5" x14ac:dyDescent="0.35">
      <c r="A21" s="4" t="s">
        <v>39</v>
      </c>
      <c r="B21" s="12" t="s">
        <v>150</v>
      </c>
      <c r="C21" s="13"/>
      <c r="D21" s="13"/>
      <c r="E21" s="13">
        <v>44775.271527777775</v>
      </c>
      <c r="F21" s="12">
        <v>10.7</v>
      </c>
      <c r="G21" s="159" t="s">
        <v>164</v>
      </c>
      <c r="H21" s="12" t="s">
        <v>560</v>
      </c>
      <c r="I21" s="18" t="s">
        <v>333</v>
      </c>
      <c r="J21" s="13">
        <v>44775.627083333333</v>
      </c>
      <c r="K21" s="32"/>
      <c r="L21" s="14">
        <f t="shared" si="0"/>
        <v>0.3555555555576575</v>
      </c>
      <c r="M21" s="31">
        <f t="shared" si="1"/>
        <v>3.804444444466935</v>
      </c>
      <c r="N21" s="15" t="str">
        <f>IF(Table26832346[[#This Row],[Fault Type]]="PM",IF(L21&lt;=(D21-C21),"Yes","No"),"")</f>
        <v/>
      </c>
      <c r="O21" s="16" t="str">
        <f t="shared" si="2"/>
        <v/>
      </c>
      <c r="P2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21" s="130"/>
    </row>
    <row r="22" spans="1:17" ht="15.5" x14ac:dyDescent="0.35">
      <c r="A22" s="4" t="s">
        <v>32</v>
      </c>
      <c r="B22" s="12" t="s">
        <v>150</v>
      </c>
      <c r="C22" s="13"/>
      <c r="D22" s="13"/>
      <c r="E22" s="13">
        <v>44775.275694444441</v>
      </c>
      <c r="F22" s="12"/>
      <c r="G22" s="159" t="s">
        <v>162</v>
      </c>
      <c r="H22" s="12" t="s">
        <v>561</v>
      </c>
      <c r="I22" s="12" t="s">
        <v>334</v>
      </c>
      <c r="J22" s="13">
        <v>44775.304861111108</v>
      </c>
      <c r="K22" s="32"/>
      <c r="L22" s="14">
        <f t="shared" si="0"/>
        <v>2.9166666667151731E-2</v>
      </c>
      <c r="M22" s="31">
        <f t="shared" si="1"/>
        <v>0</v>
      </c>
      <c r="N22" s="15" t="str">
        <f>IF(Table26832346[[#This Row],[Fault Type]]="PM",IF(L22&lt;=(D22-C22),"Yes","No"),"")</f>
        <v/>
      </c>
      <c r="O22" s="16" t="str">
        <f t="shared" si="2"/>
        <v/>
      </c>
      <c r="P2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2" s="17"/>
    </row>
    <row r="23" spans="1:17" ht="15.5" x14ac:dyDescent="0.35">
      <c r="A23" s="4" t="s">
        <v>29</v>
      </c>
      <c r="B23" s="12" t="s">
        <v>150</v>
      </c>
      <c r="C23" s="13"/>
      <c r="D23" s="13"/>
      <c r="E23" s="13">
        <v>44775.279861111114</v>
      </c>
      <c r="F23" s="12">
        <v>26</v>
      </c>
      <c r="G23" s="159" t="s">
        <v>162</v>
      </c>
      <c r="H23" s="12" t="s">
        <v>526</v>
      </c>
      <c r="I23" s="18" t="s">
        <v>526</v>
      </c>
      <c r="J23" s="13">
        <v>44775.576388888891</v>
      </c>
      <c r="K23" s="32"/>
      <c r="L23" s="14">
        <f t="shared" si="0"/>
        <v>0.29652777777664596</v>
      </c>
      <c r="M23" s="31">
        <f t="shared" si="1"/>
        <v>7.709722222192795</v>
      </c>
      <c r="N23" s="15" t="str">
        <f>IF(Table26832346[[#This Row],[Fault Type]]="PM",IF(L23&lt;=(D23-C23),"Yes","No"),"")</f>
        <v/>
      </c>
      <c r="O23" s="16" t="str">
        <f t="shared" si="2"/>
        <v/>
      </c>
      <c r="P2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23" s="17"/>
    </row>
    <row r="24" spans="1:17" ht="15.5" x14ac:dyDescent="0.35">
      <c r="A24" s="4" t="s">
        <v>60</v>
      </c>
      <c r="B24" s="12" t="s">
        <v>150</v>
      </c>
      <c r="C24" s="13"/>
      <c r="D24" s="13"/>
      <c r="E24" s="13">
        <v>44775.287499999999</v>
      </c>
      <c r="F24" s="18">
        <v>2.4</v>
      </c>
      <c r="G24" s="159" t="s">
        <v>164</v>
      </c>
      <c r="H24" s="18" t="s">
        <v>562</v>
      </c>
      <c r="I24" s="18" t="s">
        <v>333</v>
      </c>
      <c r="J24" s="13">
        <v>44775.401388888888</v>
      </c>
      <c r="K24" s="32"/>
      <c r="L24" s="14">
        <f t="shared" si="0"/>
        <v>0.11388888888905058</v>
      </c>
      <c r="M24" s="31">
        <f t="shared" si="1"/>
        <v>0.2733333333337214</v>
      </c>
      <c r="N24" s="15" t="str">
        <f>IF(Table26832346[[#This Row],[Fault Type]]="PM",IF(L24&lt;=(D24-C24),"Yes","No"),"")</f>
        <v/>
      </c>
      <c r="O24" s="16" t="str">
        <f t="shared" si="2"/>
        <v/>
      </c>
      <c r="P2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4" s="17"/>
    </row>
    <row r="25" spans="1:17" ht="15.5" x14ac:dyDescent="0.35">
      <c r="A25" s="4" t="s">
        <v>31</v>
      </c>
      <c r="B25" s="12" t="s">
        <v>150</v>
      </c>
      <c r="C25" s="13"/>
      <c r="D25" s="13"/>
      <c r="E25" s="13">
        <v>44775.290972222225</v>
      </c>
      <c r="F25" s="18">
        <v>9.1999999999999993</v>
      </c>
      <c r="G25" s="159" t="s">
        <v>164</v>
      </c>
      <c r="H25" s="18" t="s">
        <v>508</v>
      </c>
      <c r="I25" s="54" t="s">
        <v>334</v>
      </c>
      <c r="J25" s="13">
        <v>44775.481944444444</v>
      </c>
      <c r="K25" s="80"/>
      <c r="L25" s="14">
        <f t="shared" si="0"/>
        <v>0.19097222221898846</v>
      </c>
      <c r="M25" s="31">
        <f>L25*F25</f>
        <v>1.7569444444146938</v>
      </c>
      <c r="N25" s="15" t="str">
        <f>IF(Table26832346[[#This Row],[Fault Type]]="PM",IF(L25&lt;=(D25-C25),"Yes","No"),"")</f>
        <v/>
      </c>
      <c r="O25" s="16" t="str">
        <f t="shared" si="2"/>
        <v/>
      </c>
      <c r="P2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5" s="17"/>
    </row>
    <row r="26" spans="1:17" s="116" customFormat="1" ht="15.5" x14ac:dyDescent="0.35">
      <c r="A26" s="124" t="s">
        <v>20</v>
      </c>
      <c r="B26" s="125" t="s">
        <v>150</v>
      </c>
      <c r="C26" s="126"/>
      <c r="D26" s="126"/>
      <c r="E26" s="126">
        <v>44775.291666666664</v>
      </c>
      <c r="F26" s="127">
        <v>25</v>
      </c>
      <c r="G26" s="159" t="s">
        <v>162</v>
      </c>
      <c r="H26" s="127" t="s">
        <v>508</v>
      </c>
      <c r="I26" s="113" t="s">
        <v>334</v>
      </c>
      <c r="J26" s="126">
        <v>44775.525000000001</v>
      </c>
      <c r="K26" s="115"/>
      <c r="L26" s="14">
        <f>J26-E26</f>
        <v>0.23333333333721384</v>
      </c>
      <c r="M26" s="31">
        <f>L26*F26</f>
        <v>5.8333333334303461</v>
      </c>
      <c r="N26" s="15" t="str">
        <f>IF(Table26832346[[#This Row],[Fault Type]]="PM",IF(L26&lt;=(D26-C26),"Yes","No"),"")</f>
        <v/>
      </c>
      <c r="O26" s="16" t="str">
        <f>IF(N26="No",(L26-(D26-C26)),"")</f>
        <v/>
      </c>
      <c r="P2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6" s="130"/>
    </row>
    <row r="27" spans="1:17" s="116" customFormat="1" ht="15.5" x14ac:dyDescent="0.35">
      <c r="A27" s="124" t="s">
        <v>563</v>
      </c>
      <c r="B27" s="125" t="s">
        <v>158</v>
      </c>
      <c r="C27" s="126"/>
      <c r="D27" s="126"/>
      <c r="E27" s="126">
        <v>44775.295138888891</v>
      </c>
      <c r="F27" s="127"/>
      <c r="G27" s="159" t="s">
        <v>162</v>
      </c>
      <c r="H27" s="127" t="s">
        <v>564</v>
      </c>
      <c r="I27" s="113" t="s">
        <v>333</v>
      </c>
      <c r="J27" s="126">
        <v>44775.39166666667</v>
      </c>
      <c r="K27" s="115"/>
      <c r="L27" s="14">
        <f>J27-E27</f>
        <v>9.6527777779556345E-2</v>
      </c>
      <c r="M27" s="31">
        <f>L27*F27</f>
        <v>0</v>
      </c>
      <c r="N27" s="15" t="str">
        <f>IF(Table26832346[[#This Row],[Fault Type]]="PM",IF(L27&lt;=(D27-C27),"Yes","No"),"")</f>
        <v/>
      </c>
      <c r="O27" s="16" t="str">
        <f>IF(N27="No",(L27-(D27-C27)),"")</f>
        <v/>
      </c>
      <c r="P27"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27" s="130"/>
    </row>
    <row r="28" spans="1:17" ht="15.5" x14ac:dyDescent="0.35">
      <c r="A28" s="4" t="s">
        <v>84</v>
      </c>
      <c r="B28" s="12" t="s">
        <v>150</v>
      </c>
      <c r="C28" s="13"/>
      <c r="D28" s="13"/>
      <c r="E28" s="13">
        <v>44775.310416666667</v>
      </c>
      <c r="F28" s="12">
        <v>2.5</v>
      </c>
      <c r="G28" s="159" t="s">
        <v>164</v>
      </c>
      <c r="H28" s="12" t="s">
        <v>565</v>
      </c>
      <c r="I28" s="18" t="s">
        <v>333</v>
      </c>
      <c r="J28" s="13">
        <v>44775.424305555556</v>
      </c>
      <c r="K28" s="32"/>
      <c r="L28" s="14">
        <f t="shared" si="0"/>
        <v>0.11388888888905058</v>
      </c>
      <c r="M28" s="31">
        <f>L28*F28</f>
        <v>0.28472222222262644</v>
      </c>
      <c r="N28" s="15" t="str">
        <f>IF(Table26832346[[#This Row],[Fault Type]]="PM",IF(L28&lt;=(D28-C28),"Yes","No"),"")</f>
        <v/>
      </c>
      <c r="O28" s="16" t="str">
        <f t="shared" si="2"/>
        <v/>
      </c>
      <c r="P2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8" s="17"/>
    </row>
    <row r="29" spans="1:17" ht="15.5" x14ac:dyDescent="0.35">
      <c r="A29" s="4" t="s">
        <v>30</v>
      </c>
      <c r="B29" s="12" t="s">
        <v>150</v>
      </c>
      <c r="C29" s="13"/>
      <c r="D29" s="13"/>
      <c r="E29" s="13">
        <v>44775.315972222219</v>
      </c>
      <c r="F29" s="12">
        <v>6</v>
      </c>
      <c r="G29" s="159" t="s">
        <v>164</v>
      </c>
      <c r="H29" s="18" t="s">
        <v>566</v>
      </c>
      <c r="I29" s="18" t="s">
        <v>334</v>
      </c>
      <c r="J29" s="13">
        <v>44775.392361111109</v>
      </c>
      <c r="K29" s="32"/>
      <c r="L29" s="14">
        <f t="shared" si="0"/>
        <v>7.6388888890505768E-2</v>
      </c>
      <c r="M29" s="31">
        <f>L29*F29</f>
        <v>0.45833333334303461</v>
      </c>
      <c r="N29" s="15" t="str">
        <f>IF(Table26832346[[#This Row],[Fault Type]]="PM",IF(L29&lt;=(D29-C29),"Yes","No"),"")</f>
        <v/>
      </c>
      <c r="O29" s="16" t="str">
        <f t="shared" si="2"/>
        <v/>
      </c>
      <c r="P2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29" s="17"/>
    </row>
    <row r="30" spans="1:17" ht="15.5" x14ac:dyDescent="0.35">
      <c r="A30" s="4" t="s">
        <v>41</v>
      </c>
      <c r="B30" s="12" t="s">
        <v>150</v>
      </c>
      <c r="C30" s="13"/>
      <c r="D30" s="13"/>
      <c r="E30" s="13">
        <v>44775.322222222225</v>
      </c>
      <c r="F30" s="18">
        <v>9.6999999999999993</v>
      </c>
      <c r="G30" s="159" t="s">
        <v>164</v>
      </c>
      <c r="H30" s="18" t="s">
        <v>567</v>
      </c>
      <c r="I30" s="18" t="s">
        <v>334</v>
      </c>
      <c r="J30" s="13">
        <v>44775.527777777781</v>
      </c>
      <c r="K30" s="32"/>
      <c r="L30" s="14">
        <f t="shared" si="0"/>
        <v>0.20555555555620231</v>
      </c>
      <c r="M30" s="31">
        <f t="shared" ref="M30:M87" si="3">L30*F30</f>
        <v>1.9938888888951622</v>
      </c>
      <c r="N30" s="15" t="str">
        <f>IF(Table26832346[[#This Row],[Fault Type]]="PM",IF(L30&lt;=(D30-C30),"Yes","No"),"")</f>
        <v/>
      </c>
      <c r="O30" s="16" t="str">
        <f t="shared" si="2"/>
        <v/>
      </c>
      <c r="P3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0" s="17"/>
    </row>
    <row r="31" spans="1:17" ht="15.5" x14ac:dyDescent="0.35">
      <c r="A31" s="4" t="s">
        <v>120</v>
      </c>
      <c r="B31" s="12" t="s">
        <v>150</v>
      </c>
      <c r="C31" s="13"/>
      <c r="D31" s="13"/>
      <c r="E31" s="13">
        <v>44775.395833333336</v>
      </c>
      <c r="F31" s="84">
        <v>4.0999999999999996</v>
      </c>
      <c r="G31" s="159" t="s">
        <v>164</v>
      </c>
      <c r="H31" s="54" t="s">
        <v>568</v>
      </c>
      <c r="I31" s="18" t="s">
        <v>334</v>
      </c>
      <c r="J31" s="13">
        <v>44775.477777777778</v>
      </c>
      <c r="K31" s="32"/>
      <c r="L31" s="14">
        <f t="shared" si="0"/>
        <v>8.1944444442342501E-2</v>
      </c>
      <c r="M31" s="31">
        <f t="shared" si="3"/>
        <v>0.33597222221360423</v>
      </c>
      <c r="N31" s="15" t="str">
        <f>IF(Table26832346[[#This Row],[Fault Type]]="PM",IF(L31&lt;=(D31-C31),"Yes","No"),"")</f>
        <v/>
      </c>
      <c r="O31" s="16" t="str">
        <f t="shared" si="2"/>
        <v/>
      </c>
      <c r="P3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1" s="17"/>
    </row>
    <row r="32" spans="1:17" ht="15.5" x14ac:dyDescent="0.35">
      <c r="A32" s="4" t="s">
        <v>119</v>
      </c>
      <c r="B32" s="12" t="s">
        <v>150</v>
      </c>
      <c r="C32" s="13"/>
      <c r="D32" s="13"/>
      <c r="E32" s="13">
        <v>44775.398611111108</v>
      </c>
      <c r="F32" s="84">
        <v>2.4</v>
      </c>
      <c r="G32" s="159" t="s">
        <v>164</v>
      </c>
      <c r="H32" s="54" t="s">
        <v>569</v>
      </c>
      <c r="I32" s="18" t="s">
        <v>334</v>
      </c>
      <c r="J32" s="13">
        <v>44775.522222222222</v>
      </c>
      <c r="K32" s="32"/>
      <c r="L32" s="14">
        <f>J32-E32</f>
        <v>0.12361111111385981</v>
      </c>
      <c r="M32" s="31">
        <f>L32*F32</f>
        <v>0.29666666667326352</v>
      </c>
      <c r="N32" s="15" t="str">
        <f>IF(Table26832346[[#This Row],[Fault Type]]="PM",IF(L32&lt;=(D32-C32),"Yes","No"),"")</f>
        <v/>
      </c>
      <c r="O32" s="16" t="str">
        <f>IF(N32="No",(L32-(D32-C32)),"")</f>
        <v/>
      </c>
      <c r="P3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2" s="17"/>
    </row>
    <row r="33" spans="1:17" ht="15.5" x14ac:dyDescent="0.35">
      <c r="A33" s="4" t="s">
        <v>30</v>
      </c>
      <c r="B33" s="12" t="s">
        <v>150</v>
      </c>
      <c r="C33" s="13"/>
      <c r="D33" s="13"/>
      <c r="E33" s="13">
        <v>44775.442361111112</v>
      </c>
      <c r="F33" s="84">
        <v>5.6</v>
      </c>
      <c r="G33" s="159" t="s">
        <v>164</v>
      </c>
      <c r="H33" s="54" t="s">
        <v>570</v>
      </c>
      <c r="I33" s="18" t="s">
        <v>334</v>
      </c>
      <c r="J33" s="13">
        <v>44775.565972222219</v>
      </c>
      <c r="K33" s="80"/>
      <c r="L33" s="14">
        <f t="shared" si="0"/>
        <v>0.12361111110658385</v>
      </c>
      <c r="M33" s="31">
        <f t="shared" si="3"/>
        <v>0.69222222219686946</v>
      </c>
      <c r="N33" s="15" t="str">
        <f>IF(Table26832346[[#This Row],[Fault Type]]="PM",IF(L33&lt;=(D33-C33),"Yes","No"),"")</f>
        <v/>
      </c>
      <c r="O33" s="16" t="str">
        <f t="shared" si="2"/>
        <v/>
      </c>
      <c r="P3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3" s="17"/>
    </row>
    <row r="34" spans="1:17" ht="15.5" x14ac:dyDescent="0.35">
      <c r="A34" s="4" t="s">
        <v>571</v>
      </c>
      <c r="B34" s="12" t="s">
        <v>150</v>
      </c>
      <c r="C34" s="13"/>
      <c r="D34" s="13"/>
      <c r="E34" s="13">
        <v>44775.451388888891</v>
      </c>
      <c r="F34" s="18">
        <v>0.1</v>
      </c>
      <c r="G34" s="159" t="s">
        <v>164</v>
      </c>
      <c r="H34" s="86" t="s">
        <v>572</v>
      </c>
      <c r="I34" s="12" t="s">
        <v>333</v>
      </c>
      <c r="J34" s="13">
        <v>44775.571527777778</v>
      </c>
      <c r="K34" s="32"/>
      <c r="L34" s="14">
        <f t="shared" si="0"/>
        <v>0.12013888888759539</v>
      </c>
      <c r="M34" s="31">
        <f t="shared" si="3"/>
        <v>1.2013888888759539E-2</v>
      </c>
      <c r="N34" s="15" t="str">
        <f>IF(Table26832346[[#This Row],[Fault Type]]="PM",IF(L34&lt;=(D34-C34),"Yes","No"),"")</f>
        <v/>
      </c>
      <c r="O34" s="16" t="str">
        <f t="shared" si="2"/>
        <v/>
      </c>
      <c r="P34"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34" s="17"/>
    </row>
    <row r="35" spans="1:17" ht="15.5" x14ac:dyDescent="0.35">
      <c r="A35" s="4" t="s">
        <v>21</v>
      </c>
      <c r="B35" s="12" t="s">
        <v>158</v>
      </c>
      <c r="C35" s="13"/>
      <c r="D35" s="13"/>
      <c r="E35" s="13">
        <v>44775.472222222219</v>
      </c>
      <c r="F35" s="18">
        <v>11.9</v>
      </c>
      <c r="G35" s="159"/>
      <c r="H35" s="18" t="s">
        <v>573</v>
      </c>
      <c r="I35" s="18" t="s">
        <v>333</v>
      </c>
      <c r="J35" s="13">
        <v>44775.494444444441</v>
      </c>
      <c r="K35" s="32"/>
      <c r="L35" s="14">
        <f t="shared" si="0"/>
        <v>2.2222222221898846E-2</v>
      </c>
      <c r="M35" s="31">
        <f t="shared" si="3"/>
        <v>0.26444444444059628</v>
      </c>
      <c r="N35" s="15" t="str">
        <f>IF(Table26832346[[#This Row],[Fault Type]]="PM",IF(L35&lt;=(D35-C35),"Yes","No"),"")</f>
        <v/>
      </c>
      <c r="O35" s="16" t="str">
        <f t="shared" si="2"/>
        <v/>
      </c>
      <c r="P3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5" s="17"/>
    </row>
    <row r="36" spans="1:17" ht="15.5" x14ac:dyDescent="0.35">
      <c r="A36" s="4" t="s">
        <v>32</v>
      </c>
      <c r="B36" s="12" t="s">
        <v>158</v>
      </c>
      <c r="C36" s="13"/>
      <c r="D36" s="13"/>
      <c r="E36" s="13">
        <v>44775.478472222225</v>
      </c>
      <c r="F36" s="18">
        <v>13.2</v>
      </c>
      <c r="G36" s="159"/>
      <c r="H36" s="18" t="s">
        <v>574</v>
      </c>
      <c r="I36" s="18" t="s">
        <v>334</v>
      </c>
      <c r="J36" s="13">
        <v>44775.480555555558</v>
      </c>
      <c r="K36" s="32"/>
      <c r="L36" s="14">
        <f t="shared" si="0"/>
        <v>2.0833333328482695E-3</v>
      </c>
      <c r="M36" s="31">
        <f t="shared" si="3"/>
        <v>2.7499999993597157E-2</v>
      </c>
      <c r="N36" s="15" t="str">
        <f>IF(Table26832346[[#This Row],[Fault Type]]="PM",IF(L36&lt;=(D36-C36),"Yes","No"),"")</f>
        <v/>
      </c>
      <c r="O36" s="16" t="str">
        <f t="shared" si="2"/>
        <v/>
      </c>
      <c r="P3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6" s="17"/>
    </row>
    <row r="37" spans="1:17" ht="15.5" x14ac:dyDescent="0.35">
      <c r="A37" s="4" t="s">
        <v>86</v>
      </c>
      <c r="B37" s="12" t="s">
        <v>150</v>
      </c>
      <c r="C37" s="13"/>
      <c r="D37" s="13"/>
      <c r="E37" s="13">
        <v>44775.493055555555</v>
      </c>
      <c r="F37" s="18">
        <v>3.4</v>
      </c>
      <c r="G37" s="159" t="s">
        <v>164</v>
      </c>
      <c r="H37" s="18" t="s">
        <v>575</v>
      </c>
      <c r="I37" s="12" t="s">
        <v>333</v>
      </c>
      <c r="J37" s="13">
        <v>44777.489583333336</v>
      </c>
      <c r="K37" s="32"/>
      <c r="L37" s="14">
        <f t="shared" si="0"/>
        <v>1.9965277777810115</v>
      </c>
      <c r="M37" s="31">
        <f t="shared" si="3"/>
        <v>6.7881944444554394</v>
      </c>
      <c r="N37" s="15" t="str">
        <f>IF(Table26832346[[#This Row],[Fault Type]]="PM",IF(L37&lt;=(D37-C37),"Yes","No"),"")</f>
        <v/>
      </c>
      <c r="O37" s="16" t="str">
        <f t="shared" si="2"/>
        <v/>
      </c>
      <c r="P3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37" s="17"/>
    </row>
    <row r="38" spans="1:17" ht="15.5" x14ac:dyDescent="0.35">
      <c r="A38" s="4" t="s">
        <v>21</v>
      </c>
      <c r="B38" s="12" t="s">
        <v>158</v>
      </c>
      <c r="C38" s="13"/>
      <c r="D38" s="13"/>
      <c r="E38" s="13">
        <v>44775.504166666666</v>
      </c>
      <c r="F38" s="18">
        <v>11.4</v>
      </c>
      <c r="G38" s="159"/>
      <c r="H38" s="18" t="s">
        <v>576</v>
      </c>
      <c r="I38" s="18" t="s">
        <v>333</v>
      </c>
      <c r="J38" s="13">
        <v>44775.543749999997</v>
      </c>
      <c r="K38" s="32"/>
      <c r="L38" s="14">
        <f t="shared" si="0"/>
        <v>3.9583333331393078E-2</v>
      </c>
      <c r="M38" s="31">
        <f t="shared" si="3"/>
        <v>0.45124999997788112</v>
      </c>
      <c r="N38" s="15" t="str">
        <f>IF(Table26832346[[#This Row],[Fault Type]]="PM",IF(L38&lt;=(D38-C38),"Yes","No"),"")</f>
        <v/>
      </c>
      <c r="O38" s="16" t="str">
        <f t="shared" si="2"/>
        <v/>
      </c>
      <c r="P3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8" s="17"/>
    </row>
    <row r="39" spans="1:17" ht="15.5" x14ac:dyDescent="0.35">
      <c r="A39" s="4" t="s">
        <v>18</v>
      </c>
      <c r="B39" s="12" t="s">
        <v>150</v>
      </c>
      <c r="C39" s="13"/>
      <c r="D39" s="13"/>
      <c r="E39" s="13">
        <v>44775.511111111111</v>
      </c>
      <c r="F39" s="12">
        <v>4.7</v>
      </c>
      <c r="G39" s="159" t="s">
        <v>162</v>
      </c>
      <c r="H39" s="12" t="s">
        <v>577</v>
      </c>
      <c r="I39" s="18" t="s">
        <v>333</v>
      </c>
      <c r="J39" s="13">
        <v>44775.543055555558</v>
      </c>
      <c r="K39" s="32"/>
      <c r="L39" s="14">
        <f t="shared" si="0"/>
        <v>3.1944444446708076E-2</v>
      </c>
      <c r="M39" s="31">
        <f t="shared" si="3"/>
        <v>0.15013888889952795</v>
      </c>
      <c r="N39" s="15" t="str">
        <f>IF(Table26832346[[#This Row],[Fault Type]]="PM",IF(L39&lt;=(D39-C39),"Yes","No"),"")</f>
        <v/>
      </c>
      <c r="O39" s="16" t="str">
        <f t="shared" si="2"/>
        <v/>
      </c>
      <c r="P3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39" s="17"/>
    </row>
    <row r="40" spans="1:17" ht="15.5" x14ac:dyDescent="0.35">
      <c r="A40" s="4" t="s">
        <v>449</v>
      </c>
      <c r="B40" s="12" t="s">
        <v>150</v>
      </c>
      <c r="C40" s="13"/>
      <c r="D40" s="13"/>
      <c r="E40" s="13">
        <v>44775.531944444447</v>
      </c>
      <c r="F40" s="18"/>
      <c r="G40" s="159" t="s">
        <v>162</v>
      </c>
      <c r="H40" s="18" t="s">
        <v>578</v>
      </c>
      <c r="I40" s="18" t="s">
        <v>334</v>
      </c>
      <c r="J40" s="13">
        <v>44775.647916666669</v>
      </c>
      <c r="K40" s="32"/>
      <c r="L40" s="14">
        <f t="shared" si="0"/>
        <v>0.11597222222189885</v>
      </c>
      <c r="M40" s="31">
        <f t="shared" si="3"/>
        <v>0</v>
      </c>
      <c r="N40" s="15" t="str">
        <f>IF(Table26832346[[#This Row],[Fault Type]]="PM",IF(L40&lt;=(D40-C40),"Yes","No"),"")</f>
        <v/>
      </c>
      <c r="O40" s="16" t="str">
        <f t="shared" si="2"/>
        <v/>
      </c>
      <c r="P4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0" s="17"/>
    </row>
    <row r="41" spans="1:17" ht="15.5" x14ac:dyDescent="0.35">
      <c r="A41" s="4" t="s">
        <v>112</v>
      </c>
      <c r="B41" s="12" t="s">
        <v>150</v>
      </c>
      <c r="C41" s="13"/>
      <c r="D41" s="13"/>
      <c r="E41" s="13">
        <v>44775.543055555558</v>
      </c>
      <c r="F41" s="18">
        <v>1.5</v>
      </c>
      <c r="G41" s="159" t="s">
        <v>164</v>
      </c>
      <c r="H41" s="18" t="s">
        <v>508</v>
      </c>
      <c r="I41" s="18" t="s">
        <v>334</v>
      </c>
      <c r="J41" s="13">
        <v>44775.696527777778</v>
      </c>
      <c r="K41" s="32"/>
      <c r="L41" s="14">
        <f t="shared" si="0"/>
        <v>0.15347222222044365</v>
      </c>
      <c r="M41" s="31">
        <f t="shared" si="3"/>
        <v>0.23020833333066548</v>
      </c>
      <c r="N41" s="15" t="str">
        <f>IF(Table26832346[[#This Row],[Fault Type]]="PM",IF(L41&lt;=(D41-C41),"Yes","No"),"")</f>
        <v/>
      </c>
      <c r="O41" s="16" t="str">
        <f t="shared" si="2"/>
        <v/>
      </c>
      <c r="P4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1" s="17"/>
    </row>
    <row r="42" spans="1:17" ht="15.5" x14ac:dyDescent="0.35">
      <c r="A42" s="4" t="s">
        <v>109</v>
      </c>
      <c r="B42" s="12" t="s">
        <v>150</v>
      </c>
      <c r="C42" s="13"/>
      <c r="D42" s="13"/>
      <c r="E42" s="13">
        <v>44775.544444444444</v>
      </c>
      <c r="F42" s="12"/>
      <c r="G42" s="159" t="s">
        <v>164</v>
      </c>
      <c r="H42" s="12" t="s">
        <v>579</v>
      </c>
      <c r="I42" s="18" t="s">
        <v>333</v>
      </c>
      <c r="J42" s="13">
        <v>44775.6875</v>
      </c>
      <c r="K42" s="32"/>
      <c r="L42" s="14">
        <f t="shared" si="0"/>
        <v>0.14305555555620231</v>
      </c>
      <c r="M42" s="31">
        <f t="shared" si="3"/>
        <v>0</v>
      </c>
      <c r="N42" s="15" t="str">
        <f>IF(Table26832346[[#This Row],[Fault Type]]="PM",IF(L42&lt;=(D42-C42),"Yes","No"),"")</f>
        <v/>
      </c>
      <c r="O42" s="16" t="str">
        <f t="shared" si="2"/>
        <v/>
      </c>
      <c r="P4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2" s="17"/>
    </row>
    <row r="43" spans="1:17" ht="15.5" x14ac:dyDescent="0.35">
      <c r="A43" s="4" t="s">
        <v>580</v>
      </c>
      <c r="B43" s="12" t="s">
        <v>158</v>
      </c>
      <c r="C43" s="13"/>
      <c r="D43" s="13"/>
      <c r="E43" s="13">
        <v>44775.5625</v>
      </c>
      <c r="F43" s="12">
        <v>4.4000000000000004</v>
      </c>
      <c r="G43" s="159"/>
      <c r="H43" s="18" t="s">
        <v>581</v>
      </c>
      <c r="I43" s="18" t="s">
        <v>333</v>
      </c>
      <c r="J43" s="13">
        <v>44775.634722222225</v>
      </c>
      <c r="K43" s="80"/>
      <c r="L43" s="14">
        <f t="shared" si="0"/>
        <v>7.2222222224809229E-2</v>
      </c>
      <c r="M43" s="31">
        <f t="shared" si="3"/>
        <v>0.31777777778916061</v>
      </c>
      <c r="N43" s="15" t="str">
        <f>IF(Table26832346[[#This Row],[Fault Type]]="PM",IF(L43&lt;=(D43-C43),"Yes","No"),"")</f>
        <v/>
      </c>
      <c r="O43" s="16" t="str">
        <f t="shared" si="2"/>
        <v/>
      </c>
      <c r="P43"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43" s="17"/>
    </row>
    <row r="44" spans="1:17" ht="15.5" x14ac:dyDescent="0.35">
      <c r="A44" s="4" t="s">
        <v>85</v>
      </c>
      <c r="B44" s="12" t="s">
        <v>158</v>
      </c>
      <c r="C44" s="13"/>
      <c r="D44" s="13"/>
      <c r="E44" s="13">
        <v>44775.572916666664</v>
      </c>
      <c r="F44" s="18">
        <v>4.2</v>
      </c>
      <c r="G44" s="159"/>
      <c r="H44" s="18" t="s">
        <v>582</v>
      </c>
      <c r="I44" s="18" t="s">
        <v>333</v>
      </c>
      <c r="J44" s="13">
        <v>44775.619444444441</v>
      </c>
      <c r="K44" s="32"/>
      <c r="L44" s="14">
        <f t="shared" si="0"/>
        <v>4.6527777776645962E-2</v>
      </c>
      <c r="M44" s="31">
        <f t="shared" si="3"/>
        <v>0.19541666666191304</v>
      </c>
      <c r="N44" s="15" t="str">
        <f>IF(Table26832346[[#This Row],[Fault Type]]="PM",IF(L44&lt;=(D44-C44),"Yes","No"),"")</f>
        <v/>
      </c>
      <c r="O44" s="16" t="str">
        <f t="shared" si="2"/>
        <v/>
      </c>
      <c r="P4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4" s="17"/>
    </row>
    <row r="45" spans="1:17" ht="15.5" x14ac:dyDescent="0.35">
      <c r="A45" s="4" t="s">
        <v>361</v>
      </c>
      <c r="B45" s="12" t="s">
        <v>158</v>
      </c>
      <c r="C45" s="13"/>
      <c r="D45" s="13"/>
      <c r="E45" s="13">
        <v>44775.576388888891</v>
      </c>
      <c r="F45" s="18"/>
      <c r="G45" s="159"/>
      <c r="H45" s="18" t="s">
        <v>583</v>
      </c>
      <c r="I45" s="18"/>
      <c r="J45" s="13">
        <v>44775.628472222219</v>
      </c>
      <c r="K45" s="32"/>
      <c r="L45" s="14">
        <f t="shared" si="0"/>
        <v>5.2083333328482695E-2</v>
      </c>
      <c r="M45" s="31">
        <f t="shared" si="3"/>
        <v>0</v>
      </c>
      <c r="N45" s="15" t="str">
        <f>IF(Table26832346[[#This Row],[Fault Type]]="PM",IF(L45&lt;=(D45-C45),"Yes","No"),"")</f>
        <v/>
      </c>
      <c r="O45" s="16" t="str">
        <f t="shared" si="2"/>
        <v/>
      </c>
      <c r="P4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5" s="17"/>
    </row>
    <row r="46" spans="1:17" ht="15.5" x14ac:dyDescent="0.35">
      <c r="A46" s="4" t="s">
        <v>93</v>
      </c>
      <c r="B46" s="12" t="s">
        <v>158</v>
      </c>
      <c r="C46" s="13"/>
      <c r="D46" s="13"/>
      <c r="E46" s="13">
        <v>44775.597222222219</v>
      </c>
      <c r="F46" s="18">
        <v>2.2999999999999998</v>
      </c>
      <c r="G46" s="159" t="s">
        <v>162</v>
      </c>
      <c r="H46" s="18" t="s">
        <v>584</v>
      </c>
      <c r="I46" s="18" t="s">
        <v>333</v>
      </c>
      <c r="J46" s="13">
        <v>44775.672222222223</v>
      </c>
      <c r="K46" s="32"/>
      <c r="L46" s="14">
        <f t="shared" si="0"/>
        <v>7.5000000004365575E-2</v>
      </c>
      <c r="M46" s="31">
        <f t="shared" si="3"/>
        <v>0.17250000001004082</v>
      </c>
      <c r="N46" s="15" t="str">
        <f>IF(Table26832346[[#This Row],[Fault Type]]="PM",IF(L46&lt;=(D46-C46),"Yes","No"),"")</f>
        <v/>
      </c>
      <c r="O46" s="16" t="str">
        <f t="shared" si="2"/>
        <v/>
      </c>
      <c r="P4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6" s="17"/>
    </row>
    <row r="47" spans="1:17" ht="15.5" x14ac:dyDescent="0.35">
      <c r="A47" s="4" t="s">
        <v>70</v>
      </c>
      <c r="B47" s="12" t="s">
        <v>150</v>
      </c>
      <c r="C47" s="13"/>
      <c r="D47" s="13"/>
      <c r="E47" s="13">
        <v>44775.585416666669</v>
      </c>
      <c r="F47" s="18">
        <v>2.2999999999999998</v>
      </c>
      <c r="G47" s="159" t="s">
        <v>163</v>
      </c>
      <c r="H47" s="18" t="s">
        <v>585</v>
      </c>
      <c r="I47" s="18" t="s">
        <v>333</v>
      </c>
      <c r="J47" s="13">
        <v>44775.816666666666</v>
      </c>
      <c r="K47" s="32"/>
      <c r="L47" s="14">
        <f t="shared" si="0"/>
        <v>0.23124999999708962</v>
      </c>
      <c r="M47" s="31">
        <f t="shared" si="3"/>
        <v>0.53187499999330612</v>
      </c>
      <c r="N47" s="15" t="str">
        <f>IF(Table26832346[[#This Row],[Fault Type]]="PM",IF(L47&lt;=(D47-C47),"Yes","No"),"")</f>
        <v/>
      </c>
      <c r="O47" s="16" t="str">
        <f t="shared" si="2"/>
        <v/>
      </c>
      <c r="P4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47" s="17"/>
    </row>
    <row r="48" spans="1:17" ht="15.5" x14ac:dyDescent="0.35">
      <c r="A48" s="4" t="s">
        <v>316</v>
      </c>
      <c r="B48" s="12" t="s">
        <v>150</v>
      </c>
      <c r="C48" s="13"/>
      <c r="D48" s="13"/>
      <c r="E48" s="13">
        <v>44775.597222222219</v>
      </c>
      <c r="F48" s="18">
        <v>1.8</v>
      </c>
      <c r="G48" s="159" t="s">
        <v>164</v>
      </c>
      <c r="H48" s="18" t="s">
        <v>586</v>
      </c>
      <c r="I48" s="18" t="s">
        <v>334</v>
      </c>
      <c r="J48" s="13">
        <v>44775.852083333331</v>
      </c>
      <c r="K48" s="32"/>
      <c r="L48" s="14">
        <f t="shared" si="0"/>
        <v>0.25486111111240461</v>
      </c>
      <c r="M48" s="31">
        <f t="shared" si="3"/>
        <v>0.4587500000023283</v>
      </c>
      <c r="N48" s="15" t="str">
        <f>IF(Table26832346[[#This Row],[Fault Type]]="PM",IF(L48&lt;=(D48-C48),"Yes","No"),"")</f>
        <v/>
      </c>
      <c r="O48" s="16" t="str">
        <f t="shared" si="2"/>
        <v/>
      </c>
      <c r="P4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48" s="17"/>
    </row>
    <row r="49" spans="1:17" ht="15.5" x14ac:dyDescent="0.35">
      <c r="A49" s="4" t="s">
        <v>546</v>
      </c>
      <c r="B49" s="12" t="s">
        <v>150</v>
      </c>
      <c r="C49" s="13"/>
      <c r="D49" s="13"/>
      <c r="E49" s="13">
        <v>44775.607638888891</v>
      </c>
      <c r="F49" s="18">
        <v>0</v>
      </c>
      <c r="G49" s="159" t="s">
        <v>164</v>
      </c>
      <c r="H49" s="18" t="s">
        <v>587</v>
      </c>
      <c r="I49" s="18" t="s">
        <v>333</v>
      </c>
      <c r="J49" s="13">
        <v>44775.65625</v>
      </c>
      <c r="K49" s="32"/>
      <c r="L49" s="14">
        <f t="shared" si="0"/>
        <v>4.8611111109494232E-2</v>
      </c>
      <c r="M49" s="31">
        <f t="shared" si="3"/>
        <v>0</v>
      </c>
      <c r="N49" s="15" t="str">
        <f>IF(Table26832346[[#This Row],[Fault Type]]="PM",IF(L49&lt;=(D49-C49),"Yes","No"),"")</f>
        <v/>
      </c>
      <c r="O49" s="16" t="str">
        <f t="shared" si="2"/>
        <v/>
      </c>
      <c r="P49"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49" s="17"/>
    </row>
    <row r="50" spans="1:17" ht="15.5" x14ac:dyDescent="0.35">
      <c r="A50" s="4" t="s">
        <v>71</v>
      </c>
      <c r="B50" s="12" t="s">
        <v>150</v>
      </c>
      <c r="C50" s="13"/>
      <c r="D50" s="13"/>
      <c r="E50" s="13">
        <v>44775.60833333333</v>
      </c>
      <c r="F50" s="18">
        <v>1.3</v>
      </c>
      <c r="G50" s="159" t="s">
        <v>163</v>
      </c>
      <c r="H50" s="18" t="s">
        <v>508</v>
      </c>
      <c r="I50" s="18" t="s">
        <v>334</v>
      </c>
      <c r="J50" s="13">
        <v>44775.705555555556</v>
      </c>
      <c r="K50" s="32"/>
      <c r="L50" s="14">
        <f t="shared" si="0"/>
        <v>9.7222222226264421E-2</v>
      </c>
      <c r="M50" s="31">
        <f t="shared" si="3"/>
        <v>0.12638888889414376</v>
      </c>
      <c r="N50" s="15" t="str">
        <f>IF(Table26832346[[#This Row],[Fault Type]]="PM",IF(L50&lt;=(D50-C50),"Yes","No"),"")</f>
        <v/>
      </c>
      <c r="O50" s="16" t="str">
        <f t="shared" si="2"/>
        <v/>
      </c>
      <c r="P5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50" s="17"/>
    </row>
    <row r="51" spans="1:17" ht="15.5" x14ac:dyDescent="0.35">
      <c r="A51" s="4" t="s">
        <v>442</v>
      </c>
      <c r="B51" s="12" t="s">
        <v>150</v>
      </c>
      <c r="C51" s="13"/>
      <c r="D51" s="13"/>
      <c r="E51" s="13">
        <v>44775.649305555555</v>
      </c>
      <c r="F51" s="18">
        <v>2.2999999999999998</v>
      </c>
      <c r="G51" s="159" t="s">
        <v>164</v>
      </c>
      <c r="H51" s="18"/>
      <c r="I51" s="18"/>
      <c r="J51" s="13"/>
      <c r="K51" s="32"/>
      <c r="L51" s="14">
        <f t="shared" si="0"/>
        <v>-44775.649305555555</v>
      </c>
      <c r="M51" s="31">
        <f t="shared" si="3"/>
        <v>-102983.99340277776</v>
      </c>
      <c r="N51" s="15" t="str">
        <f>IF(Table26832346[[#This Row],[Fault Type]]="PM",IF(L51&lt;=(D51-C51),"Yes","No"),"")</f>
        <v/>
      </c>
      <c r="O51" s="16" t="str">
        <f t="shared" si="2"/>
        <v/>
      </c>
      <c r="P5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51" s="17"/>
    </row>
    <row r="52" spans="1:17" ht="15.5" x14ac:dyDescent="0.35">
      <c r="A52" s="4" t="s">
        <v>87</v>
      </c>
      <c r="B52" s="12" t="s">
        <v>150</v>
      </c>
      <c r="C52" s="13"/>
      <c r="D52" s="13"/>
      <c r="E52" s="13">
        <v>44775.650694444441</v>
      </c>
      <c r="F52" s="18">
        <v>0.1</v>
      </c>
      <c r="G52" s="159" t="s">
        <v>163</v>
      </c>
      <c r="H52" s="18" t="s">
        <v>588</v>
      </c>
      <c r="I52" s="18" t="s">
        <v>589</v>
      </c>
      <c r="J52" s="13">
        <v>44775.769444444442</v>
      </c>
      <c r="K52" s="32"/>
      <c r="L52" s="14">
        <f t="shared" si="0"/>
        <v>0.11875000000145519</v>
      </c>
      <c r="M52" s="31">
        <f t="shared" si="3"/>
        <v>1.1875000000145519E-2</v>
      </c>
      <c r="N52" s="15" t="str">
        <f>IF(Table26832346[[#This Row],[Fault Type]]="PM",IF(L52&lt;=(D52-C52),"Yes","No"),"")</f>
        <v/>
      </c>
      <c r="O52" s="16" t="str">
        <f t="shared" si="2"/>
        <v/>
      </c>
      <c r="P5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52" s="17"/>
    </row>
    <row r="53" spans="1:17" ht="15.75" customHeight="1" x14ac:dyDescent="0.35">
      <c r="A53" s="4" t="s">
        <v>39</v>
      </c>
      <c r="B53" s="12" t="s">
        <v>150</v>
      </c>
      <c r="C53" s="13"/>
      <c r="D53" s="13"/>
      <c r="E53" s="13">
        <v>44775.660416666666</v>
      </c>
      <c r="F53" s="18">
        <v>14.4</v>
      </c>
      <c r="G53" s="159" t="s">
        <v>164</v>
      </c>
      <c r="H53" s="18" t="s">
        <v>590</v>
      </c>
      <c r="I53" s="12" t="s">
        <v>333</v>
      </c>
      <c r="J53" s="13">
        <v>44775.758333333331</v>
      </c>
      <c r="K53" s="32"/>
      <c r="L53" s="14">
        <f t="shared" si="0"/>
        <v>9.7916666665696539E-2</v>
      </c>
      <c r="M53" s="31">
        <f t="shared" si="3"/>
        <v>1.4099999999860302</v>
      </c>
      <c r="N53" s="15" t="str">
        <f>IF(Table26832346[[#This Row],[Fault Type]]="PM",IF(L53&lt;=(D53-C53),"Yes","No"),"")</f>
        <v/>
      </c>
      <c r="O53" s="16" t="str">
        <f t="shared" si="2"/>
        <v/>
      </c>
      <c r="P5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53" s="17"/>
    </row>
    <row r="54" spans="1:17" ht="15.5" x14ac:dyDescent="0.35">
      <c r="A54" s="4" t="s">
        <v>51</v>
      </c>
      <c r="B54" s="12" t="s">
        <v>150</v>
      </c>
      <c r="C54" s="13"/>
      <c r="D54" s="13"/>
      <c r="E54" s="13">
        <v>44775.662499999999</v>
      </c>
      <c r="F54" s="18">
        <v>2.9</v>
      </c>
      <c r="G54" s="159" t="s">
        <v>164</v>
      </c>
      <c r="H54" s="18"/>
      <c r="I54" s="18"/>
      <c r="J54" s="13"/>
      <c r="K54" s="32"/>
      <c r="L54" s="14">
        <f t="shared" si="0"/>
        <v>-44775.662499999999</v>
      </c>
      <c r="M54" s="31">
        <f t="shared" si="3"/>
        <v>-129849.42124999998</v>
      </c>
      <c r="N54" s="15" t="str">
        <f>IF(Table26832346[[#This Row],[Fault Type]]="PM",IF(L54&lt;=(D54-C54),"Yes","No"),"")</f>
        <v/>
      </c>
      <c r="O54" s="16" t="str">
        <f t="shared" si="2"/>
        <v/>
      </c>
      <c r="P5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54" s="17"/>
    </row>
    <row r="55" spans="1:17" ht="15.5" x14ac:dyDescent="0.35">
      <c r="A55" s="4" t="s">
        <v>134</v>
      </c>
      <c r="B55" s="12" t="s">
        <v>158</v>
      </c>
      <c r="C55" s="49"/>
      <c r="D55" s="49"/>
      <c r="E55" s="13">
        <v>44775.701388888891</v>
      </c>
      <c r="F55" s="18">
        <v>2.8</v>
      </c>
      <c r="G55" s="159" t="s">
        <v>162</v>
      </c>
      <c r="H55" s="18" t="s">
        <v>591</v>
      </c>
      <c r="I55" s="54" t="s">
        <v>334</v>
      </c>
      <c r="J55" s="13">
        <v>44775.720138888886</v>
      </c>
      <c r="K55" s="32"/>
      <c r="L55" s="14">
        <f t="shared" si="0"/>
        <v>1.8749999995634425E-2</v>
      </c>
      <c r="M55" s="53">
        <f t="shared" si="3"/>
        <v>5.2499999987776387E-2</v>
      </c>
      <c r="N55" s="50" t="str">
        <f>IF(Table26832346[[#This Row],[Fault Type]]="PM",IF(L55&lt;=(D55-C55),"Yes","No"),"")</f>
        <v/>
      </c>
      <c r="O55" s="51" t="str">
        <f t="shared" si="2"/>
        <v/>
      </c>
      <c r="P5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row>
    <row r="56" spans="1:17" ht="15.5" x14ac:dyDescent="0.35">
      <c r="A56" s="4" t="s">
        <v>38</v>
      </c>
      <c r="B56" s="12" t="s">
        <v>150</v>
      </c>
      <c r="C56" s="49"/>
      <c r="D56" s="49"/>
      <c r="E56" s="13">
        <v>44775.715277777781</v>
      </c>
      <c r="F56" s="18">
        <v>17.600000000000001</v>
      </c>
      <c r="G56" s="159" t="s">
        <v>163</v>
      </c>
      <c r="H56" s="18" t="s">
        <v>592</v>
      </c>
      <c r="I56" s="54" t="s">
        <v>334</v>
      </c>
      <c r="J56" s="13">
        <v>44774.943749999999</v>
      </c>
      <c r="K56" s="32"/>
      <c r="L56" s="14">
        <f>J56-E56</f>
        <v>-0.77152777778246673</v>
      </c>
      <c r="M56" s="53">
        <f>L56*F56</f>
        <v>-13.578888888971415</v>
      </c>
      <c r="N56" s="50" t="str">
        <f>IF(Table26832346[[#This Row],[Fault Type]]="PM",IF(L56&lt;=(D56-C56),"Yes","No"),"")</f>
        <v/>
      </c>
      <c r="O56" s="51" t="str">
        <f>IF(N56="No",(L56-(D56-C56)),"")</f>
        <v/>
      </c>
      <c r="P5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row>
    <row r="57" spans="1:17" ht="15.5" x14ac:dyDescent="0.35">
      <c r="A57" s="58" t="s">
        <v>546</v>
      </c>
      <c r="B57" s="12" t="s">
        <v>150</v>
      </c>
      <c r="C57" s="56"/>
      <c r="D57" s="56"/>
      <c r="E57" s="13">
        <v>44775.71597222222</v>
      </c>
      <c r="F57" s="18">
        <v>2.7</v>
      </c>
      <c r="G57" s="159" t="s">
        <v>163</v>
      </c>
      <c r="H57" s="18" t="s">
        <v>593</v>
      </c>
      <c r="I57" s="18" t="s">
        <v>589</v>
      </c>
      <c r="J57" s="13">
        <v>44775.762499999997</v>
      </c>
      <c r="K57" s="80"/>
      <c r="L57" s="14">
        <f t="shared" si="0"/>
        <v>4.6527777776645962E-2</v>
      </c>
      <c r="M57" s="59">
        <f t="shared" si="3"/>
        <v>0.1256249999969441</v>
      </c>
      <c r="N57" s="61" t="str">
        <f>IF(Table26832346[[#This Row],[Fault Type]]="PM",IF(L57&lt;=(D57-C57),"Yes","No"),"")</f>
        <v/>
      </c>
      <c r="O57" s="62" t="str">
        <f t="shared" si="2"/>
        <v/>
      </c>
      <c r="P57"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#N/A</v>
      </c>
      <c r="Q57" s="63"/>
    </row>
    <row r="58" spans="1:17" ht="15.5" x14ac:dyDescent="0.35">
      <c r="A58" s="58" t="s">
        <v>40</v>
      </c>
      <c r="B58" s="12" t="s">
        <v>150</v>
      </c>
      <c r="C58" s="56"/>
      <c r="D58" s="56"/>
      <c r="E58" s="13">
        <v>44775.717361111114</v>
      </c>
      <c r="F58" s="18">
        <v>13.8</v>
      </c>
      <c r="G58" s="159" t="s">
        <v>163</v>
      </c>
      <c r="H58" s="18" t="s">
        <v>594</v>
      </c>
      <c r="I58" s="18" t="s">
        <v>334</v>
      </c>
      <c r="J58" s="13">
        <v>44775.727777777778</v>
      </c>
      <c r="K58" s="32"/>
      <c r="L58" s="14">
        <f t="shared" si="0"/>
        <v>1.0416666664241347E-2</v>
      </c>
      <c r="M58" s="59">
        <f t="shared" si="3"/>
        <v>0.14374999996653059</v>
      </c>
      <c r="N58" s="61" t="str">
        <f>IF(Table26832346[[#This Row],[Fault Type]]="PM",IF(L58&lt;=(D58-C58),"Yes","No"),"")</f>
        <v/>
      </c>
      <c r="O58" s="62" t="str">
        <f t="shared" si="2"/>
        <v/>
      </c>
      <c r="P5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58" s="63"/>
    </row>
    <row r="59" spans="1:17" ht="15.5" x14ac:dyDescent="0.35">
      <c r="A59" s="58" t="s">
        <v>115</v>
      </c>
      <c r="B59" s="12" t="s">
        <v>150</v>
      </c>
      <c r="C59" s="56"/>
      <c r="D59" s="56"/>
      <c r="E59" s="13">
        <v>44775.717361111114</v>
      </c>
      <c r="F59" s="18"/>
      <c r="G59" s="159" t="s">
        <v>163</v>
      </c>
      <c r="H59" s="18" t="s">
        <v>595</v>
      </c>
      <c r="I59" s="18" t="s">
        <v>333</v>
      </c>
      <c r="J59" s="13">
        <v>44775.75</v>
      </c>
      <c r="K59" s="82"/>
      <c r="L59" s="14">
        <f t="shared" si="0"/>
        <v>3.2638888886140194E-2</v>
      </c>
      <c r="M59" s="59">
        <f t="shared" si="3"/>
        <v>0</v>
      </c>
      <c r="N59" s="61" t="str">
        <f>IF(Table26832346[[#This Row],[Fault Type]]="PM",IF(L59&lt;=(D59-C59),"Yes","No"),"")</f>
        <v/>
      </c>
      <c r="O59" s="62" t="str">
        <f t="shared" si="2"/>
        <v/>
      </c>
      <c r="P5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59" s="63"/>
    </row>
    <row r="60" spans="1:17" ht="15.5" x14ac:dyDescent="0.35">
      <c r="A60" s="58" t="s">
        <v>596</v>
      </c>
      <c r="B60" s="12" t="s">
        <v>150</v>
      </c>
      <c r="C60" s="56"/>
      <c r="D60" s="56"/>
      <c r="E60" s="13">
        <v>44775.685416666667</v>
      </c>
      <c r="F60" s="18">
        <v>2.2999999999999998</v>
      </c>
      <c r="G60" s="159" t="s">
        <v>164</v>
      </c>
      <c r="H60" s="18" t="s">
        <v>597</v>
      </c>
      <c r="I60" s="18" t="s">
        <v>334</v>
      </c>
      <c r="J60" s="13">
        <v>44775.804861111108</v>
      </c>
      <c r="K60" s="32"/>
      <c r="L60" s="14">
        <f t="shared" si="0"/>
        <v>0.11944444444088731</v>
      </c>
      <c r="M60" s="59">
        <f t="shared" si="3"/>
        <v>0.2747222222140408</v>
      </c>
      <c r="N60" s="61" t="str">
        <f>IF(Table26832346[[#This Row],[Fault Type]]="PM",IF(L60&lt;=(D60-C60),"Yes","No"),"")</f>
        <v/>
      </c>
      <c r="O60" s="62" t="str">
        <f t="shared" si="2"/>
        <v/>
      </c>
      <c r="P6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0" s="63"/>
    </row>
    <row r="61" spans="1:17" ht="15.5" x14ac:dyDescent="0.35">
      <c r="A61" s="58" t="s">
        <v>598</v>
      </c>
      <c r="B61" s="12" t="s">
        <v>150</v>
      </c>
      <c r="C61" s="56"/>
      <c r="D61" s="56"/>
      <c r="E61" s="13">
        <v>44775.714583333334</v>
      </c>
      <c r="F61" s="18">
        <v>3.7</v>
      </c>
      <c r="G61" s="159" t="s">
        <v>163</v>
      </c>
      <c r="H61" s="18" t="s">
        <v>521</v>
      </c>
      <c r="I61" s="18" t="s">
        <v>334</v>
      </c>
      <c r="J61" s="13">
        <v>44775.865972222222</v>
      </c>
      <c r="K61" s="32"/>
      <c r="L61" s="14">
        <f t="shared" si="0"/>
        <v>0.15138888888759539</v>
      </c>
      <c r="M61" s="59">
        <f t="shared" si="3"/>
        <v>0.5601388888841029</v>
      </c>
      <c r="N61" s="61" t="str">
        <f>IF(Table26832346[[#This Row],[Fault Type]]="PM",IF(L61&lt;=(D61-C61),"Yes","No"),"")</f>
        <v/>
      </c>
      <c r="O61" s="62" t="str">
        <f t="shared" si="2"/>
        <v/>
      </c>
      <c r="P6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1" s="63"/>
    </row>
    <row r="62" spans="1:17" ht="15.5" x14ac:dyDescent="0.35">
      <c r="A62" s="58" t="s">
        <v>195</v>
      </c>
      <c r="B62" s="12" t="s">
        <v>150</v>
      </c>
      <c r="C62" s="56"/>
      <c r="D62" s="56"/>
      <c r="E62" s="13">
        <v>44775.715277777781</v>
      </c>
      <c r="F62" s="12">
        <v>2.1</v>
      </c>
      <c r="G62" s="159" t="s">
        <v>163</v>
      </c>
      <c r="H62" s="12" t="s">
        <v>599</v>
      </c>
      <c r="I62" s="18" t="s">
        <v>334</v>
      </c>
      <c r="J62" s="13">
        <v>44775.867361111108</v>
      </c>
      <c r="K62" s="32"/>
      <c r="L62" s="14">
        <f t="shared" si="0"/>
        <v>0.1520833333270275</v>
      </c>
      <c r="M62" s="59">
        <f t="shared" si="3"/>
        <v>0.31937499998675778</v>
      </c>
      <c r="N62" s="61" t="str">
        <f>IF(Table26832346[[#This Row],[Fault Type]]="PM",IF(L62&lt;=(D62-C62),"Yes","No"),"")</f>
        <v/>
      </c>
      <c r="O62" s="62" t="str">
        <f t="shared" si="2"/>
        <v/>
      </c>
      <c r="P6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2" s="63"/>
    </row>
    <row r="63" spans="1:17" ht="15.5" x14ac:dyDescent="0.35">
      <c r="A63" s="58" t="s">
        <v>39</v>
      </c>
      <c r="B63" s="12" t="s">
        <v>150</v>
      </c>
      <c r="C63" s="56"/>
      <c r="D63" s="56"/>
      <c r="E63" s="13">
        <v>44775.785416666666</v>
      </c>
      <c r="F63" s="18">
        <v>11.8</v>
      </c>
      <c r="G63" s="159" t="s">
        <v>163</v>
      </c>
      <c r="H63" s="18" t="s">
        <v>600</v>
      </c>
      <c r="I63" s="18" t="s">
        <v>333</v>
      </c>
      <c r="J63" s="13">
        <v>44775.929861111108</v>
      </c>
      <c r="K63" s="32"/>
      <c r="L63" s="14">
        <f t="shared" si="0"/>
        <v>0.1444444444423425</v>
      </c>
      <c r="M63" s="59">
        <f t="shared" si="3"/>
        <v>1.7044444444196416</v>
      </c>
      <c r="N63" s="61" t="str">
        <f>IF(Table26832346[[#This Row],[Fault Type]]="PM",IF(L63&lt;=(D63-C63),"Yes","No"),"")</f>
        <v/>
      </c>
      <c r="O63" s="62" t="str">
        <f t="shared" si="2"/>
        <v/>
      </c>
      <c r="P6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3" s="63"/>
    </row>
    <row r="64" spans="1:17" ht="15.5" x14ac:dyDescent="0.35">
      <c r="A64" s="58" t="s">
        <v>112</v>
      </c>
      <c r="B64" s="49" t="s">
        <v>150</v>
      </c>
      <c r="C64" s="56"/>
      <c r="D64" s="56"/>
      <c r="E64" s="13">
        <v>44775.802083333336</v>
      </c>
      <c r="F64" s="85">
        <v>2.0099999999999998</v>
      </c>
      <c r="G64" s="159" t="s">
        <v>163</v>
      </c>
      <c r="H64" s="54" t="s">
        <v>601</v>
      </c>
      <c r="I64" s="18" t="s">
        <v>333</v>
      </c>
      <c r="J64" s="13">
        <v>44777.259722222225</v>
      </c>
      <c r="K64" s="32"/>
      <c r="L64" s="14">
        <f t="shared" si="0"/>
        <v>1.4576388888890506</v>
      </c>
      <c r="M64" s="59">
        <f t="shared" si="3"/>
        <v>2.9298541666669915</v>
      </c>
      <c r="N64" s="61" t="str">
        <f>IF(Table26832346[[#This Row],[Fault Type]]="PM",IF(L64&lt;=(D64-C64),"Yes","No"),"")</f>
        <v/>
      </c>
      <c r="O64" s="62" t="str">
        <f t="shared" si="2"/>
        <v/>
      </c>
      <c r="P6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64" s="63"/>
    </row>
    <row r="65" spans="1:17" ht="15.5" x14ac:dyDescent="0.35">
      <c r="A65" s="58" t="s">
        <v>40</v>
      </c>
      <c r="B65" s="55" t="s">
        <v>150</v>
      </c>
      <c r="C65" s="56"/>
      <c r="D65" s="56"/>
      <c r="E65" s="13">
        <v>44775.780555555553</v>
      </c>
      <c r="F65" s="55">
        <v>7.5</v>
      </c>
      <c r="G65" s="159" t="s">
        <v>163</v>
      </c>
      <c r="H65" s="57" t="s">
        <v>508</v>
      </c>
      <c r="I65" s="18" t="s">
        <v>334</v>
      </c>
      <c r="J65" s="13">
        <v>44776.875694444447</v>
      </c>
      <c r="K65" s="32"/>
      <c r="L65" s="14">
        <f t="shared" si="0"/>
        <v>1.0951388888934162</v>
      </c>
      <c r="M65" s="59">
        <f t="shared" si="3"/>
        <v>8.2135416667006211</v>
      </c>
      <c r="N65" s="61" t="str">
        <f>IF(Table26832346[[#This Row],[Fault Type]]="PM",IF(L65&lt;=(D65-C65),"Yes","No"),"")</f>
        <v/>
      </c>
      <c r="O65" s="62" t="str">
        <f t="shared" si="2"/>
        <v/>
      </c>
      <c r="P6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65" s="63"/>
    </row>
    <row r="66" spans="1:17" ht="15.5" x14ac:dyDescent="0.35">
      <c r="A66" s="58" t="s">
        <v>134</v>
      </c>
      <c r="B66" s="55" t="s">
        <v>150</v>
      </c>
      <c r="C66" s="56"/>
      <c r="D66" s="56"/>
      <c r="E66" s="13">
        <v>44775.818055555559</v>
      </c>
      <c r="F66" s="55">
        <v>3.1</v>
      </c>
      <c r="G66" s="159" t="s">
        <v>162</v>
      </c>
      <c r="H66" s="57" t="s">
        <v>602</v>
      </c>
      <c r="I66" s="18" t="s">
        <v>334</v>
      </c>
      <c r="J66" s="13">
        <v>44776.656944444447</v>
      </c>
      <c r="K66" s="32"/>
      <c r="L66" s="14">
        <f t="shared" si="0"/>
        <v>0.83888888888759539</v>
      </c>
      <c r="M66" s="59">
        <f t="shared" si="3"/>
        <v>2.6005555555515456</v>
      </c>
      <c r="N66" s="61" t="str">
        <f>IF(Table26832346[[#This Row],[Fault Type]]="PM",IF(L66&lt;=(D66-C66),"Yes","No"),"")</f>
        <v/>
      </c>
      <c r="O66" s="62" t="str">
        <f t="shared" si="2"/>
        <v/>
      </c>
      <c r="P6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66" s="63"/>
    </row>
    <row r="67" spans="1:17" ht="15.5" x14ac:dyDescent="0.35">
      <c r="A67" s="58" t="s">
        <v>371</v>
      </c>
      <c r="B67" s="55" t="s">
        <v>150</v>
      </c>
      <c r="C67" s="56"/>
      <c r="D67" s="56"/>
      <c r="E67" s="13">
        <v>44775.809027777781</v>
      </c>
      <c r="F67" s="55">
        <v>2.6</v>
      </c>
      <c r="G67" s="159" t="s">
        <v>164</v>
      </c>
      <c r="H67" s="57" t="s">
        <v>603</v>
      </c>
      <c r="I67" s="18" t="s">
        <v>334</v>
      </c>
      <c r="J67" s="13">
        <v>44776.652777777781</v>
      </c>
      <c r="K67" s="32"/>
      <c r="L67" s="14">
        <f t="shared" si="0"/>
        <v>0.84375</v>
      </c>
      <c r="M67" s="59">
        <f t="shared" si="3"/>
        <v>2.1937500000000001</v>
      </c>
      <c r="N67" s="61" t="str">
        <f>IF(Table26832346[[#This Row],[Fault Type]]="PM",IF(L67&lt;=(D67-C67),"Yes","No"),"")</f>
        <v/>
      </c>
      <c r="O67" s="62" t="str">
        <f t="shared" si="2"/>
        <v/>
      </c>
      <c r="P6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67" s="63"/>
    </row>
    <row r="68" spans="1:17" ht="15.5" x14ac:dyDescent="0.35">
      <c r="A68" s="58" t="s">
        <v>191</v>
      </c>
      <c r="B68" s="55" t="s">
        <v>158</v>
      </c>
      <c r="C68" s="56"/>
      <c r="D68" s="56"/>
      <c r="E68" s="13">
        <v>44775.828472222223</v>
      </c>
      <c r="F68" s="55"/>
      <c r="G68" s="159"/>
      <c r="H68" s="57" t="s">
        <v>604</v>
      </c>
      <c r="I68" s="18" t="s">
        <v>333</v>
      </c>
      <c r="J68" s="13">
        <v>44775.927083333336</v>
      </c>
      <c r="K68" s="83"/>
      <c r="L68" s="14">
        <f t="shared" si="0"/>
        <v>9.8611111112404615E-2</v>
      </c>
      <c r="M68" s="59">
        <f t="shared" si="3"/>
        <v>0</v>
      </c>
      <c r="N68" s="61" t="str">
        <f>IF(Table26832346[[#This Row],[Fault Type]]="PM",IF(L68&lt;=(D68-C68),"Yes","No"),"")</f>
        <v/>
      </c>
      <c r="O68" s="62" t="str">
        <f t="shared" si="2"/>
        <v/>
      </c>
      <c r="P6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8" s="63" t="s">
        <v>492</v>
      </c>
    </row>
    <row r="69" spans="1:17" ht="15.5" x14ac:dyDescent="0.35">
      <c r="A69" s="58" t="s">
        <v>97</v>
      </c>
      <c r="B69" s="55" t="s">
        <v>150</v>
      </c>
      <c r="C69" s="56"/>
      <c r="D69" s="56"/>
      <c r="E69" s="13">
        <v>44775.835416666669</v>
      </c>
      <c r="F69" s="55"/>
      <c r="G69" s="159" t="s">
        <v>162</v>
      </c>
      <c r="H69" s="57" t="s">
        <v>526</v>
      </c>
      <c r="I69" s="18" t="s">
        <v>526</v>
      </c>
      <c r="J69" s="13">
        <v>44775.854166666664</v>
      </c>
      <c r="K69" s="83"/>
      <c r="L69" s="14">
        <f t="shared" si="0"/>
        <v>1.8749999995634425E-2</v>
      </c>
      <c r="M69" s="59">
        <f t="shared" si="3"/>
        <v>0</v>
      </c>
      <c r="N69" s="61" t="str">
        <f>IF(Table26832346[[#This Row],[Fault Type]]="PM",IF(L69&lt;=(D69-C69),"Yes","No"),"")</f>
        <v/>
      </c>
      <c r="O69" s="62" t="str">
        <f t="shared" si="2"/>
        <v/>
      </c>
      <c r="P6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69" s="63"/>
    </row>
    <row r="70" spans="1:17" ht="15.5" x14ac:dyDescent="0.35">
      <c r="A70" s="58" t="s">
        <v>96</v>
      </c>
      <c r="B70" s="12" t="s">
        <v>150</v>
      </c>
      <c r="C70" s="56"/>
      <c r="D70" s="56"/>
      <c r="E70" s="13">
        <v>44775.836805555555</v>
      </c>
      <c r="F70" s="12"/>
      <c r="G70" s="159" t="s">
        <v>164</v>
      </c>
      <c r="H70" s="18" t="s">
        <v>605</v>
      </c>
      <c r="I70" s="18" t="s">
        <v>334</v>
      </c>
      <c r="J70" s="13">
        <v>44777.944444444445</v>
      </c>
      <c r="K70" s="80"/>
      <c r="L70" s="14">
        <f t="shared" si="0"/>
        <v>2.1076388888905058</v>
      </c>
      <c r="M70" s="59">
        <f t="shared" si="3"/>
        <v>0</v>
      </c>
      <c r="N70" s="61" t="str">
        <f>IF(Table26832346[[#This Row],[Fault Type]]="PM",IF(L70&lt;=(D70-C70),"Yes","No"),"")</f>
        <v/>
      </c>
      <c r="O70" s="62" t="str">
        <f t="shared" si="2"/>
        <v/>
      </c>
      <c r="P7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70" s="63"/>
    </row>
    <row r="71" spans="1:17" ht="15.5" x14ac:dyDescent="0.35">
      <c r="A71" s="58" t="s">
        <v>23</v>
      </c>
      <c r="B71" s="12" t="s">
        <v>150</v>
      </c>
      <c r="C71" s="56"/>
      <c r="D71" s="56"/>
      <c r="E71" s="13">
        <v>44775.829861111109</v>
      </c>
      <c r="F71" s="12"/>
      <c r="G71" s="159" t="s">
        <v>162</v>
      </c>
      <c r="H71" s="18" t="s">
        <v>526</v>
      </c>
      <c r="I71" s="18" t="s">
        <v>526</v>
      </c>
      <c r="J71" s="13">
        <v>44775.836805555555</v>
      </c>
      <c r="K71" s="80"/>
      <c r="L71" s="14">
        <f t="shared" si="0"/>
        <v>6.9444444452528842E-3</v>
      </c>
      <c r="M71" s="59">
        <f t="shared" si="3"/>
        <v>0</v>
      </c>
      <c r="N71" s="61" t="str">
        <f>IF(Table26832346[[#This Row],[Fault Type]]="PM",IF(L71&lt;=(D71-C71),"Yes","No"),"")</f>
        <v/>
      </c>
      <c r="O71" s="62" t="str">
        <f t="shared" si="2"/>
        <v/>
      </c>
      <c r="P7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71" s="63"/>
    </row>
    <row r="72" spans="1:17" ht="15.5" x14ac:dyDescent="0.35">
      <c r="A72" s="58" t="s">
        <v>136</v>
      </c>
      <c r="B72" s="12" t="s">
        <v>150</v>
      </c>
      <c r="C72" s="56"/>
      <c r="D72" s="56"/>
      <c r="E72" s="13">
        <v>44775.534722222219</v>
      </c>
      <c r="F72" s="12"/>
      <c r="G72" s="159" t="s">
        <v>162</v>
      </c>
      <c r="H72" s="27" t="s">
        <v>526</v>
      </c>
      <c r="I72" s="18" t="s">
        <v>526</v>
      </c>
      <c r="J72" s="13">
        <v>44775.845833333333</v>
      </c>
      <c r="K72" s="32"/>
      <c r="L72" s="14">
        <f t="shared" si="0"/>
        <v>0.31111111111385981</v>
      </c>
      <c r="M72" s="59">
        <f t="shared" si="3"/>
        <v>0</v>
      </c>
      <c r="N72" s="61" t="str">
        <f>IF(Table26832346[[#This Row],[Fault Type]]="PM",IF(L72&lt;=(D72-C72),"Yes","No"),"")</f>
        <v/>
      </c>
      <c r="O72" s="62" t="str">
        <f t="shared" si="2"/>
        <v/>
      </c>
      <c r="P7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72" s="63"/>
    </row>
    <row r="73" spans="1:17" ht="15.5" x14ac:dyDescent="0.35">
      <c r="A73" s="58" t="s">
        <v>18</v>
      </c>
      <c r="B73" s="12" t="s">
        <v>150</v>
      </c>
      <c r="C73" s="56"/>
      <c r="D73" s="56"/>
      <c r="E73" s="13">
        <v>44775.863194444442</v>
      </c>
      <c r="F73" s="12">
        <v>11.9</v>
      </c>
      <c r="G73" s="159" t="s">
        <v>164</v>
      </c>
      <c r="H73" s="27" t="s">
        <v>606</v>
      </c>
      <c r="I73" s="18" t="s">
        <v>333</v>
      </c>
      <c r="J73" s="13">
        <v>44775.925694444442</v>
      </c>
      <c r="K73" s="32"/>
      <c r="L73" s="14">
        <f>J73-E73</f>
        <v>6.25E-2</v>
      </c>
      <c r="M73" s="59">
        <f>L73*F73</f>
        <v>0.74375000000000002</v>
      </c>
      <c r="N73" s="61" t="str">
        <f>IF(Table26832346[[#This Row],[Fault Type]]="PM",IF(L73&lt;=(D73-C73),"Yes","No"),"")</f>
        <v/>
      </c>
      <c r="O73" s="62" t="str">
        <f>IF(N73="No",(L73-(D73-C73)),"")</f>
        <v/>
      </c>
      <c r="P7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73" s="63"/>
    </row>
    <row r="74" spans="1:17" ht="15.5" x14ac:dyDescent="0.35">
      <c r="A74" s="58" t="s">
        <v>40</v>
      </c>
      <c r="B74" s="12" t="s">
        <v>150</v>
      </c>
      <c r="C74" s="56"/>
      <c r="D74" s="56"/>
      <c r="E74" s="13">
        <v>44775.875694444447</v>
      </c>
      <c r="F74" s="12"/>
      <c r="G74" s="159" t="s">
        <v>162</v>
      </c>
      <c r="H74" s="27" t="s">
        <v>607</v>
      </c>
      <c r="I74" s="18" t="s">
        <v>334</v>
      </c>
      <c r="J74" s="13">
        <v>44775.893055555556</v>
      </c>
      <c r="K74" s="32"/>
      <c r="L74" s="14">
        <f t="shared" si="0"/>
        <v>1.7361111109494232E-2</v>
      </c>
      <c r="M74" s="59">
        <f t="shared" si="3"/>
        <v>0</v>
      </c>
      <c r="N74" s="61" t="str">
        <f>IF(Table26832346[[#This Row],[Fault Type]]="PM",IF(L74&lt;=(D74-C74),"Yes","No"),"")</f>
        <v/>
      </c>
      <c r="O74" s="62" t="str">
        <f t="shared" si="2"/>
        <v/>
      </c>
      <c r="P7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74" s="63"/>
    </row>
    <row r="75" spans="1:17" ht="15.5" x14ac:dyDescent="0.35">
      <c r="A75" s="58" t="s">
        <v>442</v>
      </c>
      <c r="B75" s="12" t="s">
        <v>150</v>
      </c>
      <c r="C75" s="56"/>
      <c r="D75" s="56"/>
      <c r="E75" s="13">
        <v>44775.649305555555</v>
      </c>
      <c r="F75" s="12">
        <v>2.2999999999999998</v>
      </c>
      <c r="G75" s="159" t="s">
        <v>163</v>
      </c>
      <c r="H75" s="12" t="s">
        <v>508</v>
      </c>
      <c r="I75" s="18" t="s">
        <v>334</v>
      </c>
      <c r="J75" s="13">
        <v>44775.865277777775</v>
      </c>
      <c r="K75" s="32"/>
      <c r="L75" s="14">
        <f t="shared" si="0"/>
        <v>0.21597222222044365</v>
      </c>
      <c r="M75" s="59">
        <f t="shared" si="3"/>
        <v>0.49673611110702037</v>
      </c>
      <c r="N75" s="61" t="str">
        <f>IF(Table26832346[[#This Row],[Fault Type]]="PM",IF(L75&lt;=(D75-C75),"Yes","No"),"")</f>
        <v/>
      </c>
      <c r="O75" s="62" t="str">
        <f t="shared" si="2"/>
        <v/>
      </c>
      <c r="P7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75" s="63"/>
    </row>
    <row r="76" spans="1:17" ht="15.5" x14ac:dyDescent="0.35">
      <c r="A76" s="58" t="s">
        <v>316</v>
      </c>
      <c r="B76" s="12" t="s">
        <v>150</v>
      </c>
      <c r="C76" s="56"/>
      <c r="D76" s="56"/>
      <c r="E76" s="13">
        <v>44775.597222222219</v>
      </c>
      <c r="F76" s="12">
        <v>1.8</v>
      </c>
      <c r="G76" s="159" t="s">
        <v>164</v>
      </c>
      <c r="H76" s="12" t="s">
        <v>608</v>
      </c>
      <c r="I76" s="18" t="s">
        <v>334</v>
      </c>
      <c r="J76" s="13">
        <v>44775.852083333331</v>
      </c>
      <c r="K76" s="32"/>
      <c r="L76" s="14">
        <f t="shared" ref="L76:L87" si="4">J76-E76</f>
        <v>0.25486111111240461</v>
      </c>
      <c r="M76" s="59">
        <f t="shared" si="3"/>
        <v>0.4587500000023283</v>
      </c>
      <c r="N76" s="61" t="str">
        <f>IF(Table26832346[[#This Row],[Fault Type]]="PM",IF(L76&lt;=(D76-C76),"Yes","No"),"")</f>
        <v/>
      </c>
      <c r="O76" s="62" t="str">
        <f t="shared" ref="O76:O89" si="5">IF(N76="No",(L76-(D76-C76)),"")</f>
        <v/>
      </c>
      <c r="P7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76" s="63"/>
    </row>
    <row r="77" spans="1:17" ht="15.5" x14ac:dyDescent="0.35">
      <c r="A77" s="58" t="s">
        <v>43</v>
      </c>
      <c r="B77" s="12" t="s">
        <v>150</v>
      </c>
      <c r="C77" s="56"/>
      <c r="D77" s="56"/>
      <c r="E77" s="13">
        <v>44775.881249999999</v>
      </c>
      <c r="F77" s="12">
        <v>1</v>
      </c>
      <c r="G77" s="159" t="s">
        <v>164</v>
      </c>
      <c r="H77" s="18" t="s">
        <v>609</v>
      </c>
      <c r="I77" s="18" t="s">
        <v>333</v>
      </c>
      <c r="J77" s="13">
        <v>44776.30972222222</v>
      </c>
      <c r="K77" s="80"/>
      <c r="L77" s="14">
        <f t="shared" si="4"/>
        <v>0.42847222222189885</v>
      </c>
      <c r="M77" s="59">
        <f t="shared" si="3"/>
        <v>0.42847222222189885</v>
      </c>
      <c r="N77" s="61" t="str">
        <f>IF(Table26832346[[#This Row],[Fault Type]]="PM",IF(L77&lt;=(D77-C77),"Yes","No"),"")</f>
        <v/>
      </c>
      <c r="O77" s="62" t="str">
        <f t="shared" si="5"/>
        <v/>
      </c>
      <c r="P7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77" s="63"/>
    </row>
    <row r="78" spans="1:17" ht="15.5" x14ac:dyDescent="0.35">
      <c r="A78" s="58" t="s">
        <v>354</v>
      </c>
      <c r="B78" s="12" t="s">
        <v>150</v>
      </c>
      <c r="C78" s="56"/>
      <c r="D78" s="56"/>
      <c r="E78" s="13">
        <v>44775.888888888891</v>
      </c>
      <c r="F78" s="12">
        <v>19.5</v>
      </c>
      <c r="G78" s="159" t="s">
        <v>164</v>
      </c>
      <c r="H78" s="12" t="s">
        <v>508</v>
      </c>
      <c r="I78" s="18" t="s">
        <v>334</v>
      </c>
      <c r="J78" s="13" t="s">
        <v>610</v>
      </c>
      <c r="K78" s="32"/>
      <c r="L78" s="14" t="e">
        <f t="shared" si="4"/>
        <v>#VALUE!</v>
      </c>
      <c r="M78" s="59" t="e">
        <f t="shared" si="3"/>
        <v>#VALUE!</v>
      </c>
      <c r="N78" s="61" t="str">
        <f>IF(Table26832346[[#This Row],[Fault Type]]="PM",IF(L78&lt;=(D78-C78),"Yes","No"),"")</f>
        <v/>
      </c>
      <c r="O78" s="62" t="str">
        <f t="shared" si="5"/>
        <v/>
      </c>
      <c r="P78" s="30" t="e">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#VALUE!</v>
      </c>
      <c r="Q78" s="63"/>
    </row>
    <row r="79" spans="1:17" ht="15.5" x14ac:dyDescent="0.35">
      <c r="A79" s="58" t="s">
        <v>52</v>
      </c>
      <c r="B79" s="12" t="s">
        <v>150</v>
      </c>
      <c r="C79" s="56"/>
      <c r="D79" s="56"/>
      <c r="E79" s="13">
        <v>44775.96875</v>
      </c>
      <c r="F79" s="12">
        <v>2.2999999999999998</v>
      </c>
      <c r="G79" s="159" t="s">
        <v>164</v>
      </c>
      <c r="H79" s="27"/>
      <c r="I79" s="18"/>
      <c r="J79" s="13"/>
      <c r="K79" s="32"/>
      <c r="L79" s="14">
        <f t="shared" si="4"/>
        <v>-44775.96875</v>
      </c>
      <c r="M79" s="59">
        <f t="shared" si="3"/>
        <v>-102984.72812499999</v>
      </c>
      <c r="N79" s="61" t="str">
        <f>IF(Table26832346[[#This Row],[Fault Type]]="PM",IF(L79&lt;=(D79-C79),"Yes","No"),"")</f>
        <v/>
      </c>
      <c r="O79" s="62" t="str">
        <f t="shared" si="5"/>
        <v/>
      </c>
      <c r="P7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79" s="63"/>
    </row>
    <row r="80" spans="1:17" ht="15.5" x14ac:dyDescent="0.35">
      <c r="A80" s="58" t="s">
        <v>51</v>
      </c>
      <c r="B80" s="12" t="s">
        <v>150</v>
      </c>
      <c r="C80" s="56"/>
      <c r="D80" s="56"/>
      <c r="E80" s="13">
        <v>44775.884027777778</v>
      </c>
      <c r="F80" s="12">
        <v>3.8</v>
      </c>
      <c r="G80" s="159" t="s">
        <v>164</v>
      </c>
      <c r="H80" s="27"/>
      <c r="I80" s="18"/>
      <c r="J80" s="13"/>
      <c r="K80" s="32"/>
      <c r="L80" s="14">
        <f t="shared" si="4"/>
        <v>-44775.884027777778</v>
      </c>
      <c r="M80" s="59">
        <f t="shared" si="3"/>
        <v>-170148.35930555555</v>
      </c>
      <c r="N80" s="61" t="str">
        <f>IF(Table26832346[[#This Row],[Fault Type]]="PM",IF(L80&lt;=(D80-C80),"Yes","No"),"")</f>
        <v/>
      </c>
      <c r="O80" s="62" t="str">
        <f t="shared" si="5"/>
        <v/>
      </c>
      <c r="P8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0" s="63"/>
    </row>
    <row r="81" spans="1:17" ht="15.5" x14ac:dyDescent="0.35">
      <c r="A81" s="58" t="s">
        <v>17</v>
      </c>
      <c r="B81" s="12" t="s">
        <v>150</v>
      </c>
      <c r="C81" s="56"/>
      <c r="D81" s="56"/>
      <c r="E81" s="13">
        <v>44775.893750000003</v>
      </c>
      <c r="F81" s="12">
        <v>14</v>
      </c>
      <c r="G81" s="159" t="s">
        <v>162</v>
      </c>
      <c r="H81" s="12" t="s">
        <v>526</v>
      </c>
      <c r="I81" s="18" t="s">
        <v>526</v>
      </c>
      <c r="J81" s="13">
        <v>44775.901388888888</v>
      </c>
      <c r="K81" s="32"/>
      <c r="L81" s="14">
        <f t="shared" si="4"/>
        <v>7.6388888846850023E-3</v>
      </c>
      <c r="M81" s="59">
        <f t="shared" si="3"/>
        <v>0.10694444438559003</v>
      </c>
      <c r="N81" s="61" t="str">
        <f>IF(Table26832346[[#This Row],[Fault Type]]="PM",IF(L81&lt;=(D81-C81),"Yes","No"),"")</f>
        <v/>
      </c>
      <c r="O81" s="62" t="str">
        <f t="shared" si="5"/>
        <v/>
      </c>
      <c r="P8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81" s="63"/>
    </row>
    <row r="82" spans="1:17" ht="15.5" x14ac:dyDescent="0.35">
      <c r="A82" s="58" t="s">
        <v>73</v>
      </c>
      <c r="B82" s="12" t="s">
        <v>150</v>
      </c>
      <c r="C82" s="56"/>
      <c r="D82" s="56"/>
      <c r="E82" s="13">
        <v>44775.931944444441</v>
      </c>
      <c r="F82" s="12"/>
      <c r="G82" s="159" t="s">
        <v>162</v>
      </c>
      <c r="H82" s="18" t="s">
        <v>508</v>
      </c>
      <c r="I82" s="18" t="s">
        <v>334</v>
      </c>
      <c r="J82" s="13">
        <v>44775.969444444447</v>
      </c>
      <c r="K82" s="80"/>
      <c r="L82" s="14">
        <f t="shared" si="4"/>
        <v>3.7500000005820766E-2</v>
      </c>
      <c r="M82" s="59">
        <f t="shared" si="3"/>
        <v>0</v>
      </c>
      <c r="N82" s="61" t="str">
        <f>IF(Table26832346[[#This Row],[Fault Type]]="PM",IF(L82&lt;=(D82-C82),"Yes","No"),"")</f>
        <v/>
      </c>
      <c r="O82" s="62" t="str">
        <f t="shared" si="5"/>
        <v/>
      </c>
      <c r="P8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82" s="63"/>
    </row>
    <row r="83" spans="1:17" ht="15.5" x14ac:dyDescent="0.35">
      <c r="A83" s="58" t="s">
        <v>74</v>
      </c>
      <c r="B83" s="12" t="s">
        <v>150</v>
      </c>
      <c r="C83" s="56"/>
      <c r="D83" s="56"/>
      <c r="E83" s="13">
        <v>44775.931944444441</v>
      </c>
      <c r="F83" s="12"/>
      <c r="G83" s="159" t="s">
        <v>162</v>
      </c>
      <c r="H83" s="12" t="s">
        <v>508</v>
      </c>
      <c r="I83" s="18" t="s">
        <v>334</v>
      </c>
      <c r="J83" s="13">
        <v>44775.96875</v>
      </c>
      <c r="K83" s="32"/>
      <c r="L83" s="14">
        <f t="shared" si="4"/>
        <v>3.680555555911269E-2</v>
      </c>
      <c r="M83" s="59">
        <f t="shared" si="3"/>
        <v>0</v>
      </c>
      <c r="N83" s="61" t="str">
        <f>IF(Table26832346[[#This Row],[Fault Type]]="PM",IF(L83&lt;=(D83-C83),"Yes","No"),"")</f>
        <v/>
      </c>
      <c r="O83" s="62" t="str">
        <f t="shared" si="5"/>
        <v/>
      </c>
      <c r="P8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83" s="63"/>
    </row>
    <row r="84" spans="1:17" ht="15.5" x14ac:dyDescent="0.35">
      <c r="A84" s="58" t="s">
        <v>77</v>
      </c>
      <c r="B84" s="12" t="s">
        <v>150</v>
      </c>
      <c r="C84" s="56"/>
      <c r="D84" s="56"/>
      <c r="E84" s="13">
        <v>44775.931944444441</v>
      </c>
      <c r="F84" s="12"/>
      <c r="G84" s="159" t="s">
        <v>162</v>
      </c>
      <c r="H84" s="12" t="s">
        <v>611</v>
      </c>
      <c r="I84" s="18" t="s">
        <v>333</v>
      </c>
      <c r="J84" s="13">
        <v>44776.925694444442</v>
      </c>
      <c r="K84" s="32"/>
      <c r="L84" s="14">
        <f t="shared" si="4"/>
        <v>0.99375000000145519</v>
      </c>
      <c r="M84" s="59">
        <f t="shared" si="3"/>
        <v>0</v>
      </c>
      <c r="N84" s="61" t="str">
        <f>IF(Table26832346[[#This Row],[Fault Type]]="PM",IF(L84&lt;=(D84-C84),"Yes","No"),"")</f>
        <v/>
      </c>
      <c r="O84" s="62" t="str">
        <f t="shared" si="5"/>
        <v/>
      </c>
      <c r="P8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4" s="63"/>
    </row>
    <row r="85" spans="1:17" ht="15.5" x14ac:dyDescent="0.35">
      <c r="A85" s="58" t="s">
        <v>78</v>
      </c>
      <c r="B85" s="12" t="s">
        <v>150</v>
      </c>
      <c r="C85" s="56"/>
      <c r="D85" s="56"/>
      <c r="E85" s="13">
        <v>44775.98333333333</v>
      </c>
      <c r="F85" s="12">
        <v>2</v>
      </c>
      <c r="G85" s="159" t="s">
        <v>162</v>
      </c>
      <c r="H85" s="12" t="s">
        <v>612</v>
      </c>
      <c r="I85" s="18" t="s">
        <v>333</v>
      </c>
      <c r="J85" s="13">
        <v>44776.799305555556</v>
      </c>
      <c r="K85" s="32"/>
      <c r="L85" s="14">
        <f t="shared" si="4"/>
        <v>0.81597222222626442</v>
      </c>
      <c r="M85" s="59">
        <f t="shared" si="3"/>
        <v>1.6319444444525288</v>
      </c>
      <c r="N85" s="61" t="str">
        <f>IF(Table26832346[[#This Row],[Fault Type]]="PM",IF(L85&lt;=(D85-C85),"Yes","No"),"")</f>
        <v/>
      </c>
      <c r="O85" s="62" t="str">
        <f t="shared" si="5"/>
        <v/>
      </c>
      <c r="P8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5" s="63"/>
    </row>
    <row r="86" spans="1:17" ht="15.5" x14ac:dyDescent="0.35">
      <c r="A86" s="58" t="s">
        <v>39</v>
      </c>
      <c r="B86" s="12" t="s">
        <v>150</v>
      </c>
      <c r="C86" s="56"/>
      <c r="D86" s="56"/>
      <c r="E86" s="13">
        <v>44775.943749999999</v>
      </c>
      <c r="F86" s="12">
        <v>3.8</v>
      </c>
      <c r="G86" s="159" t="s">
        <v>162</v>
      </c>
      <c r="H86" s="18" t="s">
        <v>526</v>
      </c>
      <c r="I86" s="18" t="s">
        <v>526</v>
      </c>
      <c r="J86" s="13">
        <v>44775.950694444444</v>
      </c>
      <c r="K86" s="80"/>
      <c r="L86" s="14">
        <f t="shared" si="4"/>
        <v>6.9444444452528842E-3</v>
      </c>
      <c r="M86" s="59">
        <f t="shared" si="3"/>
        <v>2.6388888891960959E-2</v>
      </c>
      <c r="N86" s="61" t="str">
        <f>IF(Table26832346[[#This Row],[Fault Type]]="PM",IF(L86&lt;=(D86-C86),"Yes","No"),"")</f>
        <v/>
      </c>
      <c r="O86" s="62" t="str">
        <f t="shared" si="5"/>
        <v/>
      </c>
      <c r="P8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Yes</v>
      </c>
      <c r="Q86" s="63"/>
    </row>
    <row r="87" spans="1:17" ht="15.5" x14ac:dyDescent="0.35">
      <c r="A87" s="58" t="s">
        <v>27</v>
      </c>
      <c r="B87" s="12" t="s">
        <v>150</v>
      </c>
      <c r="C87" s="56"/>
      <c r="D87" s="56"/>
      <c r="E87" s="13">
        <v>44775.944444444445</v>
      </c>
      <c r="F87" s="12">
        <v>1.8</v>
      </c>
      <c r="G87" s="159" t="s">
        <v>164</v>
      </c>
      <c r="H87" s="27" t="s">
        <v>613</v>
      </c>
      <c r="I87" s="18" t="s">
        <v>334</v>
      </c>
      <c r="J87" s="13">
        <v>44776.395833333336</v>
      </c>
      <c r="K87" s="32"/>
      <c r="L87" s="14">
        <f t="shared" si="4"/>
        <v>0.45138888889050577</v>
      </c>
      <c r="M87" s="59">
        <f t="shared" si="3"/>
        <v>0.81250000000291045</v>
      </c>
      <c r="N87" s="61" t="str">
        <f>IF(Table26832346[[#This Row],[Fault Type]]="PM",IF(L87&lt;=(D87-C87),"Yes","No"),"")</f>
        <v/>
      </c>
      <c r="O87" s="62" t="str">
        <f t="shared" si="5"/>
        <v/>
      </c>
      <c r="P87"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7" s="63"/>
    </row>
    <row r="88" spans="1:17" ht="15.5" x14ac:dyDescent="0.35">
      <c r="A88" s="58" t="s">
        <v>98</v>
      </c>
      <c r="B88" s="12" t="s">
        <v>150</v>
      </c>
      <c r="C88" s="56"/>
      <c r="D88" s="56"/>
      <c r="E88" s="13">
        <v>44775.959027777775</v>
      </c>
      <c r="F88" s="12"/>
      <c r="G88" s="159" t="s">
        <v>164</v>
      </c>
      <c r="H88" s="27" t="s">
        <v>612</v>
      </c>
      <c r="I88" s="18" t="s">
        <v>333</v>
      </c>
      <c r="J88" s="13">
        <v>44777.005555555559</v>
      </c>
      <c r="K88" s="32"/>
      <c r="L88" s="14"/>
      <c r="M88" s="59"/>
      <c r="N88" s="61" t="str">
        <f>IF(Table26832346[[#This Row],[Fault Type]]="PM",IF(L88&lt;=(D88-C88),"Yes","No"),"")</f>
        <v/>
      </c>
      <c r="O88" s="62" t="str">
        <f t="shared" si="5"/>
        <v/>
      </c>
      <c r="P88"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8" s="63"/>
    </row>
    <row r="89" spans="1:17" ht="15.5" x14ac:dyDescent="0.35">
      <c r="A89" s="58" t="s">
        <v>41</v>
      </c>
      <c r="B89" s="12" t="s">
        <v>150</v>
      </c>
      <c r="C89" s="56"/>
      <c r="D89" s="56"/>
      <c r="E89" s="13">
        <v>44775.961111111108</v>
      </c>
      <c r="F89" s="12">
        <v>5.6</v>
      </c>
      <c r="G89" s="159" t="s">
        <v>164</v>
      </c>
      <c r="H89" s="12" t="s">
        <v>614</v>
      </c>
      <c r="I89" s="18"/>
      <c r="J89" s="13">
        <v>44776.0625</v>
      </c>
      <c r="K89" s="32"/>
      <c r="L89" s="14"/>
      <c r="M89" s="59"/>
      <c r="N89" s="61" t="str">
        <f>IF(Table26832346[[#This Row],[Fault Type]]="PM",IF(L89&lt;=(D89-C89),"Yes","No"),"")</f>
        <v/>
      </c>
      <c r="O89" s="62" t="str">
        <f t="shared" si="5"/>
        <v/>
      </c>
      <c r="P89"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c r="Q89" s="63"/>
    </row>
    <row r="90" spans="1:17" ht="15.5" x14ac:dyDescent="0.35">
      <c r="A90" s="78" t="s">
        <v>55</v>
      </c>
      <c r="B90" s="12" t="s">
        <v>150</v>
      </c>
      <c r="C90" s="49"/>
      <c r="D90" s="49"/>
      <c r="E90" s="13">
        <v>44775.963888888888</v>
      </c>
      <c r="F90" s="12">
        <v>3.5</v>
      </c>
      <c r="G90" s="159" t="s">
        <v>164</v>
      </c>
      <c r="H90" s="12"/>
      <c r="I90" s="54"/>
      <c r="J90" s="13"/>
      <c r="K90" s="32"/>
      <c r="L90" s="89"/>
      <c r="M90" s="90"/>
      <c r="N90" s="50" t="str">
        <f>IF(Table26832346[[#This Row],[Fault Type]]="PM",IF(L90&lt;=(D90-C90),"Yes","No"),"")</f>
        <v/>
      </c>
      <c r="O90" s="51" t="str">
        <f t="shared" ref="O90:O96" si="6">IF(N90="No",(L90-(D90-C90)),"")</f>
        <v/>
      </c>
      <c r="P90"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row>
    <row r="91" spans="1:17" ht="15.5" x14ac:dyDescent="0.35">
      <c r="A91" s="78" t="s">
        <v>370</v>
      </c>
      <c r="B91" s="12" t="s">
        <v>150</v>
      </c>
      <c r="C91" s="49"/>
      <c r="D91" s="49"/>
      <c r="E91" s="13">
        <v>44775.988194444442</v>
      </c>
      <c r="F91" s="12">
        <v>5.3</v>
      </c>
      <c r="G91" s="159" t="s">
        <v>164</v>
      </c>
      <c r="H91" s="12" t="s">
        <v>615</v>
      </c>
      <c r="I91" s="54" t="s">
        <v>334</v>
      </c>
      <c r="J91" s="13">
        <v>44776.34375</v>
      </c>
      <c r="K91" s="32"/>
      <c r="L91" s="89"/>
      <c r="M91" s="90"/>
      <c r="N91" s="50" t="str">
        <f>IF(Table26832346[[#This Row],[Fault Type]]="PM",IF(L91&lt;=(D91-C91),"Yes","No"),"")</f>
        <v/>
      </c>
      <c r="O91" s="51" t="str">
        <f t="shared" si="6"/>
        <v/>
      </c>
      <c r="P91"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No</v>
      </c>
    </row>
    <row r="92" spans="1:17" ht="15.5" x14ac:dyDescent="0.35">
      <c r="A92" s="78"/>
      <c r="B92" s="12"/>
      <c r="C92" s="49"/>
      <c r="D92" s="49"/>
      <c r="E92" s="13"/>
      <c r="F92" s="12"/>
      <c r="G92" s="159"/>
      <c r="H92" s="12"/>
      <c r="I92" s="54"/>
      <c r="J92" s="13"/>
      <c r="K92" s="32"/>
      <c r="L92" s="89"/>
      <c r="M92" s="90"/>
      <c r="N92" s="50" t="str">
        <f>IF(Table26832346[[#This Row],[Fault Type]]="PM",IF(L92&lt;=(D92-C92),"Yes","No"),"")</f>
        <v/>
      </c>
      <c r="O92" s="51" t="str">
        <f t="shared" si="6"/>
        <v/>
      </c>
      <c r="P92"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row>
    <row r="93" spans="1:17" ht="15.5" x14ac:dyDescent="0.35">
      <c r="A93" s="78"/>
      <c r="B93" s="12"/>
      <c r="C93" s="49"/>
      <c r="D93" s="49"/>
      <c r="E93" s="13"/>
      <c r="F93" s="12"/>
      <c r="G93" s="159"/>
      <c r="H93" s="27"/>
      <c r="I93" s="54"/>
      <c r="J93" s="13"/>
      <c r="K93" s="32"/>
      <c r="L93" s="89"/>
      <c r="M93" s="90"/>
      <c r="N93" s="50" t="str">
        <f>IF(Table26832346[[#This Row],[Fault Type]]="PM",IF(L93&lt;=(D93-C93),"Yes","No"),"")</f>
        <v/>
      </c>
      <c r="O93" s="51" t="str">
        <f t="shared" si="6"/>
        <v/>
      </c>
      <c r="P93"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row>
    <row r="94" spans="1:17" ht="15.5" x14ac:dyDescent="0.35">
      <c r="A94" s="78"/>
      <c r="B94" s="12"/>
      <c r="C94" s="49"/>
      <c r="D94" s="49"/>
      <c r="E94" s="13"/>
      <c r="F94" s="12"/>
      <c r="G94" s="159"/>
      <c r="H94" s="27"/>
      <c r="I94" s="54"/>
      <c r="J94" s="13"/>
      <c r="K94" s="32"/>
      <c r="L94" s="89"/>
      <c r="M94" s="90"/>
      <c r="N94" s="50" t="str">
        <f>IF(Table26832346[[#This Row],[Fault Type]]="PM",IF(L94&lt;=(D94-C94),"Yes","No"),"")</f>
        <v/>
      </c>
      <c r="O94" s="51" t="str">
        <f t="shared" si="6"/>
        <v/>
      </c>
      <c r="P94"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row>
    <row r="95" spans="1:17" ht="15.5" x14ac:dyDescent="0.35">
      <c r="A95" s="78"/>
      <c r="B95" s="12"/>
      <c r="C95" s="49"/>
      <c r="D95" s="49"/>
      <c r="E95" s="13"/>
      <c r="F95" s="12"/>
      <c r="G95" s="159"/>
      <c r="H95" s="12"/>
      <c r="I95" s="54"/>
      <c r="J95" s="13"/>
      <c r="K95" s="32"/>
      <c r="L95" s="89"/>
      <c r="M95" s="90"/>
      <c r="N95" s="50" t="str">
        <f>IF(Table26832346[[#This Row],[Fault Type]]="PM",IF(L95&lt;=(D95-C95),"Yes","No"),"")</f>
        <v/>
      </c>
      <c r="O95" s="51" t="str">
        <f t="shared" si="6"/>
        <v/>
      </c>
      <c r="P95"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row>
    <row r="96" spans="1:17" ht="15.5" x14ac:dyDescent="0.35">
      <c r="A96" s="78"/>
      <c r="B96" s="12"/>
      <c r="C96" s="49"/>
      <c r="D96" s="49"/>
      <c r="E96" s="13"/>
      <c r="F96" s="12"/>
      <c r="G96" s="159"/>
      <c r="H96" s="12"/>
      <c r="I96" s="54"/>
      <c r="J96" s="13"/>
      <c r="K96" s="32"/>
      <c r="L96" s="89"/>
      <c r="M96" s="90"/>
      <c r="N96" s="50" t="str">
        <f>IF(Table26832346[[#This Row],[Fault Type]]="PM",IF(L96&lt;=(D96-C96),"Yes","No"),"")</f>
        <v/>
      </c>
      <c r="O96" s="51" t="str">
        <f t="shared" si="6"/>
        <v/>
      </c>
      <c r="P96" s="30" t="str">
        <f>IF(AND(Table26832346[[#This Row],[Name of Feeder]]&lt;&gt;"",OR(Table26832346[[#This Row],[Fault Type]]="TL",Table26832346[[#This Row],[Fault Type]]="TS",Table26832346[[#This Row],[Fault Type]]="UF",Table26832346[[#This Row],[Fault Type]]="SE")),(IF(AND(VLOOKUP(Table26832346[[#This Row],[Name of Feeder]],Main!D:E,2,0)="URBAN",ISNUMBER(SEARCH("33KV",Table26832346[[#This Row],[Name of Feeder]]))),IF(AND(Table26832346[[#This Row],[Outage Duration]]&gt;0,Table26832346[[#This Row],[Outage Duration]]&lt;=0.25),"Yes","No"),IF(AND(VLOOKUP(Table26832346[[#This Row],[Name of Feeder]],Main!D:E,2,0)="RURAL",ISNUMBER(SEARCH("33KV",Table26832346[[#This Row],[Name of Feeder]]))),IF(AND(Table26832346[[#This Row],[Outage Duration]]&gt;0,Table26832346[[#This Row],[Outage Duration]]&lt;=0.33),"Yes","No"),IF(AND(VLOOKUP(Table26832346[[#This Row],[Name of Feeder]],Main!D:E,2,0)="RURAL",ISNUMBER(SEARCH("11KV",Table26832346[[#This Row],[Name of Feeder]]))),IF(AND(Table26832346[[#This Row],[Outage Duration]]&gt;0,Table26832346[[#This Row],[Outage Duration]]&lt;=0.17),"Yes","No"),IF(AND(VLOOKUP(Table26832346[[#This Row],[Name of Feeder]],Main!D:E,2,0)="URBAN",ISNUMBER(SEARCH("11KV",Table26832346[[#This Row],[Name of Feeder]]))),IF(AND(Table26832346[[#This Row],[Outage Duration]]&gt;0,Table26832346[[#This Row],[Outage Duration]]&lt;=0.17),"Yes","No"),""))))),"")</f>
        <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Main!$F$226:$F$228</xm:f>
          </x14:formula1>
          <xm:sqref>I2:I96</xm:sqref>
        </x14:dataValidation>
        <x14:dataValidation type="list" allowBlank="1" showInputMessage="1" showErrorMessage="1" xr:uid="{00000000-0002-0000-0500-000001000000}">
          <x14:formula1>
            <xm:f>Main!$D$2:$D$196</xm:f>
          </x14:formula1>
          <xm:sqref>A2:A96</xm:sqref>
        </x14:dataValidation>
        <x14:dataValidation type="list" allowBlank="1" showInputMessage="1" showErrorMessage="1" xr:uid="{00000000-0002-0000-0500-000002000000}">
          <x14:formula1>
            <xm:f>Main!F$222:F$225</xm:f>
          </x14:formula1>
          <xm:sqref>G2:G96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
  <sheetViews>
    <sheetView zoomScale="70" zoomScaleNormal="70" workbookViewId="0">
      <selection activeCell="A2" sqref="A2:J84"/>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4" t="s">
        <v>76</v>
      </c>
      <c r="B2" s="12" t="s">
        <v>150</v>
      </c>
      <c r="C2" s="13"/>
      <c r="D2" s="13"/>
      <c r="E2" s="13">
        <v>44776.010416666664</v>
      </c>
      <c r="F2" s="12">
        <v>0.4</v>
      </c>
      <c r="G2" s="12" t="s">
        <v>164</v>
      </c>
      <c r="H2" s="27" t="s">
        <v>508</v>
      </c>
      <c r="I2" s="27" t="s">
        <v>334</v>
      </c>
      <c r="J2" s="13">
        <v>44776.800000000003</v>
      </c>
      <c r="K2" s="32"/>
      <c r="L2" s="14">
        <f t="shared" ref="L2:L86" si="0">J2-E2</f>
        <v>0.78958333333866904</v>
      </c>
      <c r="M2" s="31">
        <f t="shared" ref="M2:M26" si="1">L2*F2</f>
        <v>0.31583333333546765</v>
      </c>
      <c r="N2" s="15" t="str">
        <f>IF(Table2683264[[#This Row],[Fault Type]]="PM",IF(L2&lt;=(D2-C2),"Yes","No"),"")</f>
        <v/>
      </c>
      <c r="O2" s="16" t="str">
        <f t="shared" ref="O2:O86" si="2">IF(N2="No",(L2-(D2-C2)),"")</f>
        <v/>
      </c>
      <c r="P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2" s="17"/>
    </row>
    <row r="3" spans="1:17" ht="15.5" x14ac:dyDescent="0.35">
      <c r="A3" s="4" t="s">
        <v>23</v>
      </c>
      <c r="B3" s="12" t="s">
        <v>150</v>
      </c>
      <c r="C3" s="13"/>
      <c r="D3" s="13"/>
      <c r="E3" s="13">
        <v>44776.004861111112</v>
      </c>
      <c r="F3" s="12">
        <v>4</v>
      </c>
      <c r="G3" s="159" t="s">
        <v>164</v>
      </c>
      <c r="H3" s="27" t="s">
        <v>616</v>
      </c>
      <c r="I3" s="27" t="s">
        <v>334</v>
      </c>
      <c r="J3" s="13">
        <v>44776.286111111112</v>
      </c>
      <c r="K3" s="32"/>
      <c r="L3" s="14">
        <f t="shared" si="0"/>
        <v>0.28125</v>
      </c>
      <c r="M3" s="31">
        <f t="shared" si="1"/>
        <v>1.125</v>
      </c>
      <c r="N3" s="15" t="str">
        <f>IF(Table2683264[[#This Row],[Fault Type]]="PM",IF(L3&lt;=(D3-C3),"Yes","No"),"")</f>
        <v/>
      </c>
      <c r="O3" s="16" t="str">
        <f t="shared" si="2"/>
        <v/>
      </c>
      <c r="P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3" s="17"/>
    </row>
    <row r="4" spans="1:17" ht="15.5" x14ac:dyDescent="0.35">
      <c r="A4" s="4" t="s">
        <v>31</v>
      </c>
      <c r="B4" s="12" t="s">
        <v>150</v>
      </c>
      <c r="C4" s="13"/>
      <c r="D4" s="13"/>
      <c r="E4" s="13">
        <v>44776.046527777777</v>
      </c>
      <c r="F4" s="12">
        <v>6.6</v>
      </c>
      <c r="G4" s="159" t="s">
        <v>164</v>
      </c>
      <c r="H4" s="12" t="s">
        <v>508</v>
      </c>
      <c r="I4" s="12" t="s">
        <v>334</v>
      </c>
      <c r="J4" s="13">
        <v>44776.245138888888</v>
      </c>
      <c r="K4" s="32"/>
      <c r="L4" s="14">
        <f t="shared" si="0"/>
        <v>0.19861111111094942</v>
      </c>
      <c r="M4" s="31">
        <f t="shared" si="1"/>
        <v>1.3108333333322661</v>
      </c>
      <c r="N4" s="15" t="str">
        <f>IF(Table2683264[[#This Row],[Fault Type]]="PM",IF(L4&lt;=(D4-C4),"Yes","No"),"")</f>
        <v/>
      </c>
      <c r="O4" s="16" t="str">
        <f t="shared" si="2"/>
        <v/>
      </c>
      <c r="P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 s="17"/>
    </row>
    <row r="5" spans="1:17" ht="15.5" x14ac:dyDescent="0.35">
      <c r="A5" s="4" t="s">
        <v>39</v>
      </c>
      <c r="B5" s="12" t="s">
        <v>150</v>
      </c>
      <c r="C5" s="13"/>
      <c r="D5" s="13"/>
      <c r="E5" s="13">
        <v>44776.05</v>
      </c>
      <c r="F5" s="12">
        <v>5.5</v>
      </c>
      <c r="G5" s="159" t="s">
        <v>163</v>
      </c>
      <c r="H5" s="12" t="s">
        <v>617</v>
      </c>
      <c r="I5" s="12" t="s">
        <v>334</v>
      </c>
      <c r="J5" s="13">
        <v>44776.671527777777</v>
      </c>
      <c r="K5" s="32"/>
      <c r="L5" s="14">
        <f t="shared" si="0"/>
        <v>0.62152777777373558</v>
      </c>
      <c r="M5" s="31">
        <f t="shared" si="1"/>
        <v>3.4184027777555457</v>
      </c>
      <c r="N5" s="15" t="str">
        <f>IF(Table2683264[[#This Row],[Fault Type]]="PM",IF(L5&lt;=(D5-C5),"Yes","No"),"")</f>
        <v/>
      </c>
      <c r="O5" s="16" t="str">
        <f t="shared" si="2"/>
        <v/>
      </c>
      <c r="P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5" s="17"/>
    </row>
    <row r="6" spans="1:17" ht="15.5" x14ac:dyDescent="0.35">
      <c r="A6" s="4" t="s">
        <v>94</v>
      </c>
      <c r="B6" s="12" t="s">
        <v>150</v>
      </c>
      <c r="C6" s="13"/>
      <c r="D6" s="13"/>
      <c r="E6" s="13">
        <v>44776.054166666669</v>
      </c>
      <c r="F6" s="12"/>
      <c r="G6" s="159" t="s">
        <v>164</v>
      </c>
      <c r="H6" s="12" t="s">
        <v>618</v>
      </c>
      <c r="I6" s="12" t="s">
        <v>333</v>
      </c>
      <c r="J6" s="13">
        <v>44776.807638888888</v>
      </c>
      <c r="K6" s="32"/>
      <c r="L6" s="14">
        <f t="shared" si="0"/>
        <v>0.75347222221898846</v>
      </c>
      <c r="M6" s="31">
        <f t="shared" si="1"/>
        <v>0</v>
      </c>
      <c r="N6" s="15" t="str">
        <f>IF(Table2683264[[#This Row],[Fault Type]]="PM",IF(L6&lt;=(D6-C6),"Yes","No"),"")</f>
        <v/>
      </c>
      <c r="O6" s="16" t="str">
        <f t="shared" si="2"/>
        <v/>
      </c>
      <c r="P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6" s="17"/>
    </row>
    <row r="7" spans="1:17" ht="15.5" x14ac:dyDescent="0.35">
      <c r="A7" s="78" t="s">
        <v>67</v>
      </c>
      <c r="B7" s="12" t="s">
        <v>150</v>
      </c>
      <c r="C7" s="13"/>
      <c r="D7" s="13"/>
      <c r="E7" s="13">
        <v>44776.059027777781</v>
      </c>
      <c r="F7" s="12">
        <v>1.8</v>
      </c>
      <c r="G7" s="159" t="s">
        <v>164</v>
      </c>
      <c r="H7" s="18" t="s">
        <v>619</v>
      </c>
      <c r="I7" s="18" t="s">
        <v>333</v>
      </c>
      <c r="J7" s="13">
        <v>44776.296527777777</v>
      </c>
      <c r="K7" s="80"/>
      <c r="L7" s="14">
        <f>J7-E7</f>
        <v>0.23749999999563443</v>
      </c>
      <c r="M7" s="81">
        <f>L7*F7</f>
        <v>0.427499999992142</v>
      </c>
      <c r="N7" s="15" t="str">
        <f>IF(Table2683264[[#This Row],[Fault Type]]="PM",IF(L7&lt;=(D7-C7),"Yes","No"),"")</f>
        <v/>
      </c>
      <c r="O7" s="16" t="str">
        <f>IF(N7="No",(L7-(D7-C7)),"")</f>
        <v/>
      </c>
      <c r="P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 s="17"/>
    </row>
    <row r="8" spans="1:17" ht="15.5" x14ac:dyDescent="0.35">
      <c r="A8" s="4" t="s">
        <v>354</v>
      </c>
      <c r="B8" s="12" t="s">
        <v>150</v>
      </c>
      <c r="C8" s="13"/>
      <c r="D8" s="13"/>
      <c r="E8" s="13">
        <v>44776.076388888891</v>
      </c>
      <c r="F8" s="12">
        <v>4.3</v>
      </c>
      <c r="G8" s="159" t="s">
        <v>163</v>
      </c>
      <c r="H8" s="12" t="s">
        <v>620</v>
      </c>
      <c r="I8" s="12" t="s">
        <v>333</v>
      </c>
      <c r="J8" s="13">
        <v>44776.310416666667</v>
      </c>
      <c r="K8" s="32"/>
      <c r="L8" s="14">
        <f t="shared" si="0"/>
        <v>0.23402777777664596</v>
      </c>
      <c r="M8" s="31">
        <f t="shared" si="1"/>
        <v>1.0063194444395775</v>
      </c>
      <c r="N8" s="15" t="str">
        <f>IF(Table2683264[[#This Row],[Fault Type]]="PM",IF(L8&lt;=(D8-C8),"Yes","No"),"")</f>
        <v/>
      </c>
      <c r="O8" s="16" t="str">
        <f t="shared" si="2"/>
        <v/>
      </c>
      <c r="P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8" s="17"/>
    </row>
    <row r="9" spans="1:17" ht="15.5" x14ac:dyDescent="0.35">
      <c r="A9" s="78" t="s">
        <v>60</v>
      </c>
      <c r="B9" s="12" t="s">
        <v>150</v>
      </c>
      <c r="C9" s="13"/>
      <c r="D9" s="13"/>
      <c r="E9" s="13">
        <v>44776.081944444442</v>
      </c>
      <c r="F9" s="12">
        <v>2.2999999999999998</v>
      </c>
      <c r="G9" s="159" t="s">
        <v>163</v>
      </c>
      <c r="H9" s="18" t="s">
        <v>621</v>
      </c>
      <c r="I9" s="18" t="s">
        <v>334</v>
      </c>
      <c r="J9" s="13">
        <v>44776.340277777781</v>
      </c>
      <c r="K9" s="80"/>
      <c r="L9" s="14">
        <f>J9-E9</f>
        <v>0.25833333333866904</v>
      </c>
      <c r="M9" s="81">
        <f>L9*F9</f>
        <v>0.59416666667893869</v>
      </c>
      <c r="N9" s="15" t="str">
        <f>IF(Table2683264[[#This Row],[Fault Type]]="PM",IF(L9&lt;=(D9-C9),"Yes","No"),"")</f>
        <v/>
      </c>
      <c r="O9" s="16" t="str">
        <f>IF(N9="No",(L9-(D9-C9)),"")</f>
        <v/>
      </c>
      <c r="P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9" s="17"/>
    </row>
    <row r="10" spans="1:17" ht="15.5" x14ac:dyDescent="0.35">
      <c r="A10" s="78" t="s">
        <v>546</v>
      </c>
      <c r="B10" s="12" t="s">
        <v>150</v>
      </c>
      <c r="C10" s="13"/>
      <c r="D10" s="13"/>
      <c r="E10" s="13">
        <v>44776.087500000001</v>
      </c>
      <c r="F10" s="12">
        <v>2.4</v>
      </c>
      <c r="G10" s="159" t="s">
        <v>163</v>
      </c>
      <c r="H10" s="18" t="s">
        <v>508</v>
      </c>
      <c r="I10" s="18" t="s">
        <v>334</v>
      </c>
      <c r="J10" s="13">
        <v>44776.337500000001</v>
      </c>
      <c r="K10" s="80"/>
      <c r="L10" s="14">
        <f>J10-E10</f>
        <v>0.25</v>
      </c>
      <c r="M10" s="81">
        <f>L10*F10</f>
        <v>0.6</v>
      </c>
      <c r="N10" s="15" t="str">
        <f>IF(Table2683264[[#This Row],[Fault Type]]="PM",IF(L10&lt;=(D10-C10),"Yes","No"),"")</f>
        <v/>
      </c>
      <c r="O10" s="16" t="str">
        <f>IF(N10="No",(L10-(D10-C10)),"")</f>
        <v/>
      </c>
      <c r="P10" s="30" t="e">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#N/A</v>
      </c>
      <c r="Q10" s="17"/>
    </row>
    <row r="11" spans="1:17" ht="15.5" x14ac:dyDescent="0.35">
      <c r="A11" s="78" t="s">
        <v>87</v>
      </c>
      <c r="B11" s="12" t="s">
        <v>150</v>
      </c>
      <c r="C11" s="13"/>
      <c r="D11" s="13"/>
      <c r="E11" s="13">
        <v>44776.104166666664</v>
      </c>
      <c r="F11" s="12">
        <v>0.1</v>
      </c>
      <c r="G11" s="159" t="s">
        <v>163</v>
      </c>
      <c r="H11" s="18" t="s">
        <v>622</v>
      </c>
      <c r="I11" s="18" t="s">
        <v>333</v>
      </c>
      <c r="J11" s="13">
        <v>44776.472222222219</v>
      </c>
      <c r="K11" s="80"/>
      <c r="L11" s="14">
        <f>J11-E11</f>
        <v>0.36805555555474712</v>
      </c>
      <c r="M11" s="81">
        <f>L11*F11</f>
        <v>3.6805555555474712E-2</v>
      </c>
      <c r="N11" s="15" t="str">
        <f>IF(Table2683264[[#This Row],[Fault Type]]="PM",IF(L11&lt;=(D11-C11),"Yes","No"),"")</f>
        <v/>
      </c>
      <c r="O11" s="16" t="str">
        <f>IF(N11="No",(L11-(D11-C11)),"")</f>
        <v/>
      </c>
      <c r="P1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11" s="17"/>
    </row>
    <row r="12" spans="1:17" ht="15.5" x14ac:dyDescent="0.35">
      <c r="A12" s="4" t="s">
        <v>32</v>
      </c>
      <c r="B12" s="12" t="s">
        <v>150</v>
      </c>
      <c r="C12" s="13"/>
      <c r="D12" s="13"/>
      <c r="E12" s="13">
        <v>44776.142361111109</v>
      </c>
      <c r="F12" s="12">
        <v>8.6</v>
      </c>
      <c r="G12" s="159" t="s">
        <v>163</v>
      </c>
      <c r="H12" s="12" t="s">
        <v>508</v>
      </c>
      <c r="I12" s="12" t="s">
        <v>334</v>
      </c>
      <c r="J12" s="13">
        <v>44776.240277777775</v>
      </c>
      <c r="K12" s="32"/>
      <c r="L12" s="14">
        <f t="shared" si="0"/>
        <v>9.7916666665696539E-2</v>
      </c>
      <c r="M12" s="31">
        <f t="shared" si="1"/>
        <v>0.84208333332499019</v>
      </c>
      <c r="N12" s="15" t="str">
        <f>IF(Table2683264[[#This Row],[Fault Type]]="PM",IF(L12&lt;=(D12-C12),"Yes","No"),"")</f>
        <v/>
      </c>
      <c r="O12" s="16" t="str">
        <f t="shared" si="2"/>
        <v/>
      </c>
      <c r="P1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12" s="17"/>
    </row>
    <row r="13" spans="1:17" s="116" customFormat="1" ht="15.5" x14ac:dyDescent="0.35">
      <c r="A13" s="124" t="s">
        <v>62</v>
      </c>
      <c r="B13" s="125" t="s">
        <v>150</v>
      </c>
      <c r="C13" s="126"/>
      <c r="D13" s="126"/>
      <c r="E13" s="126">
        <v>44776.166666666664</v>
      </c>
      <c r="F13" s="125"/>
      <c r="G13" s="159" t="s">
        <v>162</v>
      </c>
      <c r="H13" s="125" t="s">
        <v>623</v>
      </c>
      <c r="I13" s="125" t="s">
        <v>334</v>
      </c>
      <c r="J13" s="126">
        <v>44776.260416666664</v>
      </c>
      <c r="K13" s="129"/>
      <c r="L13" s="14">
        <f>J13-E13</f>
        <v>9.375E-2</v>
      </c>
      <c r="M13" s="31">
        <f>L13*F13</f>
        <v>0</v>
      </c>
      <c r="N13" s="15" t="str">
        <f>IF(Table2683264[[#This Row],[Fault Type]]="PM",IF(L13&lt;=(D13-C13),"Yes","No"),"")</f>
        <v/>
      </c>
      <c r="O13" s="16" t="str">
        <f>IF(N13="No",(L13-(D13-C13)),"")</f>
        <v/>
      </c>
      <c r="P1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13" s="130"/>
    </row>
    <row r="14" spans="1:17" ht="15.5" x14ac:dyDescent="0.35">
      <c r="A14" s="4" t="s">
        <v>113</v>
      </c>
      <c r="B14" s="12" t="s">
        <v>150</v>
      </c>
      <c r="C14" s="13"/>
      <c r="D14" s="13"/>
      <c r="E14" s="13">
        <v>44776.210416666669</v>
      </c>
      <c r="F14" s="12">
        <v>1.4</v>
      </c>
      <c r="G14" s="159" t="s">
        <v>439</v>
      </c>
      <c r="H14" s="12" t="s">
        <v>624</v>
      </c>
      <c r="I14" s="12" t="s">
        <v>334</v>
      </c>
      <c r="J14" s="13">
        <v>44776.349305555559</v>
      </c>
      <c r="K14" s="32"/>
      <c r="L14" s="14">
        <f t="shared" si="0"/>
        <v>0.13888888889050577</v>
      </c>
      <c r="M14" s="31">
        <f t="shared" si="1"/>
        <v>0.19444444444670805</v>
      </c>
      <c r="N14" s="15" t="str">
        <f>IF(Table2683264[[#This Row],[Fault Type]]="PM",IF(L14&lt;=(D14-C14),"Yes","No"),"")</f>
        <v/>
      </c>
      <c r="O14" s="16" t="str">
        <f t="shared" si="2"/>
        <v/>
      </c>
      <c r="P1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14" s="17"/>
    </row>
    <row r="15" spans="1:17" ht="15.5" x14ac:dyDescent="0.35">
      <c r="A15" s="4" t="s">
        <v>363</v>
      </c>
      <c r="B15" s="12" t="s">
        <v>150</v>
      </c>
      <c r="C15" s="13"/>
      <c r="D15" s="13"/>
      <c r="E15" s="13">
        <v>44776.230555555558</v>
      </c>
      <c r="F15" s="12"/>
      <c r="G15" s="159" t="s">
        <v>162</v>
      </c>
      <c r="H15" s="12" t="s">
        <v>559</v>
      </c>
      <c r="I15" s="12" t="s">
        <v>334</v>
      </c>
      <c r="J15" s="13">
        <v>44776.690972222219</v>
      </c>
      <c r="K15" s="32"/>
      <c r="L15" s="14">
        <f t="shared" si="0"/>
        <v>0.46041666666133096</v>
      </c>
      <c r="M15" s="31">
        <f t="shared" si="1"/>
        <v>0</v>
      </c>
      <c r="N15" s="15" t="str">
        <f>IF(Table2683264[[#This Row],[Fault Type]]="PM",IF(L15&lt;=(D15-C15),"Yes","No"),"")</f>
        <v/>
      </c>
      <c r="O15" s="16" t="str">
        <f t="shared" si="2"/>
        <v/>
      </c>
      <c r="P1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15" s="17"/>
    </row>
    <row r="16" spans="1:17" ht="15.5" x14ac:dyDescent="0.35">
      <c r="A16" s="4" t="s">
        <v>69</v>
      </c>
      <c r="B16" s="12" t="s">
        <v>150</v>
      </c>
      <c r="C16" s="13"/>
      <c r="D16" s="13"/>
      <c r="E16" s="13">
        <v>44776.191666666666</v>
      </c>
      <c r="F16" s="12">
        <v>3</v>
      </c>
      <c r="G16" s="159" t="s">
        <v>163</v>
      </c>
      <c r="H16" s="12" t="s">
        <v>625</v>
      </c>
      <c r="I16" s="12" t="s">
        <v>333</v>
      </c>
      <c r="J16" s="13">
        <v>44776.460416666669</v>
      </c>
      <c r="K16" s="32"/>
      <c r="L16" s="14">
        <f t="shared" si="0"/>
        <v>0.26875000000291038</v>
      </c>
      <c r="M16" s="31">
        <f t="shared" si="1"/>
        <v>0.80625000000873115</v>
      </c>
      <c r="N16" s="15" t="str">
        <f>IF(Table2683264[[#This Row],[Fault Type]]="PM",IF(L16&lt;=(D16-C16),"Yes","No"),"")</f>
        <v/>
      </c>
      <c r="O16" s="16" t="str">
        <f t="shared" si="2"/>
        <v/>
      </c>
      <c r="P1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16" s="17"/>
    </row>
    <row r="17" spans="1:17" ht="15.5" x14ac:dyDescent="0.35">
      <c r="A17" s="78" t="s">
        <v>444</v>
      </c>
      <c r="B17" s="12" t="s">
        <v>150</v>
      </c>
      <c r="C17" s="13"/>
      <c r="D17" s="13"/>
      <c r="E17" s="13">
        <v>44776.021527777775</v>
      </c>
      <c r="F17" s="12">
        <v>2.1</v>
      </c>
      <c r="G17" s="159" t="s">
        <v>164</v>
      </c>
      <c r="H17" s="18"/>
      <c r="I17" s="18"/>
      <c r="J17" s="13"/>
      <c r="K17" s="80"/>
      <c r="L17" s="14">
        <f>J17-E17</f>
        <v>-44776.021527777775</v>
      </c>
      <c r="M17" s="81">
        <f>L17*F17</f>
        <v>-94029.645208333328</v>
      </c>
      <c r="N17" s="15" t="str">
        <f>IF(Table2683264[[#This Row],[Fault Type]]="PM",IF(L17&lt;=(D17-C17),"Yes","No"),"")</f>
        <v/>
      </c>
      <c r="O17" s="16" t="str">
        <f>IF(N17="No",(L17-(D17-C17)),"")</f>
        <v/>
      </c>
      <c r="P1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17" s="17"/>
    </row>
    <row r="18" spans="1:17" ht="15.5" x14ac:dyDescent="0.35">
      <c r="A18" s="4" t="s">
        <v>626</v>
      </c>
      <c r="B18" s="12" t="s">
        <v>150</v>
      </c>
      <c r="C18" s="13"/>
      <c r="D18" s="13"/>
      <c r="E18" s="13">
        <v>44776.243055555555</v>
      </c>
      <c r="F18" s="12">
        <v>0.1</v>
      </c>
      <c r="G18" s="159" t="s">
        <v>164</v>
      </c>
      <c r="H18" s="12" t="s">
        <v>627</v>
      </c>
      <c r="I18" s="12" t="s">
        <v>334</v>
      </c>
      <c r="J18" s="13">
        <v>44776.73333333333</v>
      </c>
      <c r="K18" s="32"/>
      <c r="L18" s="14">
        <f t="shared" si="0"/>
        <v>0.49027777777519077</v>
      </c>
      <c r="M18" s="31">
        <f t="shared" si="1"/>
        <v>4.9027777777519078E-2</v>
      </c>
      <c r="N18" s="15" t="str">
        <f>IF(Table2683264[[#This Row],[Fault Type]]="PM",IF(L18&lt;=(D18-C18),"Yes","No"),"")</f>
        <v/>
      </c>
      <c r="O18" s="16" t="str">
        <f t="shared" si="2"/>
        <v/>
      </c>
      <c r="P18" s="30" t="e">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#N/A</v>
      </c>
      <c r="Q18" s="17"/>
    </row>
    <row r="19" spans="1:17" ht="15.5" x14ac:dyDescent="0.35">
      <c r="A19" s="4" t="s">
        <v>315</v>
      </c>
      <c r="B19" s="12" t="s">
        <v>150</v>
      </c>
      <c r="C19" s="13"/>
      <c r="D19" s="13"/>
      <c r="E19" s="13">
        <v>44776.280555555553</v>
      </c>
      <c r="F19" s="12">
        <v>2.2000000000000002</v>
      </c>
      <c r="G19" s="159" t="s">
        <v>164</v>
      </c>
      <c r="H19" s="12" t="s">
        <v>628</v>
      </c>
      <c r="I19" s="12" t="s">
        <v>334</v>
      </c>
      <c r="J19" s="13">
        <v>44776.39166666667</v>
      </c>
      <c r="K19" s="32"/>
      <c r="L19" s="14">
        <f t="shared" si="0"/>
        <v>0.11111111111677019</v>
      </c>
      <c r="M19" s="31">
        <f t="shared" si="1"/>
        <v>0.24444444445689445</v>
      </c>
      <c r="N19" s="15" t="str">
        <f>IF(Table2683264[[#This Row],[Fault Type]]="PM",IF(L19&lt;=(D19-C19),"Yes","No"),"")</f>
        <v/>
      </c>
      <c r="O19" s="16" t="str">
        <f t="shared" si="2"/>
        <v/>
      </c>
      <c r="P1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19" s="17"/>
    </row>
    <row r="20" spans="1:17" ht="15.5" x14ac:dyDescent="0.35">
      <c r="A20" s="4" t="s">
        <v>26</v>
      </c>
      <c r="B20" s="12" t="s">
        <v>150</v>
      </c>
      <c r="C20" s="13"/>
      <c r="D20" s="13"/>
      <c r="E20" s="13">
        <v>44776.021527777775</v>
      </c>
      <c r="F20" s="12">
        <v>1.5</v>
      </c>
      <c r="G20" s="159" t="s">
        <v>164</v>
      </c>
      <c r="H20" s="12" t="s">
        <v>629</v>
      </c>
      <c r="I20" s="12" t="s">
        <v>334</v>
      </c>
      <c r="J20" s="13">
        <v>44776.893750000003</v>
      </c>
      <c r="K20" s="32"/>
      <c r="L20" s="14">
        <f t="shared" si="0"/>
        <v>0.87222222222771961</v>
      </c>
      <c r="M20" s="31">
        <f t="shared" si="1"/>
        <v>1.3083333333415794</v>
      </c>
      <c r="N20" s="15" t="str">
        <f>IF(Table2683264[[#This Row],[Fault Type]]="PM",IF(L20&lt;=(D20-C20),"Yes","No"),"")</f>
        <v/>
      </c>
      <c r="O20" s="16" t="str">
        <f t="shared" si="2"/>
        <v/>
      </c>
      <c r="P2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20" s="17"/>
    </row>
    <row r="21" spans="1:17" ht="15.5" x14ac:dyDescent="0.35">
      <c r="A21" s="4" t="s">
        <v>38</v>
      </c>
      <c r="B21" s="12" t="s">
        <v>150</v>
      </c>
      <c r="C21" s="13"/>
      <c r="D21" s="13"/>
      <c r="E21" s="13">
        <v>44776.302083333336</v>
      </c>
      <c r="F21" s="12">
        <v>14.6</v>
      </c>
      <c r="G21" s="159" t="s">
        <v>162</v>
      </c>
      <c r="H21" s="12" t="s">
        <v>526</v>
      </c>
      <c r="I21" s="12" t="s">
        <v>526</v>
      </c>
      <c r="J21" s="13">
        <v>44776.319444444445</v>
      </c>
      <c r="K21" s="32"/>
      <c r="L21" s="14">
        <f t="shared" si="0"/>
        <v>1.7361111109494232E-2</v>
      </c>
      <c r="M21" s="31">
        <f t="shared" si="1"/>
        <v>0.25347222219861576</v>
      </c>
      <c r="N21" s="15" t="str">
        <f>IF(Table2683264[[#This Row],[Fault Type]]="PM",IF(L21&lt;=(D21-C21),"Yes","No"),"")</f>
        <v/>
      </c>
      <c r="O21" s="16" t="str">
        <f t="shared" si="2"/>
        <v/>
      </c>
      <c r="P2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1" s="17"/>
    </row>
    <row r="22" spans="1:17" ht="15.5" x14ac:dyDescent="0.35">
      <c r="A22" s="4" t="s">
        <v>40</v>
      </c>
      <c r="B22" s="12" t="s">
        <v>150</v>
      </c>
      <c r="C22" s="13"/>
      <c r="D22" s="13"/>
      <c r="E22" s="13">
        <v>44776.305555555555</v>
      </c>
      <c r="F22" s="18">
        <v>6.3</v>
      </c>
      <c r="G22" s="159" t="s">
        <v>163</v>
      </c>
      <c r="H22" s="18" t="s">
        <v>630</v>
      </c>
      <c r="I22" s="18" t="s">
        <v>333</v>
      </c>
      <c r="J22" s="13">
        <v>44776.319444444445</v>
      </c>
      <c r="K22" s="32"/>
      <c r="L22" s="14">
        <f t="shared" si="0"/>
        <v>1.3888888890505768E-2</v>
      </c>
      <c r="M22" s="31">
        <f t="shared" si="1"/>
        <v>8.7500000010186332E-2</v>
      </c>
      <c r="N22" s="15" t="str">
        <f>IF(Table2683264[[#This Row],[Fault Type]]="PM",IF(L22&lt;=(D22-C22),"Yes","No"),"")</f>
        <v/>
      </c>
      <c r="O22" s="16" t="str">
        <f t="shared" si="2"/>
        <v/>
      </c>
      <c r="P2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2" s="17"/>
    </row>
    <row r="23" spans="1:17" ht="15.5" x14ac:dyDescent="0.35">
      <c r="A23" s="78" t="s">
        <v>17</v>
      </c>
      <c r="B23" s="12" t="s">
        <v>150</v>
      </c>
      <c r="C23" s="13"/>
      <c r="D23" s="13"/>
      <c r="E23" s="13">
        <v>44776.322222222225</v>
      </c>
      <c r="F23" s="18">
        <v>13</v>
      </c>
      <c r="G23" s="159" t="s">
        <v>162</v>
      </c>
      <c r="H23" s="18" t="s">
        <v>526</v>
      </c>
      <c r="I23" s="18" t="s">
        <v>526</v>
      </c>
      <c r="J23" s="13">
        <v>44776.32916666667</v>
      </c>
      <c r="K23" s="80"/>
      <c r="L23" s="14">
        <f>J23-E23</f>
        <v>6.9444444452528842E-3</v>
      </c>
      <c r="M23" s="81">
        <f>L23*F23</f>
        <v>9.0277777788287494E-2</v>
      </c>
      <c r="N23" s="15" t="str">
        <f>IF(Table2683264[[#This Row],[Fault Type]]="PM",IF(L23&lt;=(D23-C23),"Yes","No"),"")</f>
        <v/>
      </c>
      <c r="O23" s="16" t="str">
        <f>IF(N23="No",(L23-(D23-C23)),"")</f>
        <v/>
      </c>
      <c r="P2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3" s="17"/>
    </row>
    <row r="24" spans="1:17" ht="15.5" x14ac:dyDescent="0.35">
      <c r="A24" s="4" t="s">
        <v>17</v>
      </c>
      <c r="B24" s="12" t="s">
        <v>150</v>
      </c>
      <c r="C24" s="13"/>
      <c r="D24" s="13"/>
      <c r="E24" s="13">
        <v>44776.361805555556</v>
      </c>
      <c r="F24" s="12">
        <v>13</v>
      </c>
      <c r="G24" s="159"/>
      <c r="H24" s="12" t="s">
        <v>631</v>
      </c>
      <c r="I24" s="12" t="s">
        <v>333</v>
      </c>
      <c r="J24" s="13">
        <v>44776.365277777775</v>
      </c>
      <c r="K24" s="32"/>
      <c r="L24" s="14">
        <f t="shared" si="0"/>
        <v>3.4722222189884633E-3</v>
      </c>
      <c r="M24" s="31">
        <f t="shared" si="1"/>
        <v>4.5138888846850023E-2</v>
      </c>
      <c r="N24" s="15" t="str">
        <f>IF(Table2683264[[#This Row],[Fault Type]]="PM",IF(L24&lt;=(D24-C24),"Yes","No"),"")</f>
        <v/>
      </c>
      <c r="O24" s="16" t="str">
        <f t="shared" si="2"/>
        <v/>
      </c>
      <c r="P2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4" s="17"/>
    </row>
    <row r="25" spans="1:17" ht="15.5" x14ac:dyDescent="0.35">
      <c r="A25" s="158" t="s">
        <v>131</v>
      </c>
      <c r="B25" s="12" t="s">
        <v>150</v>
      </c>
      <c r="C25" s="13"/>
      <c r="D25" s="13"/>
      <c r="E25" s="13">
        <v>44776.287499999999</v>
      </c>
      <c r="F25" s="12">
        <v>1.6</v>
      </c>
      <c r="G25" s="159" t="s">
        <v>164</v>
      </c>
      <c r="H25" s="18" t="s">
        <v>632</v>
      </c>
      <c r="I25" s="18" t="s">
        <v>333</v>
      </c>
      <c r="J25" s="13">
        <v>44776.513888888891</v>
      </c>
      <c r="K25" s="32"/>
      <c r="L25" s="14">
        <f>J25-E25</f>
        <v>0.22638888889196096</v>
      </c>
      <c r="M25" s="81">
        <f>L25*F25</f>
        <v>0.36222222222713757</v>
      </c>
      <c r="N25" s="15" t="str">
        <f>IF(Table2683264[[#This Row],[Fault Type]]="PM",IF(L25&lt;=(D25-C25),"Yes","No"),"")</f>
        <v/>
      </c>
      <c r="O25" s="16" t="str">
        <f>IF(N25="No",(L25-(D25-C25)),"")</f>
        <v/>
      </c>
      <c r="P2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25" s="17"/>
    </row>
    <row r="26" spans="1:17" ht="15.5" x14ac:dyDescent="0.35">
      <c r="A26" s="4" t="s">
        <v>317</v>
      </c>
      <c r="B26" s="12" t="s">
        <v>150</v>
      </c>
      <c r="C26" s="13"/>
      <c r="D26" s="13"/>
      <c r="E26" s="13">
        <v>44776.381249999999</v>
      </c>
      <c r="F26" s="18">
        <v>0.6</v>
      </c>
      <c r="G26" s="159" t="s">
        <v>162</v>
      </c>
      <c r="H26" s="18" t="s">
        <v>526</v>
      </c>
      <c r="I26" s="18" t="s">
        <v>526</v>
      </c>
      <c r="J26" s="13">
        <v>44776.486111111109</v>
      </c>
      <c r="K26" s="32"/>
      <c r="L26" s="14">
        <f t="shared" si="0"/>
        <v>0.10486111111094942</v>
      </c>
      <c r="M26" s="31">
        <f t="shared" si="1"/>
        <v>6.2916666666569657E-2</v>
      </c>
      <c r="N26" s="15" t="str">
        <f>IF(Table2683264[[#This Row],[Fault Type]]="PM",IF(L26&lt;=(D26-C26),"Yes","No"),"")</f>
        <v/>
      </c>
      <c r="O26" s="16" t="str">
        <f t="shared" si="2"/>
        <v/>
      </c>
      <c r="P2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6" s="17"/>
    </row>
    <row r="27" spans="1:17" ht="15.5" x14ac:dyDescent="0.35">
      <c r="A27" s="4" t="s">
        <v>31</v>
      </c>
      <c r="B27" s="12" t="s">
        <v>150</v>
      </c>
      <c r="C27" s="13"/>
      <c r="D27" s="13"/>
      <c r="E27" s="13">
        <v>44776.387499999997</v>
      </c>
      <c r="F27" s="18">
        <v>10.7</v>
      </c>
      <c r="G27" s="159" t="s">
        <v>163</v>
      </c>
      <c r="H27" s="54" t="s">
        <v>633</v>
      </c>
      <c r="I27" s="54" t="s">
        <v>334</v>
      </c>
      <c r="J27" s="13">
        <v>44776.638194444444</v>
      </c>
      <c r="K27" s="32"/>
      <c r="L27" s="14">
        <f t="shared" si="0"/>
        <v>0.25069444444670808</v>
      </c>
      <c r="M27" s="31">
        <f>L27*F28</f>
        <v>1.052916666676174</v>
      </c>
      <c r="N27" s="15" t="str">
        <f>IF(Table2683264[[#This Row],[Fault Type]]="PM",IF(L27&lt;=(D27-C27),"Yes","No"),"")</f>
        <v/>
      </c>
      <c r="O27" s="16" t="str">
        <f t="shared" si="2"/>
        <v/>
      </c>
      <c r="P2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27" s="17"/>
    </row>
    <row r="28" spans="1:17" ht="15.5" x14ac:dyDescent="0.35">
      <c r="A28" s="4" t="s">
        <v>179</v>
      </c>
      <c r="B28" s="12" t="s">
        <v>150</v>
      </c>
      <c r="C28" s="13"/>
      <c r="D28" s="13"/>
      <c r="E28" s="13">
        <v>44776.434027777781</v>
      </c>
      <c r="F28" s="18">
        <v>4.2</v>
      </c>
      <c r="G28" s="159" t="s">
        <v>163</v>
      </c>
      <c r="H28" s="18" t="s">
        <v>634</v>
      </c>
      <c r="I28" s="18" t="s">
        <v>334</v>
      </c>
      <c r="J28" s="13">
        <v>44776.472222222219</v>
      </c>
      <c r="K28" s="32"/>
      <c r="L28" s="14">
        <f t="shared" si="0"/>
        <v>3.8194444437976927E-2</v>
      </c>
      <c r="M28" s="31">
        <f>L28*F29</f>
        <v>9.9305555538740015E-2</v>
      </c>
      <c r="N28" s="15" t="str">
        <f>IF(Table2683264[[#This Row],[Fault Type]]="PM",IF(L28&lt;=(D28-C28),"Yes","No"),"")</f>
        <v/>
      </c>
      <c r="O28" s="16" t="str">
        <f t="shared" si="2"/>
        <v/>
      </c>
      <c r="P2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28" s="17"/>
    </row>
    <row r="29" spans="1:17" ht="15.5" x14ac:dyDescent="0.35">
      <c r="A29" s="4" t="s">
        <v>539</v>
      </c>
      <c r="B29" s="12" t="s">
        <v>150</v>
      </c>
      <c r="C29" s="13"/>
      <c r="D29" s="13"/>
      <c r="E29" s="13">
        <v>44776.440972222219</v>
      </c>
      <c r="F29" s="18">
        <v>2.6</v>
      </c>
      <c r="G29" s="159" t="s">
        <v>164</v>
      </c>
      <c r="H29" s="18" t="s">
        <v>635</v>
      </c>
      <c r="I29" s="18" t="s">
        <v>333</v>
      </c>
      <c r="J29" s="13">
        <v>44776.551388888889</v>
      </c>
      <c r="K29" s="32"/>
      <c r="L29" s="14">
        <f t="shared" si="0"/>
        <v>0.11041666667006211</v>
      </c>
      <c r="M29" s="31">
        <f>L29*F30</f>
        <v>0.3864583333452174</v>
      </c>
      <c r="N29" s="15" t="str">
        <f>IF(Table2683264[[#This Row],[Fault Type]]="PM",IF(L29&lt;=(D29-C29),"Yes","No"),"")</f>
        <v/>
      </c>
      <c r="O29" s="16" t="str">
        <f t="shared" si="2"/>
        <v/>
      </c>
      <c r="P29" s="30" t="e">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#N/A</v>
      </c>
      <c r="Q29" s="17"/>
    </row>
    <row r="30" spans="1:17" ht="15.5" x14ac:dyDescent="0.35">
      <c r="A30" s="4" t="s">
        <v>36</v>
      </c>
      <c r="B30" s="12" t="s">
        <v>150</v>
      </c>
      <c r="C30" s="13"/>
      <c r="D30" s="13"/>
      <c r="E30" s="13">
        <v>44776.456250000003</v>
      </c>
      <c r="F30" s="18">
        <v>3.5</v>
      </c>
      <c r="G30" s="159" t="s">
        <v>163</v>
      </c>
      <c r="H30" s="18" t="s">
        <v>636</v>
      </c>
      <c r="I30" s="18" t="s">
        <v>334</v>
      </c>
      <c r="J30" s="13">
        <v>44776.494444444441</v>
      </c>
      <c r="K30" s="32"/>
      <c r="L30" s="14">
        <f t="shared" si="0"/>
        <v>3.8194444437976927E-2</v>
      </c>
      <c r="M30" s="31">
        <f t="shared" ref="M30:M100" si="3">L30*F30</f>
        <v>0.13368055553291924</v>
      </c>
      <c r="N30" s="15" t="str">
        <f>IF(Table2683264[[#This Row],[Fault Type]]="PM",IF(L30&lt;=(D30-C30),"Yes","No"),"")</f>
        <v/>
      </c>
      <c r="O30" s="16" t="str">
        <f t="shared" si="2"/>
        <v/>
      </c>
      <c r="P3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0" s="17"/>
    </row>
    <row r="31" spans="1:17" ht="15.5" x14ac:dyDescent="0.35">
      <c r="A31" s="78" t="s">
        <v>354</v>
      </c>
      <c r="B31" s="12" t="s">
        <v>150</v>
      </c>
      <c r="C31" s="13"/>
      <c r="D31" s="13"/>
      <c r="E31" s="13">
        <v>44776.456250000003</v>
      </c>
      <c r="F31" s="18">
        <v>10.5</v>
      </c>
      <c r="G31" s="159" t="s">
        <v>163</v>
      </c>
      <c r="H31" s="18" t="s">
        <v>637</v>
      </c>
      <c r="I31" s="18" t="s">
        <v>334</v>
      </c>
      <c r="J31" s="13">
        <v>44776.463888888888</v>
      </c>
      <c r="K31" s="80"/>
      <c r="L31" s="14">
        <f>J31-E31</f>
        <v>7.6388888846850023E-3</v>
      </c>
      <c r="M31" s="81">
        <f>L31*F31</f>
        <v>8.0208333289192524E-2</v>
      </c>
      <c r="N31" s="15" t="str">
        <f>IF(Table2683264[[#This Row],[Fault Type]]="PM",IF(L31&lt;=(D31-C31),"Yes","No"),"")</f>
        <v/>
      </c>
      <c r="O31" s="16" t="str">
        <f>IF(N31="No",(L31-(D31-C31)),"")</f>
        <v/>
      </c>
      <c r="P3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1" s="17"/>
    </row>
    <row r="32" spans="1:17" ht="15.5" x14ac:dyDescent="0.35">
      <c r="A32" s="4" t="s">
        <v>70</v>
      </c>
      <c r="B32" s="12" t="s">
        <v>150</v>
      </c>
      <c r="C32" s="13"/>
      <c r="D32" s="13"/>
      <c r="E32" s="13">
        <v>44776.419444444444</v>
      </c>
      <c r="F32" s="18"/>
      <c r="G32" s="159" t="s">
        <v>163</v>
      </c>
      <c r="H32" s="18" t="s">
        <v>638</v>
      </c>
      <c r="I32" s="18" t="s">
        <v>333</v>
      </c>
      <c r="J32" s="13">
        <v>44776.923611111109</v>
      </c>
      <c r="K32" s="32"/>
      <c r="L32" s="14">
        <f t="shared" si="0"/>
        <v>0.50416666666569654</v>
      </c>
      <c r="M32" s="31">
        <f t="shared" si="3"/>
        <v>0</v>
      </c>
      <c r="N32" s="15" t="str">
        <f>IF(Table2683264[[#This Row],[Fault Type]]="PM",IF(L32&lt;=(D32-C32),"Yes","No"),"")</f>
        <v/>
      </c>
      <c r="O32" s="16" t="str">
        <f t="shared" si="2"/>
        <v/>
      </c>
      <c r="P3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32" s="17"/>
    </row>
    <row r="33" spans="1:17" ht="15.5" x14ac:dyDescent="0.35">
      <c r="A33" s="4" t="s">
        <v>85</v>
      </c>
      <c r="B33" s="12" t="s">
        <v>150</v>
      </c>
      <c r="C33" s="13"/>
      <c r="D33" s="13"/>
      <c r="E33" s="13">
        <v>44776.472222222219</v>
      </c>
      <c r="F33" s="18">
        <v>3.8</v>
      </c>
      <c r="G33" s="159" t="s">
        <v>163</v>
      </c>
      <c r="H33" s="18" t="s">
        <v>639</v>
      </c>
      <c r="I33" s="18" t="s">
        <v>334</v>
      </c>
      <c r="J33" s="13">
        <v>44776.712500000001</v>
      </c>
      <c r="K33" s="32"/>
      <c r="L33" s="14">
        <f t="shared" si="0"/>
        <v>0.24027777778246673</v>
      </c>
      <c r="M33" s="31">
        <f t="shared" si="3"/>
        <v>0.91305555557337348</v>
      </c>
      <c r="N33" s="15" t="str">
        <f>IF(Table2683264[[#This Row],[Fault Type]]="PM",IF(L33&lt;=(D33-C33),"Yes","No"),"")</f>
        <v/>
      </c>
      <c r="O33" s="16" t="str">
        <f t="shared" si="2"/>
        <v/>
      </c>
      <c r="P3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33" s="17"/>
    </row>
    <row r="34" spans="1:17" ht="15.5" x14ac:dyDescent="0.35">
      <c r="A34" s="4" t="s">
        <v>69</v>
      </c>
      <c r="B34" s="12" t="s">
        <v>150</v>
      </c>
      <c r="C34" s="13"/>
      <c r="D34" s="13"/>
      <c r="E34" s="13">
        <v>44776.475694444445</v>
      </c>
      <c r="F34" s="12">
        <v>4.7</v>
      </c>
      <c r="G34" s="159" t="s">
        <v>163</v>
      </c>
      <c r="H34" s="12" t="s">
        <v>640</v>
      </c>
      <c r="I34" s="12" t="s">
        <v>334</v>
      </c>
      <c r="J34" s="13">
        <v>44776.629861111112</v>
      </c>
      <c r="K34" s="32"/>
      <c r="L34" s="14">
        <f t="shared" si="0"/>
        <v>0.15416666666715173</v>
      </c>
      <c r="M34" s="31">
        <f t="shared" si="3"/>
        <v>0.7245833333356132</v>
      </c>
      <c r="N34" s="15" t="str">
        <f>IF(Table2683264[[#This Row],[Fault Type]]="PM",IF(L34&lt;=(D34-C34),"Yes","No"),"")</f>
        <v/>
      </c>
      <c r="O34" s="16" t="str">
        <f t="shared" si="2"/>
        <v/>
      </c>
      <c r="P3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4" s="17"/>
    </row>
    <row r="35" spans="1:17" ht="15.5" x14ac:dyDescent="0.35">
      <c r="A35" s="4" t="s">
        <v>122</v>
      </c>
      <c r="B35" s="12" t="s">
        <v>150</v>
      </c>
      <c r="C35" s="13"/>
      <c r="D35" s="13"/>
      <c r="E35" s="13">
        <v>44776.490972222222</v>
      </c>
      <c r="F35" s="18">
        <v>3.1</v>
      </c>
      <c r="G35" s="159" t="s">
        <v>164</v>
      </c>
      <c r="H35" s="18" t="s">
        <v>641</v>
      </c>
      <c r="I35" s="18"/>
      <c r="J35" s="13">
        <v>44776.518055555556</v>
      </c>
      <c r="K35" s="32"/>
      <c r="L35" s="14">
        <f t="shared" si="0"/>
        <v>2.7083333334303461E-2</v>
      </c>
      <c r="M35" s="31">
        <f t="shared" si="3"/>
        <v>8.3958333336340729E-2</v>
      </c>
      <c r="N35" s="15" t="str">
        <f>IF(Table2683264[[#This Row],[Fault Type]]="PM",IF(L35&lt;=(D35-C35),"Yes","No"),"")</f>
        <v/>
      </c>
      <c r="O35" s="16" t="str">
        <f t="shared" si="2"/>
        <v/>
      </c>
      <c r="P3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5" s="17"/>
    </row>
    <row r="36" spans="1:17" ht="15.5" x14ac:dyDescent="0.35">
      <c r="A36" s="4" t="s">
        <v>41</v>
      </c>
      <c r="B36" s="12" t="s">
        <v>150</v>
      </c>
      <c r="C36" s="13"/>
      <c r="D36" s="13"/>
      <c r="E36" s="13">
        <v>44776.510416666664</v>
      </c>
      <c r="F36" s="12">
        <v>6.5</v>
      </c>
      <c r="G36" s="159" t="s">
        <v>162</v>
      </c>
      <c r="H36" s="12" t="s">
        <v>526</v>
      </c>
      <c r="I36" s="12"/>
      <c r="J36" s="13">
        <v>44776.520833333336</v>
      </c>
      <c r="K36" s="32"/>
      <c r="L36" s="14">
        <f t="shared" si="0"/>
        <v>1.0416666671517305E-2</v>
      </c>
      <c r="M36" s="31">
        <f t="shared" si="3"/>
        <v>6.7708333364862483E-2</v>
      </c>
      <c r="N36" s="15" t="str">
        <f>IF(Table2683264[[#This Row],[Fault Type]]="PM",IF(L36&lt;=(D36-C36),"Yes","No"),"")</f>
        <v/>
      </c>
      <c r="O36" s="16" t="str">
        <f t="shared" si="2"/>
        <v/>
      </c>
      <c r="P3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6" s="17"/>
    </row>
    <row r="37" spans="1:17" ht="15.5" x14ac:dyDescent="0.35">
      <c r="A37" s="4" t="s">
        <v>317</v>
      </c>
      <c r="B37" s="12" t="s">
        <v>158</v>
      </c>
      <c r="C37" s="13"/>
      <c r="D37" s="13"/>
      <c r="E37" s="13">
        <v>44776.54583333333</v>
      </c>
      <c r="F37" s="18">
        <v>0.6</v>
      </c>
      <c r="G37" s="159"/>
      <c r="H37" s="18" t="s">
        <v>642</v>
      </c>
      <c r="I37" s="18" t="s">
        <v>333</v>
      </c>
      <c r="J37" s="13">
        <v>44776.729166666664</v>
      </c>
      <c r="K37" s="32"/>
      <c r="L37" s="14">
        <f t="shared" si="0"/>
        <v>0.18333333333430346</v>
      </c>
      <c r="M37" s="31">
        <f t="shared" si="3"/>
        <v>0.11000000000058208</v>
      </c>
      <c r="N37" s="15" t="str">
        <f>IF(Table2683264[[#This Row],[Fault Type]]="PM",IF(L37&lt;=(D37-C37),"Yes","No"),"")</f>
        <v/>
      </c>
      <c r="O37" s="16" t="str">
        <f t="shared" si="2"/>
        <v/>
      </c>
      <c r="P3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37" s="17"/>
    </row>
    <row r="38" spans="1:17" ht="15.5" x14ac:dyDescent="0.35">
      <c r="A38" s="4" t="s">
        <v>126</v>
      </c>
      <c r="B38" s="12" t="s">
        <v>150</v>
      </c>
      <c r="C38" s="13"/>
      <c r="D38" s="13"/>
      <c r="E38" s="13">
        <v>44776.513888888891</v>
      </c>
      <c r="F38" s="18">
        <v>3.2</v>
      </c>
      <c r="G38" s="159" t="s">
        <v>164</v>
      </c>
      <c r="H38" s="18" t="s">
        <v>643</v>
      </c>
      <c r="I38" s="18" t="s">
        <v>334</v>
      </c>
      <c r="J38" s="13">
        <v>44776.635416666664</v>
      </c>
      <c r="K38" s="32"/>
      <c r="L38" s="14">
        <f t="shared" si="0"/>
        <v>0.12152777777373558</v>
      </c>
      <c r="M38" s="31">
        <f t="shared" si="3"/>
        <v>0.38888888887595385</v>
      </c>
      <c r="N38" s="15" t="str">
        <f>IF(Table2683264[[#This Row],[Fault Type]]="PM",IF(L38&lt;=(D38-C38),"Yes","No"),"")</f>
        <v/>
      </c>
      <c r="O38" s="16" t="str">
        <f t="shared" si="2"/>
        <v/>
      </c>
      <c r="P3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8" s="17"/>
    </row>
    <row r="39" spans="1:17" ht="15.5" x14ac:dyDescent="0.35">
      <c r="A39" s="4" t="s">
        <v>41</v>
      </c>
      <c r="B39" s="12" t="s">
        <v>150</v>
      </c>
      <c r="C39" s="13"/>
      <c r="D39" s="13"/>
      <c r="E39" s="13">
        <v>44776.577777777777</v>
      </c>
      <c r="F39" s="18">
        <v>6</v>
      </c>
      <c r="G39" s="159" t="s">
        <v>163</v>
      </c>
      <c r="H39" s="18" t="s">
        <v>644</v>
      </c>
      <c r="I39" s="18" t="s">
        <v>334</v>
      </c>
      <c r="J39" s="13">
        <v>44776.768750000003</v>
      </c>
      <c r="K39" s="32"/>
      <c r="L39" s="14">
        <f t="shared" si="0"/>
        <v>0.19097222222626442</v>
      </c>
      <c r="M39" s="31">
        <f t="shared" si="3"/>
        <v>1.1458333333575865</v>
      </c>
      <c r="N39" s="15" t="str">
        <f>IF(Table2683264[[#This Row],[Fault Type]]="PM",IF(L39&lt;=(D39-C39),"Yes","No"),"")</f>
        <v/>
      </c>
      <c r="O39" s="16" t="str">
        <f t="shared" si="2"/>
        <v/>
      </c>
      <c r="P3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39" s="17"/>
    </row>
    <row r="40" spans="1:17" ht="15.5" x14ac:dyDescent="0.35">
      <c r="A40" s="4" t="s">
        <v>38</v>
      </c>
      <c r="B40" s="12" t="s">
        <v>150</v>
      </c>
      <c r="C40" s="13"/>
      <c r="D40" s="13"/>
      <c r="E40" s="13">
        <v>44776.585416666669</v>
      </c>
      <c r="F40" s="18">
        <v>16.7</v>
      </c>
      <c r="G40" s="159" t="s">
        <v>163</v>
      </c>
      <c r="H40" s="18" t="s">
        <v>645</v>
      </c>
      <c r="I40" s="18" t="s">
        <v>333</v>
      </c>
      <c r="J40" s="13">
        <v>44776.688194444447</v>
      </c>
      <c r="K40" s="32"/>
      <c r="L40" s="14">
        <f t="shared" si="0"/>
        <v>0.10277777777810115</v>
      </c>
      <c r="M40" s="31">
        <f t="shared" si="3"/>
        <v>1.7163888888942891</v>
      </c>
      <c r="N40" s="15" t="str">
        <f>IF(Table2683264[[#This Row],[Fault Type]]="PM",IF(L40&lt;=(D40-C40),"Yes","No"),"")</f>
        <v/>
      </c>
      <c r="O40" s="16" t="str">
        <f t="shared" si="2"/>
        <v/>
      </c>
      <c r="P4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0" s="17"/>
    </row>
    <row r="41" spans="1:17" ht="15.5" x14ac:dyDescent="0.35">
      <c r="A41" s="4" t="s">
        <v>354</v>
      </c>
      <c r="B41" s="12" t="s">
        <v>150</v>
      </c>
      <c r="C41" s="13"/>
      <c r="D41" s="13"/>
      <c r="E41" s="13">
        <v>44776.587500000001</v>
      </c>
      <c r="F41" s="18">
        <v>9</v>
      </c>
      <c r="G41" s="159" t="s">
        <v>163</v>
      </c>
      <c r="H41" s="18"/>
      <c r="I41" s="18"/>
      <c r="J41" s="160"/>
      <c r="K41" s="32"/>
      <c r="L41" s="14">
        <f t="shared" si="0"/>
        <v>-44776.587500000001</v>
      </c>
      <c r="M41" s="31">
        <f t="shared" si="3"/>
        <v>-402989.28750000003</v>
      </c>
      <c r="N41" s="15" t="str">
        <f>IF(Table2683264[[#This Row],[Fault Type]]="PM",IF(L41&lt;=(D41-C41),"Yes","No"),"")</f>
        <v/>
      </c>
      <c r="O41" s="16" t="str">
        <f t="shared" si="2"/>
        <v/>
      </c>
      <c r="P4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41" s="17"/>
    </row>
    <row r="42" spans="1:17" ht="15.5" x14ac:dyDescent="0.35">
      <c r="A42" s="4" t="s">
        <v>84</v>
      </c>
      <c r="B42" s="12" t="s">
        <v>150</v>
      </c>
      <c r="C42" s="13"/>
      <c r="D42" s="13"/>
      <c r="E42" s="13">
        <v>44776.600694444445</v>
      </c>
      <c r="F42" s="18"/>
      <c r="G42" s="159" t="s">
        <v>163</v>
      </c>
      <c r="H42" s="18" t="s">
        <v>646</v>
      </c>
      <c r="I42" s="18" t="s">
        <v>333</v>
      </c>
      <c r="J42" s="13">
        <v>44776.772222222222</v>
      </c>
      <c r="K42" s="32"/>
      <c r="L42" s="14">
        <f t="shared" si="0"/>
        <v>0.17152777777664596</v>
      </c>
      <c r="M42" s="31">
        <f t="shared" si="3"/>
        <v>0</v>
      </c>
      <c r="N42" s="15" t="str">
        <f>IF(Table2683264[[#This Row],[Fault Type]]="PM",IF(L42&lt;=(D42-C42),"Yes","No"),"")</f>
        <v/>
      </c>
      <c r="O42" s="16" t="str">
        <f t="shared" si="2"/>
        <v/>
      </c>
      <c r="P4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42" s="17"/>
    </row>
    <row r="43" spans="1:17" ht="15.5" x14ac:dyDescent="0.35">
      <c r="A43" s="4" t="s">
        <v>32</v>
      </c>
      <c r="B43" s="12" t="s">
        <v>150</v>
      </c>
      <c r="C43" s="13"/>
      <c r="D43" s="13"/>
      <c r="E43" s="13">
        <v>44776.606249999997</v>
      </c>
      <c r="F43" s="18">
        <v>10</v>
      </c>
      <c r="G43" s="159" t="s">
        <v>163</v>
      </c>
      <c r="H43" s="18" t="s">
        <v>508</v>
      </c>
      <c r="I43" s="18" t="s">
        <v>334</v>
      </c>
      <c r="J43" s="13">
        <v>44776.651388888888</v>
      </c>
      <c r="K43" s="32"/>
      <c r="L43" s="14">
        <f t="shared" si="0"/>
        <v>4.5138888890505768E-2</v>
      </c>
      <c r="M43" s="31">
        <f t="shared" si="3"/>
        <v>0.45138888890505768</v>
      </c>
      <c r="N43" s="15" t="str">
        <f>IF(Table2683264[[#This Row],[Fault Type]]="PM",IF(L43&lt;=(D43-C43),"Yes","No"),"")</f>
        <v/>
      </c>
      <c r="O43" s="16" t="str">
        <f t="shared" si="2"/>
        <v/>
      </c>
      <c r="P4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3" s="17"/>
    </row>
    <row r="44" spans="1:17" ht="15.5" x14ac:dyDescent="0.35">
      <c r="A44" s="4" t="s">
        <v>449</v>
      </c>
      <c r="B44" s="12" t="s">
        <v>150</v>
      </c>
      <c r="C44" s="13"/>
      <c r="D44" s="13"/>
      <c r="E44" s="13">
        <v>44776.613194444442</v>
      </c>
      <c r="F44" s="18">
        <v>4.7</v>
      </c>
      <c r="G44" s="159" t="s">
        <v>162</v>
      </c>
      <c r="H44" s="18" t="s">
        <v>508</v>
      </c>
      <c r="I44" s="18" t="s">
        <v>334</v>
      </c>
      <c r="J44" s="13">
        <v>44776.852083333331</v>
      </c>
      <c r="K44" s="32"/>
      <c r="L44" s="14">
        <f t="shared" si="0"/>
        <v>0.23888888888905058</v>
      </c>
      <c r="M44" s="31">
        <f t="shared" si="3"/>
        <v>1.1227777777785377</v>
      </c>
      <c r="N44" s="15" t="str">
        <f>IF(Table2683264[[#This Row],[Fault Type]]="PM",IF(L44&lt;=(D44-C44),"Yes","No"),"")</f>
        <v/>
      </c>
      <c r="O44" s="16" t="str">
        <f t="shared" si="2"/>
        <v/>
      </c>
      <c r="P4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44" s="17"/>
    </row>
    <row r="45" spans="1:17" ht="15.5" x14ac:dyDescent="0.35">
      <c r="A45" s="78" t="s">
        <v>45</v>
      </c>
      <c r="B45" s="12" t="s">
        <v>150</v>
      </c>
      <c r="C45" s="13"/>
      <c r="D45" s="13"/>
      <c r="E45" s="13">
        <v>44776.624305555553</v>
      </c>
      <c r="F45" s="18">
        <v>0.4</v>
      </c>
      <c r="G45" s="159" t="s">
        <v>164</v>
      </c>
      <c r="H45" s="18" t="s">
        <v>647</v>
      </c>
      <c r="I45" s="18" t="s">
        <v>334</v>
      </c>
      <c r="J45" s="13">
        <v>44776.909722222219</v>
      </c>
      <c r="K45" s="80"/>
      <c r="L45" s="14">
        <f>J45-E45</f>
        <v>0.28541666666569654</v>
      </c>
      <c r="M45" s="81">
        <f>L45*F45</f>
        <v>0.11416666666627862</v>
      </c>
      <c r="N45" s="15" t="str">
        <f>IF(Table2683264[[#This Row],[Fault Type]]="PM",IF(L45&lt;=(D45-C45),"Yes","No"),"")</f>
        <v/>
      </c>
      <c r="O45" s="16" t="str">
        <f>IF(N45="No",(L45-(D45-C45)),"")</f>
        <v/>
      </c>
      <c r="P4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5" s="17"/>
    </row>
    <row r="46" spans="1:17" ht="15.5" x14ac:dyDescent="0.35">
      <c r="A46" s="4" t="s">
        <v>191</v>
      </c>
      <c r="B46" s="12" t="s">
        <v>158</v>
      </c>
      <c r="C46" s="13"/>
      <c r="D46" s="13"/>
      <c r="E46" s="13">
        <v>44776.638888888891</v>
      </c>
      <c r="F46" s="18">
        <v>2.6</v>
      </c>
      <c r="G46" s="159"/>
      <c r="H46" s="18" t="s">
        <v>648</v>
      </c>
      <c r="I46" s="18" t="s">
        <v>334</v>
      </c>
      <c r="J46" s="13">
        <v>44776.748611111114</v>
      </c>
      <c r="K46" s="32"/>
      <c r="L46" s="14">
        <f t="shared" si="0"/>
        <v>0.10972222222335404</v>
      </c>
      <c r="M46" s="31">
        <f t="shared" si="3"/>
        <v>0.2852777777807205</v>
      </c>
      <c r="N46" s="15" t="str">
        <f>IF(Table2683264[[#This Row],[Fault Type]]="PM",IF(L46&lt;=(D46-C46),"Yes","No"),"")</f>
        <v/>
      </c>
      <c r="O46" s="16" t="str">
        <f t="shared" si="2"/>
        <v/>
      </c>
      <c r="P4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6" s="17"/>
    </row>
    <row r="47" spans="1:17" ht="15.5" x14ac:dyDescent="0.35">
      <c r="A47" s="4" t="s">
        <v>131</v>
      </c>
      <c r="B47" s="12" t="s">
        <v>150</v>
      </c>
      <c r="C47" s="13"/>
      <c r="D47" s="13"/>
      <c r="E47" s="13">
        <v>44776.63958333333</v>
      </c>
      <c r="F47" s="18">
        <v>2.1</v>
      </c>
      <c r="G47" s="159" t="s">
        <v>164</v>
      </c>
      <c r="H47" s="18"/>
      <c r="I47" s="18"/>
      <c r="J47" s="13"/>
      <c r="K47" s="32"/>
      <c r="L47" s="14">
        <f t="shared" si="0"/>
        <v>-44776.63958333333</v>
      </c>
      <c r="M47" s="31">
        <f t="shared" si="3"/>
        <v>-94030.943124999991</v>
      </c>
      <c r="N47" s="15" t="str">
        <f>IF(Table2683264[[#This Row],[Fault Type]]="PM",IF(L47&lt;=(D47-C47),"Yes","No"),"")</f>
        <v/>
      </c>
      <c r="O47" s="16" t="str">
        <f t="shared" si="2"/>
        <v/>
      </c>
      <c r="P4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47" s="17"/>
    </row>
    <row r="48" spans="1:17" ht="15.5" x14ac:dyDescent="0.35">
      <c r="A48" s="4" t="s">
        <v>73</v>
      </c>
      <c r="B48" s="12" t="s">
        <v>150</v>
      </c>
      <c r="C48" s="13"/>
      <c r="D48" s="13"/>
      <c r="E48" s="13">
        <v>44776.675000000003</v>
      </c>
      <c r="F48" s="18"/>
      <c r="G48" s="159" t="s">
        <v>164</v>
      </c>
      <c r="H48" s="18" t="s">
        <v>649</v>
      </c>
      <c r="I48" s="18" t="s">
        <v>333</v>
      </c>
      <c r="J48" s="13">
        <v>44776.805555555555</v>
      </c>
      <c r="K48" s="32"/>
      <c r="L48" s="14">
        <f t="shared" si="0"/>
        <v>0.13055555555183673</v>
      </c>
      <c r="M48" s="31">
        <f t="shared" si="3"/>
        <v>0</v>
      </c>
      <c r="N48" s="15" t="str">
        <f>IF(Table2683264[[#This Row],[Fault Type]]="PM",IF(L48&lt;=(D48-C48),"Yes","No"),"")</f>
        <v/>
      </c>
      <c r="O48" s="16" t="str">
        <f t="shared" si="2"/>
        <v/>
      </c>
      <c r="P4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8" s="17"/>
    </row>
    <row r="49" spans="1:17" ht="15.5" x14ac:dyDescent="0.35">
      <c r="A49" s="4" t="s">
        <v>74</v>
      </c>
      <c r="B49" s="12" t="s">
        <v>150</v>
      </c>
      <c r="C49" s="13"/>
      <c r="D49" s="13"/>
      <c r="E49" s="13">
        <v>44776.675694444442</v>
      </c>
      <c r="F49" s="18">
        <v>1</v>
      </c>
      <c r="G49" s="159" t="s">
        <v>164</v>
      </c>
      <c r="H49" s="18" t="s">
        <v>508</v>
      </c>
      <c r="I49" s="18"/>
      <c r="J49" s="13">
        <v>44776.793749999997</v>
      </c>
      <c r="K49" s="32"/>
      <c r="L49" s="14">
        <f t="shared" si="0"/>
        <v>0.11805555555474712</v>
      </c>
      <c r="M49" s="31">
        <f t="shared" si="3"/>
        <v>0.11805555555474712</v>
      </c>
      <c r="N49" s="15" t="str">
        <f>IF(Table2683264[[#This Row],[Fault Type]]="PM",IF(L49&lt;=(D49-C49),"Yes","No"),"")</f>
        <v/>
      </c>
      <c r="O49" s="16" t="str">
        <f t="shared" si="2"/>
        <v/>
      </c>
      <c r="P4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49" s="17"/>
    </row>
    <row r="50" spans="1:17" ht="15.5" x14ac:dyDescent="0.35">
      <c r="A50" s="78" t="s">
        <v>139</v>
      </c>
      <c r="B50" s="12" t="s">
        <v>158</v>
      </c>
      <c r="C50" s="13"/>
      <c r="D50" s="13"/>
      <c r="E50" s="13">
        <v>44776.677777777775</v>
      </c>
      <c r="F50" s="18"/>
      <c r="G50" s="159"/>
      <c r="H50" s="18" t="s">
        <v>650</v>
      </c>
      <c r="I50" s="18" t="s">
        <v>334</v>
      </c>
      <c r="J50" s="13">
        <v>44776.710416666669</v>
      </c>
      <c r="K50" s="80"/>
      <c r="L50" s="14">
        <f t="shared" ref="L50:L55" si="4">J50-E50</f>
        <v>3.2638888893416151E-2</v>
      </c>
      <c r="M50" s="81">
        <f t="shared" ref="M50:M55" si="5">L50*F50</f>
        <v>0</v>
      </c>
      <c r="N50" s="15" t="str">
        <f>IF(Table2683264[[#This Row],[Fault Type]]="PM",IF(L50&lt;=(D50-C50),"Yes","No"),"")</f>
        <v/>
      </c>
      <c r="O50" s="16" t="str">
        <f t="shared" ref="O50:O55" si="6">IF(N50="No",(L50-(D50-C50)),"")</f>
        <v/>
      </c>
      <c r="P5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0" s="17"/>
    </row>
    <row r="51" spans="1:17" ht="15.5" x14ac:dyDescent="0.35">
      <c r="A51" s="78" t="s">
        <v>32</v>
      </c>
      <c r="B51" s="12" t="s">
        <v>158</v>
      </c>
      <c r="C51" s="13"/>
      <c r="D51" s="13"/>
      <c r="E51" s="13">
        <v>44776.679166666669</v>
      </c>
      <c r="F51" s="18">
        <v>10</v>
      </c>
      <c r="G51" s="159"/>
      <c r="H51" s="18" t="s">
        <v>651</v>
      </c>
      <c r="I51" s="18"/>
      <c r="J51" s="13">
        <v>44776.710416666669</v>
      </c>
      <c r="K51" s="80"/>
      <c r="L51" s="14">
        <f t="shared" si="4"/>
        <v>3.125E-2</v>
      </c>
      <c r="M51" s="81">
        <f t="shared" si="5"/>
        <v>0.3125</v>
      </c>
      <c r="N51" s="15" t="str">
        <f>IF(Table2683264[[#This Row],[Fault Type]]="PM",IF(L51&lt;=(D51-C51),"Yes","No"),"")</f>
        <v/>
      </c>
      <c r="O51" s="16" t="str">
        <f t="shared" si="6"/>
        <v/>
      </c>
      <c r="P5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1" s="17"/>
    </row>
    <row r="52" spans="1:17" ht="15.5" x14ac:dyDescent="0.35">
      <c r="A52" s="78" t="s">
        <v>39</v>
      </c>
      <c r="B52" s="12" t="s">
        <v>150</v>
      </c>
      <c r="C52" s="13"/>
      <c r="D52" s="13"/>
      <c r="E52" s="13">
        <v>44776.695833333331</v>
      </c>
      <c r="F52" s="18">
        <v>7</v>
      </c>
      <c r="G52" s="159" t="s">
        <v>164</v>
      </c>
      <c r="H52" s="18" t="s">
        <v>508</v>
      </c>
      <c r="I52" s="18" t="s">
        <v>334</v>
      </c>
      <c r="J52" s="13">
        <v>44776.78402777778</v>
      </c>
      <c r="K52" s="80"/>
      <c r="L52" s="14">
        <f t="shared" si="4"/>
        <v>8.8194444448163267E-2</v>
      </c>
      <c r="M52" s="81">
        <f t="shared" si="5"/>
        <v>0.61736111113714287</v>
      </c>
      <c r="N52" s="15" t="str">
        <f>IF(Table2683264[[#This Row],[Fault Type]]="PM",IF(L52&lt;=(D52-C52),"Yes","No"),"")</f>
        <v/>
      </c>
      <c r="O52" s="16" t="str">
        <f t="shared" si="6"/>
        <v/>
      </c>
      <c r="P5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2" s="17"/>
    </row>
    <row r="53" spans="1:17" ht="15.5" x14ac:dyDescent="0.35">
      <c r="A53" s="78" t="s">
        <v>104</v>
      </c>
      <c r="B53" s="12" t="s">
        <v>158</v>
      </c>
      <c r="C53" s="13"/>
      <c r="D53" s="13"/>
      <c r="E53" s="13">
        <v>44776.697222222225</v>
      </c>
      <c r="F53" s="18">
        <v>4.8</v>
      </c>
      <c r="G53" s="159"/>
      <c r="H53" s="18" t="s">
        <v>652</v>
      </c>
      <c r="I53" s="18" t="s">
        <v>334</v>
      </c>
      <c r="J53" s="13">
        <v>44776.74722222222</v>
      </c>
      <c r="K53" s="80"/>
      <c r="L53" s="14">
        <f t="shared" si="4"/>
        <v>4.9999999995634425E-2</v>
      </c>
      <c r="M53" s="81">
        <f t="shared" si="5"/>
        <v>0.23999999997904523</v>
      </c>
      <c r="N53" s="15" t="str">
        <f>IF(Table2683264[[#This Row],[Fault Type]]="PM",IF(L53&lt;=(D53-C53),"Yes","No"),"")</f>
        <v/>
      </c>
      <c r="O53" s="16" t="str">
        <f t="shared" si="6"/>
        <v/>
      </c>
      <c r="P5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3" s="17"/>
    </row>
    <row r="54" spans="1:17" ht="15.5" x14ac:dyDescent="0.35">
      <c r="A54" s="78" t="s">
        <v>23</v>
      </c>
      <c r="B54" s="12" t="s">
        <v>150</v>
      </c>
      <c r="C54" s="13"/>
      <c r="D54" s="13"/>
      <c r="E54" s="13">
        <v>44776.712500000001</v>
      </c>
      <c r="F54" s="18">
        <v>0.6</v>
      </c>
      <c r="G54" s="159" t="s">
        <v>164</v>
      </c>
      <c r="H54" s="18" t="s">
        <v>508</v>
      </c>
      <c r="I54" s="18" t="s">
        <v>334</v>
      </c>
      <c r="J54" s="13">
        <v>44777.627083333333</v>
      </c>
      <c r="K54" s="80"/>
      <c r="L54" s="14">
        <f t="shared" si="4"/>
        <v>0.91458333333139308</v>
      </c>
      <c r="M54" s="81">
        <f t="shared" si="5"/>
        <v>0.54874999999883578</v>
      </c>
      <c r="N54" s="15" t="str">
        <f>IF(Table2683264[[#This Row],[Fault Type]]="PM",IF(L54&lt;=(D54-C54),"Yes","No"),"")</f>
        <v/>
      </c>
      <c r="O54" s="16" t="str">
        <f t="shared" si="6"/>
        <v/>
      </c>
      <c r="P5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54" s="17"/>
    </row>
    <row r="55" spans="1:17" ht="15.5" x14ac:dyDescent="0.35">
      <c r="A55" s="78" t="s">
        <v>101</v>
      </c>
      <c r="B55" s="12" t="s">
        <v>150</v>
      </c>
      <c r="C55" s="13"/>
      <c r="D55" s="13"/>
      <c r="E55" s="13">
        <v>44776.731944444444</v>
      </c>
      <c r="F55" s="18"/>
      <c r="G55" s="159" t="s">
        <v>163</v>
      </c>
      <c r="H55" s="18" t="s">
        <v>653</v>
      </c>
      <c r="I55" s="18"/>
      <c r="J55" s="13">
        <v>44777.373611111114</v>
      </c>
      <c r="K55" s="80"/>
      <c r="L55" s="14">
        <f t="shared" si="4"/>
        <v>0.64166666667006211</v>
      </c>
      <c r="M55" s="81">
        <f t="shared" si="5"/>
        <v>0</v>
      </c>
      <c r="N55" s="15" t="str">
        <f>IF(Table2683264[[#This Row],[Fault Type]]="PM",IF(L55&lt;=(D55-C55),"Yes","No"),"")</f>
        <v/>
      </c>
      <c r="O55" s="16" t="str">
        <f t="shared" si="6"/>
        <v/>
      </c>
      <c r="P5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55" s="17"/>
    </row>
    <row r="56" spans="1:17" ht="15.75" customHeight="1" x14ac:dyDescent="0.35">
      <c r="A56" s="4" t="s">
        <v>100</v>
      </c>
      <c r="B56" s="12" t="s">
        <v>150</v>
      </c>
      <c r="C56" s="13"/>
      <c r="D56" s="13"/>
      <c r="E56" s="13">
        <v>44776.732638888891</v>
      </c>
      <c r="F56" s="18"/>
      <c r="G56" s="159" t="s">
        <v>163</v>
      </c>
      <c r="H56" s="18" t="s">
        <v>654</v>
      </c>
      <c r="I56" s="18" t="s">
        <v>333</v>
      </c>
      <c r="J56" s="13">
        <v>44776.85</v>
      </c>
      <c r="K56" s="32"/>
      <c r="L56" s="14">
        <f t="shared" si="0"/>
        <v>0.11736111110803904</v>
      </c>
      <c r="M56" s="31">
        <f t="shared" si="3"/>
        <v>0</v>
      </c>
      <c r="N56" s="15" t="str">
        <f>IF(Table2683264[[#This Row],[Fault Type]]="PM",IF(L56&lt;=(D56-C56),"Yes","No"),"")</f>
        <v/>
      </c>
      <c r="O56" s="16" t="str">
        <f t="shared" si="2"/>
        <v/>
      </c>
      <c r="P5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6" s="17"/>
    </row>
    <row r="57" spans="1:17" ht="15.5" x14ac:dyDescent="0.35">
      <c r="A57" s="4" t="s">
        <v>60</v>
      </c>
      <c r="B57" s="12" t="s">
        <v>150</v>
      </c>
      <c r="C57" s="13"/>
      <c r="D57" s="13"/>
      <c r="E57" s="13">
        <v>44776.711111111108</v>
      </c>
      <c r="F57" s="18">
        <v>2.8</v>
      </c>
      <c r="G57" s="159" t="s">
        <v>162</v>
      </c>
      <c r="H57" s="18" t="s">
        <v>526</v>
      </c>
      <c r="I57" s="18" t="s">
        <v>526</v>
      </c>
      <c r="J57" s="13">
        <v>44776.71875</v>
      </c>
      <c r="K57" s="32"/>
      <c r="L57" s="14">
        <f t="shared" si="0"/>
        <v>7.6388888919609599E-3</v>
      </c>
      <c r="M57" s="31">
        <f t="shared" si="3"/>
        <v>2.1388888897490688E-2</v>
      </c>
      <c r="N57" s="15" t="str">
        <f>IF(Table2683264[[#This Row],[Fault Type]]="PM",IF(L57&lt;=(D57-C57),"Yes","No"),"")</f>
        <v/>
      </c>
      <c r="O57" s="16" t="str">
        <f t="shared" si="2"/>
        <v/>
      </c>
      <c r="P5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7" s="17"/>
    </row>
    <row r="58" spans="1:17" ht="15.5" x14ac:dyDescent="0.35">
      <c r="A58" s="78" t="s">
        <v>38</v>
      </c>
      <c r="B58" s="12" t="s">
        <v>150</v>
      </c>
      <c r="C58" s="13"/>
      <c r="D58" s="13"/>
      <c r="E58" s="13">
        <v>44776.739583333336</v>
      </c>
      <c r="F58" s="18">
        <v>15</v>
      </c>
      <c r="G58" s="159" t="s">
        <v>162</v>
      </c>
      <c r="H58" s="18" t="s">
        <v>526</v>
      </c>
      <c r="I58" s="18" t="s">
        <v>526</v>
      </c>
      <c r="J58" s="13">
        <v>44776.74722222222</v>
      </c>
      <c r="K58" s="80"/>
      <c r="L58" s="14">
        <f>J58-E58</f>
        <v>7.6388888846850023E-3</v>
      </c>
      <c r="M58" s="81">
        <f>L58*F58</f>
        <v>0.11458333327027503</v>
      </c>
      <c r="N58" s="15" t="str">
        <f>IF(Table2683264[[#This Row],[Fault Type]]="PM",IF(L58&lt;=(D58-C58),"Yes","No"),"")</f>
        <v/>
      </c>
      <c r="O58" s="16" t="str">
        <f>IF(N58="No",(L58-(D58-C58)),"")</f>
        <v/>
      </c>
      <c r="P5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8" s="17"/>
    </row>
    <row r="59" spans="1:17" ht="15.5" x14ac:dyDescent="0.35">
      <c r="A59" s="4" t="s">
        <v>25</v>
      </c>
      <c r="B59" s="12" t="s">
        <v>150</v>
      </c>
      <c r="C59" s="13"/>
      <c r="D59" s="13"/>
      <c r="E59" s="13">
        <v>44776.746527777781</v>
      </c>
      <c r="F59" s="18">
        <v>3.5</v>
      </c>
      <c r="G59" s="159" t="s">
        <v>164</v>
      </c>
      <c r="H59" s="18" t="s">
        <v>655</v>
      </c>
      <c r="I59" s="18" t="s">
        <v>334</v>
      </c>
      <c r="J59" s="13">
        <v>44776.818055555559</v>
      </c>
      <c r="K59" s="32"/>
      <c r="L59" s="14">
        <f t="shared" si="0"/>
        <v>7.1527777778101154E-2</v>
      </c>
      <c r="M59" s="31">
        <f t="shared" si="3"/>
        <v>0.25034722222335404</v>
      </c>
      <c r="N59" s="15" t="str">
        <f>IF(Table2683264[[#This Row],[Fault Type]]="PM",IF(L59&lt;=(D59-C59),"Yes","No"),"")</f>
        <v/>
      </c>
      <c r="O59" s="16" t="str">
        <f t="shared" si="2"/>
        <v/>
      </c>
      <c r="P5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59" s="17"/>
    </row>
    <row r="60" spans="1:17" ht="15.5" x14ac:dyDescent="0.35">
      <c r="A60" s="4" t="s">
        <v>40</v>
      </c>
      <c r="B60" s="12" t="s">
        <v>150</v>
      </c>
      <c r="C60" s="13"/>
      <c r="D60" s="13"/>
      <c r="E60" s="13">
        <v>44776.756944444445</v>
      </c>
      <c r="F60" s="12">
        <v>3.5</v>
      </c>
      <c r="G60" s="159" t="s">
        <v>164</v>
      </c>
      <c r="H60" s="12" t="s">
        <v>526</v>
      </c>
      <c r="I60" s="12" t="s">
        <v>526</v>
      </c>
      <c r="J60" s="13">
        <v>44776.768055555556</v>
      </c>
      <c r="K60" s="32"/>
      <c r="L60" s="14">
        <f t="shared" si="0"/>
        <v>1.1111111110949423E-2</v>
      </c>
      <c r="M60" s="31">
        <f t="shared" si="3"/>
        <v>3.8888888888322981E-2</v>
      </c>
      <c r="N60" s="15" t="str">
        <f>IF(Table2683264[[#This Row],[Fault Type]]="PM",IF(L60&lt;=(D60-C60),"Yes","No"),"")</f>
        <v/>
      </c>
      <c r="O60" s="16" t="str">
        <f t="shared" si="2"/>
        <v/>
      </c>
      <c r="P6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60" s="17"/>
    </row>
    <row r="61" spans="1:17" ht="15.5" x14ac:dyDescent="0.35">
      <c r="A61" s="4" t="s">
        <v>40</v>
      </c>
      <c r="B61" s="12" t="s">
        <v>150</v>
      </c>
      <c r="C61" s="13"/>
      <c r="D61" s="13"/>
      <c r="E61" s="13">
        <v>44776.769444444442</v>
      </c>
      <c r="F61" s="18">
        <v>1</v>
      </c>
      <c r="G61" s="159" t="s">
        <v>164</v>
      </c>
      <c r="H61" s="18" t="s">
        <v>526</v>
      </c>
      <c r="I61" s="18" t="s">
        <v>526</v>
      </c>
      <c r="J61" s="13">
        <v>44776.768055555556</v>
      </c>
      <c r="K61" s="32"/>
      <c r="L61" s="14">
        <f t="shared" si="0"/>
        <v>-1.3888888861401938E-3</v>
      </c>
      <c r="M61" s="31">
        <f t="shared" si="3"/>
        <v>-1.3888888861401938E-3</v>
      </c>
      <c r="N61" s="15" t="str">
        <f>IF(Table2683264[[#This Row],[Fault Type]]="PM",IF(L61&lt;=(D61-C61),"Yes","No"),"")</f>
        <v/>
      </c>
      <c r="O61" s="16" t="str">
        <f t="shared" si="2"/>
        <v/>
      </c>
      <c r="P6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61" s="17"/>
    </row>
    <row r="62" spans="1:17" ht="15.5" x14ac:dyDescent="0.35">
      <c r="A62" s="4" t="s">
        <v>129</v>
      </c>
      <c r="B62" s="49" t="s">
        <v>150</v>
      </c>
      <c r="C62" s="49"/>
      <c r="D62" s="49"/>
      <c r="E62" s="13">
        <v>44776.792361111111</v>
      </c>
      <c r="F62" s="85">
        <v>2.7</v>
      </c>
      <c r="G62" s="159" t="s">
        <v>162</v>
      </c>
      <c r="H62" s="54" t="s">
        <v>526</v>
      </c>
      <c r="I62" s="54" t="s">
        <v>526</v>
      </c>
      <c r="J62" s="13">
        <v>44776.864583333336</v>
      </c>
      <c r="K62" s="32"/>
      <c r="L62" s="14">
        <f t="shared" si="0"/>
        <v>7.2222222224809229E-2</v>
      </c>
      <c r="M62" s="53">
        <f t="shared" si="3"/>
        <v>0.19500000000698492</v>
      </c>
      <c r="N62" s="50" t="str">
        <f>IF(Table2683264[[#This Row],[Fault Type]]="PM",IF(L62&lt;=(D62-C62),"Yes","No"),"")</f>
        <v/>
      </c>
      <c r="O62" s="51" t="str">
        <f t="shared" si="2"/>
        <v/>
      </c>
      <c r="P6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row>
    <row r="63" spans="1:17" ht="15.5" x14ac:dyDescent="0.35">
      <c r="A63" s="58" t="s">
        <v>128</v>
      </c>
      <c r="B63" s="49" t="s">
        <v>150</v>
      </c>
      <c r="C63" s="56"/>
      <c r="D63" s="56"/>
      <c r="E63" s="13">
        <v>44776.8125</v>
      </c>
      <c r="F63" s="55">
        <v>0.8</v>
      </c>
      <c r="G63" s="159" t="s">
        <v>164</v>
      </c>
      <c r="H63" s="57"/>
      <c r="I63" s="18"/>
      <c r="J63" s="13"/>
      <c r="K63" s="32"/>
      <c r="L63" s="14">
        <f t="shared" si="0"/>
        <v>-44776.8125</v>
      </c>
      <c r="M63" s="59">
        <f t="shared" si="3"/>
        <v>-35821.450000000004</v>
      </c>
      <c r="N63" s="61" t="str">
        <f>IF(Table2683264[[#This Row],[Fault Type]]="PM",IF(L63&lt;=(D63-C63),"Yes","No"),"")</f>
        <v/>
      </c>
      <c r="O63" s="62" t="str">
        <f t="shared" si="2"/>
        <v/>
      </c>
      <c r="P6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63" s="63"/>
    </row>
    <row r="64" spans="1:17" ht="15.5" x14ac:dyDescent="0.35">
      <c r="A64" s="58" t="s">
        <v>26</v>
      </c>
      <c r="B64" s="49" t="s">
        <v>150</v>
      </c>
      <c r="C64" s="56"/>
      <c r="D64" s="56"/>
      <c r="E64" s="13">
        <v>44776.816666666666</v>
      </c>
      <c r="F64" s="55">
        <v>2.9</v>
      </c>
      <c r="G64" s="159" t="s">
        <v>164</v>
      </c>
      <c r="H64" s="57" t="s">
        <v>656</v>
      </c>
      <c r="I64" s="18" t="s">
        <v>334</v>
      </c>
      <c r="J64" s="13">
        <v>44777.371527777781</v>
      </c>
      <c r="K64" s="32"/>
      <c r="L64" s="14">
        <f t="shared" si="0"/>
        <v>0.554861111115315</v>
      </c>
      <c r="M64" s="59">
        <f t="shared" si="3"/>
        <v>1.6090972222344135</v>
      </c>
      <c r="N64" s="61" t="str">
        <f>IF(Table2683264[[#This Row],[Fault Type]]="PM",IF(L64&lt;=(D64-C64),"Yes","No"),"")</f>
        <v/>
      </c>
      <c r="O64" s="62" t="str">
        <f t="shared" si="2"/>
        <v/>
      </c>
      <c r="P6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64" s="63"/>
    </row>
    <row r="65" spans="1:17" ht="15.5" x14ac:dyDescent="0.35">
      <c r="A65" s="58" t="s">
        <v>371</v>
      </c>
      <c r="B65" s="49" t="s">
        <v>150</v>
      </c>
      <c r="C65" s="56"/>
      <c r="D65" s="56"/>
      <c r="E65" s="13">
        <v>44776.82916666667</v>
      </c>
      <c r="F65" s="55">
        <v>1.6</v>
      </c>
      <c r="G65" s="159" t="s">
        <v>164</v>
      </c>
      <c r="H65" s="57" t="s">
        <v>657</v>
      </c>
      <c r="I65" s="18" t="s">
        <v>333</v>
      </c>
      <c r="J65" s="13">
        <v>44777.428472222222</v>
      </c>
      <c r="K65" s="32"/>
      <c r="L65" s="14">
        <f t="shared" si="0"/>
        <v>0.59930555555183673</v>
      </c>
      <c r="M65" s="59">
        <f t="shared" si="3"/>
        <v>0.95888888888293877</v>
      </c>
      <c r="N65" s="61" t="str">
        <f>IF(Table2683264[[#This Row],[Fault Type]]="PM",IF(L65&lt;=(D65-C65),"Yes","No"),"")</f>
        <v/>
      </c>
      <c r="O65" s="62" t="str">
        <f t="shared" si="2"/>
        <v/>
      </c>
      <c r="P6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65" s="63"/>
    </row>
    <row r="66" spans="1:17" ht="15.5" x14ac:dyDescent="0.35">
      <c r="A66" s="58" t="s">
        <v>59</v>
      </c>
      <c r="B66" s="49" t="s">
        <v>150</v>
      </c>
      <c r="C66" s="56"/>
      <c r="D66" s="56"/>
      <c r="E66" s="13">
        <v>44776.831944444442</v>
      </c>
      <c r="F66" s="55">
        <v>0.8</v>
      </c>
      <c r="G66" s="159" t="s">
        <v>164</v>
      </c>
      <c r="H66" s="57" t="s">
        <v>658</v>
      </c>
      <c r="I66" s="18" t="s">
        <v>333</v>
      </c>
      <c r="J66" s="13">
        <v>44776.864583333336</v>
      </c>
      <c r="K66" s="80"/>
      <c r="L66" s="14">
        <f>J66-E66</f>
        <v>3.2638888893416151E-2</v>
      </c>
      <c r="M66" s="59">
        <f>L66*F66</f>
        <v>2.6111111114732924E-2</v>
      </c>
      <c r="N66" s="61" t="str">
        <f>IF(Table2683264[[#This Row],[Fault Type]]="PM",IF(L66&lt;=(D66-C66),"Yes","No"),"")</f>
        <v/>
      </c>
      <c r="O66" s="62" t="str">
        <f>IF(N66="No",(L66-(D66-C66)),"")</f>
        <v/>
      </c>
      <c r="P6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66" s="63"/>
    </row>
    <row r="67" spans="1:17" ht="15.5" x14ac:dyDescent="0.35">
      <c r="A67" s="58" t="s">
        <v>179</v>
      </c>
      <c r="B67" s="49" t="s">
        <v>150</v>
      </c>
      <c r="C67" s="56"/>
      <c r="D67" s="56"/>
      <c r="E67" s="13">
        <v>44776.834722222222</v>
      </c>
      <c r="F67" s="55">
        <v>4.4000000000000004</v>
      </c>
      <c r="G67" s="159" t="s">
        <v>164</v>
      </c>
      <c r="H67" s="57"/>
      <c r="I67" s="18" t="s">
        <v>334</v>
      </c>
      <c r="J67" s="13">
        <v>44776.84652777778</v>
      </c>
      <c r="K67" s="83"/>
      <c r="L67" s="14">
        <f t="shared" si="0"/>
        <v>1.1805555557657499E-2</v>
      </c>
      <c r="M67" s="59">
        <f t="shared" si="3"/>
        <v>5.1944444453692999E-2</v>
      </c>
      <c r="N67" s="61" t="str">
        <f>IF(Table2683264[[#This Row],[Fault Type]]="PM",IF(L67&lt;=(D67-C67),"Yes","No"),"")</f>
        <v/>
      </c>
      <c r="O67" s="62" t="str">
        <f t="shared" si="2"/>
        <v/>
      </c>
      <c r="P6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67" s="63"/>
    </row>
    <row r="68" spans="1:17" ht="15.5" x14ac:dyDescent="0.35">
      <c r="A68" s="58" t="s">
        <v>314</v>
      </c>
      <c r="B68" s="49" t="s">
        <v>150</v>
      </c>
      <c r="C68" s="56"/>
      <c r="D68" s="56"/>
      <c r="E68" s="13">
        <v>44776.84375</v>
      </c>
      <c r="F68" s="55">
        <v>2.4</v>
      </c>
      <c r="G68" s="159" t="s">
        <v>163</v>
      </c>
      <c r="H68" s="54" t="s">
        <v>659</v>
      </c>
      <c r="I68" s="18" t="s">
        <v>334</v>
      </c>
      <c r="J68" s="13">
        <v>44776.887499999997</v>
      </c>
      <c r="K68" s="83"/>
      <c r="L68" s="14">
        <f t="shared" si="0"/>
        <v>4.3749999997089617E-2</v>
      </c>
      <c r="M68" s="59">
        <f t="shared" si="3"/>
        <v>0.10499999999301508</v>
      </c>
      <c r="N68" s="61" t="str">
        <f>IF(Table2683264[[#This Row],[Fault Type]]="PM",IF(L68&lt;=(D68-C68),"Yes","No"),"")</f>
        <v/>
      </c>
      <c r="O68" s="62" t="str">
        <f t="shared" si="2"/>
        <v/>
      </c>
      <c r="P6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68" s="63"/>
    </row>
    <row r="69" spans="1:17" ht="15.5" x14ac:dyDescent="0.35">
      <c r="A69" s="58" t="s">
        <v>27</v>
      </c>
      <c r="B69" s="49" t="s">
        <v>150</v>
      </c>
      <c r="C69" s="56"/>
      <c r="D69" s="56"/>
      <c r="E69" s="13">
        <v>44776.848611111112</v>
      </c>
      <c r="F69" s="55">
        <v>2.7</v>
      </c>
      <c r="G69" s="159" t="s">
        <v>164</v>
      </c>
      <c r="H69" s="57" t="s">
        <v>660</v>
      </c>
      <c r="I69" s="18" t="s">
        <v>334</v>
      </c>
      <c r="J69" s="13">
        <v>44776.887499999997</v>
      </c>
      <c r="K69" s="83"/>
      <c r="L69" s="14">
        <f t="shared" si="0"/>
        <v>3.8888888884685002E-2</v>
      </c>
      <c r="M69" s="59">
        <f t="shared" si="3"/>
        <v>0.10499999998864951</v>
      </c>
      <c r="N69" s="61" t="str">
        <f>IF(Table2683264[[#This Row],[Fault Type]]="PM",IF(L69&lt;=(D69-C69),"Yes","No"),"")</f>
        <v/>
      </c>
      <c r="O69" s="62" t="str">
        <f t="shared" si="2"/>
        <v/>
      </c>
      <c r="P6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69" s="63"/>
    </row>
    <row r="70" spans="1:17" ht="15.5" x14ac:dyDescent="0.35">
      <c r="A70" s="58" t="s">
        <v>30</v>
      </c>
      <c r="B70" s="49" t="s">
        <v>150</v>
      </c>
      <c r="C70" s="56"/>
      <c r="D70" s="56"/>
      <c r="E70" s="13">
        <v>44776.862500000003</v>
      </c>
      <c r="F70" s="55">
        <v>5.9</v>
      </c>
      <c r="G70" s="159" t="s">
        <v>162</v>
      </c>
      <c r="H70" s="57" t="s">
        <v>526</v>
      </c>
      <c r="I70" s="18" t="s">
        <v>526</v>
      </c>
      <c r="J70" s="13">
        <v>44776.869444444441</v>
      </c>
      <c r="K70" s="83"/>
      <c r="L70" s="14">
        <f t="shared" si="0"/>
        <v>6.9444444379769266E-3</v>
      </c>
      <c r="M70" s="59">
        <f t="shared" si="3"/>
        <v>4.0972222184063871E-2</v>
      </c>
      <c r="N70" s="61" t="str">
        <f>IF(Table2683264[[#This Row],[Fault Type]]="PM",IF(L70&lt;=(D70-C70),"Yes","No"),"")</f>
        <v/>
      </c>
      <c r="O70" s="62" t="str">
        <f t="shared" si="2"/>
        <v/>
      </c>
      <c r="P7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70" s="63"/>
    </row>
    <row r="71" spans="1:17" ht="15.5" x14ac:dyDescent="0.35">
      <c r="A71" s="58" t="s">
        <v>195</v>
      </c>
      <c r="B71" s="49" t="s">
        <v>150</v>
      </c>
      <c r="C71" s="56"/>
      <c r="D71" s="56"/>
      <c r="E71" s="13">
        <v>44776.884027777778</v>
      </c>
      <c r="F71" s="55">
        <v>2.2999999999999998</v>
      </c>
      <c r="G71" s="159" t="s">
        <v>164</v>
      </c>
      <c r="H71" s="57" t="s">
        <v>661</v>
      </c>
      <c r="I71" s="18" t="s">
        <v>334</v>
      </c>
      <c r="J71" s="13">
        <v>44776.947916666664</v>
      </c>
      <c r="K71" s="83"/>
      <c r="L71" s="14">
        <f>J71-E71</f>
        <v>6.3888888886140194E-2</v>
      </c>
      <c r="M71" s="59">
        <f>L71*F71</f>
        <v>0.14694444443812243</v>
      </c>
      <c r="N71" s="61" t="str">
        <f>IF(Table2683264[[#This Row],[Fault Type]]="PM",IF(L71&lt;=(D71-C71),"Yes","No"),"")</f>
        <v/>
      </c>
      <c r="O71" s="62" t="str">
        <f>IF(N71="No",(L71-(D71-C71)),"")</f>
        <v/>
      </c>
      <c r="P7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71" s="63"/>
    </row>
    <row r="72" spans="1:17" ht="15.5" x14ac:dyDescent="0.35">
      <c r="A72" s="58" t="s">
        <v>98</v>
      </c>
      <c r="B72" s="49" t="s">
        <v>150</v>
      </c>
      <c r="C72" s="56"/>
      <c r="D72" s="56"/>
      <c r="E72" s="13">
        <v>44776.886111111111</v>
      </c>
      <c r="F72" s="55"/>
      <c r="G72" s="159" t="s">
        <v>164</v>
      </c>
      <c r="H72" s="57" t="s">
        <v>662</v>
      </c>
      <c r="I72" s="18" t="s">
        <v>333</v>
      </c>
      <c r="J72" s="13">
        <v>44777.505555555559</v>
      </c>
      <c r="K72" s="83"/>
      <c r="L72" s="14">
        <f t="shared" si="0"/>
        <v>0.61944444444816327</v>
      </c>
      <c r="M72" s="59">
        <f t="shared" si="3"/>
        <v>0</v>
      </c>
      <c r="N72" s="61" t="str">
        <f>IF(Table2683264[[#This Row],[Fault Type]]="PM",IF(L72&lt;=(D72-C72),"Yes","No"),"")</f>
        <v/>
      </c>
      <c r="O72" s="62" t="str">
        <f t="shared" si="2"/>
        <v/>
      </c>
      <c r="P7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2" s="63"/>
    </row>
    <row r="73" spans="1:17" ht="15.5" x14ac:dyDescent="0.35">
      <c r="A73" s="58" t="s">
        <v>563</v>
      </c>
      <c r="B73" s="55" t="s">
        <v>150</v>
      </c>
      <c r="C73" s="56"/>
      <c r="D73" s="56"/>
      <c r="E73" s="13">
        <v>44776.887499999997</v>
      </c>
      <c r="F73" s="55">
        <v>2</v>
      </c>
      <c r="G73" s="159" t="s">
        <v>164</v>
      </c>
      <c r="H73" s="57" t="s">
        <v>508</v>
      </c>
      <c r="I73" s="18" t="s">
        <v>334</v>
      </c>
      <c r="J73" s="13">
        <v>44777.631249999999</v>
      </c>
      <c r="K73" s="83"/>
      <c r="L73" s="14">
        <f t="shared" si="0"/>
        <v>0.74375000000145519</v>
      </c>
      <c r="M73" s="59">
        <f t="shared" si="3"/>
        <v>1.4875000000029104</v>
      </c>
      <c r="N73" s="61" t="str">
        <f>IF(Table2683264[[#This Row],[Fault Type]]="PM",IF(L73&lt;=(D73-C73),"Yes","No"),"")</f>
        <v/>
      </c>
      <c r="O73" s="62" t="str">
        <f t="shared" si="2"/>
        <v/>
      </c>
      <c r="P73" s="30" t="e">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#N/A</v>
      </c>
      <c r="Q73" s="63"/>
    </row>
    <row r="74" spans="1:17" ht="15.5" x14ac:dyDescent="0.35">
      <c r="A74" s="58" t="s">
        <v>85</v>
      </c>
      <c r="B74" s="55" t="s">
        <v>150</v>
      </c>
      <c r="C74" s="56"/>
      <c r="D74" s="56"/>
      <c r="E74" s="13">
        <v>44776.888888888891</v>
      </c>
      <c r="F74" s="55">
        <v>5.4</v>
      </c>
      <c r="G74" s="159" t="s">
        <v>163</v>
      </c>
      <c r="H74" s="57" t="s">
        <v>508</v>
      </c>
      <c r="I74" s="18" t="s">
        <v>334</v>
      </c>
      <c r="J74" s="13">
        <v>44777.627083333333</v>
      </c>
      <c r="K74" s="83"/>
      <c r="L74" s="14">
        <f>J74-E74</f>
        <v>0.7381944444423425</v>
      </c>
      <c r="M74" s="59">
        <f>L74*F74</f>
        <v>3.9862499999886496</v>
      </c>
      <c r="N74" s="61" t="str">
        <f>IF(Table2683264[[#This Row],[Fault Type]]="PM",IF(L74&lt;=(D74-C74),"Yes","No"),"")</f>
        <v/>
      </c>
      <c r="O74" s="62" t="str">
        <f>IF(N74="No",(L74-(D74-C74)),"")</f>
        <v/>
      </c>
      <c r="P7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4" s="63"/>
    </row>
    <row r="75" spans="1:17" ht="15.5" x14ac:dyDescent="0.35">
      <c r="A75" s="58" t="s">
        <v>442</v>
      </c>
      <c r="B75" s="55" t="s">
        <v>150</v>
      </c>
      <c r="C75" s="56"/>
      <c r="D75" s="56"/>
      <c r="E75" s="13">
        <v>44776.917361111111</v>
      </c>
      <c r="F75" s="55">
        <v>2.1</v>
      </c>
      <c r="G75" s="159" t="s">
        <v>164</v>
      </c>
      <c r="H75" s="57" t="s">
        <v>663</v>
      </c>
      <c r="I75" s="18" t="s">
        <v>526</v>
      </c>
      <c r="J75" s="13">
        <v>44777.400694444441</v>
      </c>
      <c r="K75" s="83"/>
      <c r="L75" s="14">
        <f t="shared" si="0"/>
        <v>0.48333333332993789</v>
      </c>
      <c r="M75" s="59">
        <f t="shared" si="3"/>
        <v>1.0149999999928696</v>
      </c>
      <c r="N75" s="61" t="str">
        <f>IF(Table2683264[[#This Row],[Fault Type]]="PM",IF(L75&lt;=(D75-C75),"Yes","No"),"")</f>
        <v/>
      </c>
      <c r="O75" s="62" t="str">
        <f t="shared" si="2"/>
        <v/>
      </c>
      <c r="P7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5" s="63"/>
    </row>
    <row r="76" spans="1:17" ht="15.5" x14ac:dyDescent="0.35">
      <c r="A76" s="58" t="s">
        <v>30</v>
      </c>
      <c r="B76" s="55" t="s">
        <v>150</v>
      </c>
      <c r="C76" s="56"/>
      <c r="D76" s="56"/>
      <c r="E76" s="13">
        <v>44776.918055555558</v>
      </c>
      <c r="F76" s="55">
        <v>4.5</v>
      </c>
      <c r="G76" s="159" t="s">
        <v>162</v>
      </c>
      <c r="H76" s="57" t="s">
        <v>526</v>
      </c>
      <c r="I76" s="18" t="s">
        <v>526</v>
      </c>
      <c r="J76" s="13">
        <v>44776.925000000003</v>
      </c>
      <c r="K76" s="83"/>
      <c r="L76" s="14">
        <f t="shared" si="0"/>
        <v>6.9444444452528842E-3</v>
      </c>
      <c r="M76" s="59">
        <f t="shared" si="3"/>
        <v>3.1250000003637979E-2</v>
      </c>
      <c r="N76" s="61" t="str">
        <f>IF(Table2683264[[#This Row],[Fault Type]]="PM",IF(L76&lt;=(D76-C76),"Yes","No"),"")</f>
        <v/>
      </c>
      <c r="O76" s="62" t="str">
        <f t="shared" si="2"/>
        <v/>
      </c>
      <c r="P7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76" s="63"/>
    </row>
    <row r="77" spans="1:17" ht="15.5" x14ac:dyDescent="0.35">
      <c r="A77" s="58" t="s">
        <v>87</v>
      </c>
      <c r="B77" s="55" t="s">
        <v>150</v>
      </c>
      <c r="C77" s="56"/>
      <c r="D77" s="56"/>
      <c r="E77" s="13">
        <v>44776.922222222223</v>
      </c>
      <c r="F77" s="55">
        <v>0.2</v>
      </c>
      <c r="G77" s="159" t="s">
        <v>163</v>
      </c>
      <c r="H77" s="57" t="s">
        <v>664</v>
      </c>
      <c r="I77" s="18" t="s">
        <v>333</v>
      </c>
      <c r="J77" s="13">
        <v>44777.354166666664</v>
      </c>
      <c r="K77" s="83"/>
      <c r="L77" s="14">
        <f>J77-E77</f>
        <v>0.43194444444088731</v>
      </c>
      <c r="M77" s="59">
        <f>L77*F77</f>
        <v>8.6388888888177473E-2</v>
      </c>
      <c r="N77" s="61" t="str">
        <f>IF(Table2683264[[#This Row],[Fault Type]]="PM",IF(L77&lt;=(D77-C77),"Yes","No"),"")</f>
        <v/>
      </c>
      <c r="O77" s="62" t="str">
        <f>IF(N77="No",(L77-(D77-C77)),"")</f>
        <v/>
      </c>
      <c r="P7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7" s="63"/>
    </row>
    <row r="78" spans="1:17" ht="15.5" x14ac:dyDescent="0.35">
      <c r="A78" s="58" t="s">
        <v>31</v>
      </c>
      <c r="B78" s="55" t="s">
        <v>150</v>
      </c>
      <c r="C78" s="56"/>
      <c r="D78" s="56"/>
      <c r="E78" s="13">
        <v>44776.936805555553</v>
      </c>
      <c r="F78" s="55">
        <v>8</v>
      </c>
      <c r="G78" s="159" t="s">
        <v>162</v>
      </c>
      <c r="H78" s="57" t="s">
        <v>526</v>
      </c>
      <c r="I78" s="18" t="s">
        <v>526</v>
      </c>
      <c r="J78" s="13">
        <v>44776.956250000003</v>
      </c>
      <c r="K78" s="83"/>
      <c r="L78" s="14">
        <f t="shared" si="0"/>
        <v>1.9444444449618459E-2</v>
      </c>
      <c r="M78" s="59">
        <f t="shared" si="3"/>
        <v>0.15555555559694767</v>
      </c>
      <c r="N78" s="61" t="str">
        <f>IF(Table2683264[[#This Row],[Fault Type]]="PM",IF(L78&lt;=(D78-C78),"Yes","No"),"")</f>
        <v/>
      </c>
      <c r="O78" s="62" t="str">
        <f t="shared" si="2"/>
        <v/>
      </c>
      <c r="P7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78" s="63"/>
    </row>
    <row r="79" spans="1:17" ht="15.5" x14ac:dyDescent="0.35">
      <c r="A79" s="58" t="s">
        <v>25</v>
      </c>
      <c r="B79" s="55" t="s">
        <v>150</v>
      </c>
      <c r="C79" s="56"/>
      <c r="D79" s="56"/>
      <c r="E79" s="13">
        <v>44776.927777777775</v>
      </c>
      <c r="F79" s="55">
        <v>1.9</v>
      </c>
      <c r="G79" s="159" t="s">
        <v>164</v>
      </c>
      <c r="H79" s="57" t="s">
        <v>665</v>
      </c>
      <c r="I79" s="18" t="s">
        <v>334</v>
      </c>
      <c r="J79" s="13">
        <v>44776.277777777781</v>
      </c>
      <c r="K79" s="83"/>
      <c r="L79" s="14">
        <f t="shared" si="0"/>
        <v>-0.64999999999417923</v>
      </c>
      <c r="M79" s="59">
        <f t="shared" si="3"/>
        <v>-1.2349999999889405</v>
      </c>
      <c r="N79" s="61" t="str">
        <f>IF(Table2683264[[#This Row],[Fault Type]]="PM",IF(L79&lt;=(D79-C79),"Yes","No"),"")</f>
        <v/>
      </c>
      <c r="O79" s="62" t="str">
        <f t="shared" si="2"/>
        <v/>
      </c>
      <c r="P7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79" s="63"/>
    </row>
    <row r="80" spans="1:17" ht="15.5" x14ac:dyDescent="0.35">
      <c r="A80" s="58" t="s">
        <v>316</v>
      </c>
      <c r="B80" s="55" t="s">
        <v>150</v>
      </c>
      <c r="C80" s="13"/>
      <c r="D80" s="13"/>
      <c r="E80" s="13">
        <v>44776.938888888886</v>
      </c>
      <c r="F80" s="55">
        <v>2</v>
      </c>
      <c r="G80" s="159" t="s">
        <v>164</v>
      </c>
      <c r="H80" s="57" t="s">
        <v>666</v>
      </c>
      <c r="I80" s="18" t="s">
        <v>334</v>
      </c>
      <c r="J80" s="13">
        <v>44777.302777777775</v>
      </c>
      <c r="K80" s="83"/>
      <c r="L80" s="14">
        <f t="shared" si="0"/>
        <v>0.36388888888905058</v>
      </c>
      <c r="M80" s="59">
        <f t="shared" si="3"/>
        <v>0.72777777777810115</v>
      </c>
      <c r="N80" s="61" t="str">
        <f>IF(Table2683264[[#This Row],[Fault Type]]="PM",IF(L80&lt;=(D80-C80),"Yes","No"),"")</f>
        <v/>
      </c>
      <c r="O80" s="62" t="str">
        <f t="shared" si="2"/>
        <v/>
      </c>
      <c r="P8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80" s="63"/>
    </row>
    <row r="81" spans="1:17" ht="15.5" x14ac:dyDescent="0.35">
      <c r="A81" s="58" t="s">
        <v>315</v>
      </c>
      <c r="B81" s="55" t="s">
        <v>150</v>
      </c>
      <c r="C81" s="56"/>
      <c r="D81" s="56"/>
      <c r="E81" s="13">
        <v>44776.943055555559</v>
      </c>
      <c r="F81" s="55">
        <v>1.4</v>
      </c>
      <c r="G81" s="159" t="s">
        <v>164</v>
      </c>
      <c r="H81" s="57" t="s">
        <v>667</v>
      </c>
      <c r="I81" s="18" t="s">
        <v>334</v>
      </c>
      <c r="J81" s="13">
        <v>44777.302083333336</v>
      </c>
      <c r="K81" s="83"/>
      <c r="L81" s="14">
        <f t="shared" si="0"/>
        <v>0.35902777777664596</v>
      </c>
      <c r="M81" s="59">
        <f t="shared" si="3"/>
        <v>0.50263888888730435</v>
      </c>
      <c r="N81" s="61" t="str">
        <f>IF(Table2683264[[#This Row],[Fault Type]]="PM",IF(L81&lt;=(D81-C81),"Yes","No"),"")</f>
        <v/>
      </c>
      <c r="O81" s="62" t="str">
        <f t="shared" si="2"/>
        <v/>
      </c>
      <c r="P8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81" s="63"/>
    </row>
    <row r="82" spans="1:17" ht="15.5" x14ac:dyDescent="0.35">
      <c r="A82" s="58" t="s">
        <v>27</v>
      </c>
      <c r="B82" s="55" t="s">
        <v>150</v>
      </c>
      <c r="C82" s="56"/>
      <c r="D82" s="56"/>
      <c r="E82" s="13">
        <v>44776.961805555555</v>
      </c>
      <c r="F82" s="55">
        <v>0.9</v>
      </c>
      <c r="G82" s="159" t="s">
        <v>164</v>
      </c>
      <c r="H82" s="57" t="s">
        <v>660</v>
      </c>
      <c r="I82" s="18" t="s">
        <v>334</v>
      </c>
      <c r="J82" s="13">
        <v>44777.423611111109</v>
      </c>
      <c r="K82" s="83"/>
      <c r="L82" s="14">
        <f>J82-E82</f>
        <v>0.46180555555474712</v>
      </c>
      <c r="M82" s="59">
        <f>L82*F82</f>
        <v>0.41562499999927244</v>
      </c>
      <c r="N82" s="61" t="str">
        <f>IF(Table2683264[[#This Row],[Fault Type]]="PM",IF(L82&lt;=(D82-C82),"Yes","No"),"")</f>
        <v/>
      </c>
      <c r="O82" s="62" t="str">
        <f>IF(N82="No",(L82-(D82-C82)),"")</f>
        <v/>
      </c>
      <c r="P8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82" s="63"/>
    </row>
    <row r="83" spans="1:17" ht="15.5" x14ac:dyDescent="0.35">
      <c r="A83" s="58" t="s">
        <v>31</v>
      </c>
      <c r="B83" s="55" t="s">
        <v>158</v>
      </c>
      <c r="C83" s="56"/>
      <c r="D83" s="56"/>
      <c r="E83" s="13">
        <v>44776.964583333334</v>
      </c>
      <c r="F83" s="55">
        <v>5</v>
      </c>
      <c r="G83" s="159"/>
      <c r="H83" s="57" t="s">
        <v>668</v>
      </c>
      <c r="I83" s="18" t="s">
        <v>333</v>
      </c>
      <c r="J83" s="13">
        <v>44777.40625</v>
      </c>
      <c r="K83" s="83"/>
      <c r="L83" s="14">
        <f>J83-E83</f>
        <v>0.44166666666569654</v>
      </c>
      <c r="M83" s="59">
        <f>L83*F83</f>
        <v>2.2083333333284827</v>
      </c>
      <c r="N83" s="61" t="str">
        <f>IF(Table2683264[[#This Row],[Fault Type]]="PM",IF(L83&lt;=(D83-C83),"Yes","No"),"")</f>
        <v/>
      </c>
      <c r="O83" s="62" t="str">
        <f>IF(N83="No",(L83-(D83-C83)),"")</f>
        <v/>
      </c>
      <c r="P8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No</v>
      </c>
      <c r="Q83" s="63"/>
    </row>
    <row r="84" spans="1:17" ht="15.5" x14ac:dyDescent="0.35">
      <c r="A84" s="58" t="s">
        <v>191</v>
      </c>
      <c r="B84" s="55" t="s">
        <v>150</v>
      </c>
      <c r="C84" s="56"/>
      <c r="D84" s="56"/>
      <c r="E84" s="13">
        <v>44776.993055555555</v>
      </c>
      <c r="F84" s="55">
        <v>2.2999999999999998</v>
      </c>
      <c r="G84" s="159" t="s">
        <v>164</v>
      </c>
      <c r="H84" s="57" t="s">
        <v>669</v>
      </c>
      <c r="I84" s="18" t="s">
        <v>333</v>
      </c>
      <c r="J84" s="13">
        <v>44777.104861111111</v>
      </c>
      <c r="K84" s="83"/>
      <c r="L84" s="14">
        <f t="shared" si="0"/>
        <v>0.11180555555620231</v>
      </c>
      <c r="M84" s="59">
        <f t="shared" si="3"/>
        <v>0.25715277777926526</v>
      </c>
      <c r="N84" s="61" t="str">
        <f>IF(Table2683264[[#This Row],[Fault Type]]="PM",IF(L84&lt;=(D84-C84),"Yes","No"),"")</f>
        <v/>
      </c>
      <c r="O84" s="62" t="str">
        <f t="shared" si="2"/>
        <v/>
      </c>
      <c r="P8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Yes</v>
      </c>
      <c r="Q84" s="63"/>
    </row>
    <row r="85" spans="1:17" ht="15.5" x14ac:dyDescent="0.35">
      <c r="A85" s="58"/>
      <c r="B85" s="55"/>
      <c r="C85" s="56"/>
      <c r="D85" s="56"/>
      <c r="E85" s="13"/>
      <c r="F85" s="55"/>
      <c r="G85" s="159"/>
      <c r="H85" s="57"/>
      <c r="I85" s="18"/>
      <c r="J85" s="13"/>
      <c r="K85" s="83"/>
      <c r="L85" s="14">
        <f t="shared" si="0"/>
        <v>0</v>
      </c>
      <c r="M85" s="59">
        <f t="shared" si="3"/>
        <v>0</v>
      </c>
      <c r="N85" s="61" t="str">
        <f>IF(Table2683264[[#This Row],[Fault Type]]="PM",IF(L85&lt;=(D85-C85),"Yes","No"),"")</f>
        <v/>
      </c>
      <c r="O85" s="62" t="str">
        <f t="shared" si="2"/>
        <v/>
      </c>
      <c r="P8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85" s="63"/>
    </row>
    <row r="86" spans="1:17" ht="15.5" x14ac:dyDescent="0.35">
      <c r="A86" s="58"/>
      <c r="B86" s="55"/>
      <c r="C86" s="56"/>
      <c r="D86" s="56"/>
      <c r="E86" s="13"/>
      <c r="F86" s="55"/>
      <c r="G86" s="159"/>
      <c r="H86" s="57"/>
      <c r="I86" s="18"/>
      <c r="J86" s="13"/>
      <c r="K86" s="83"/>
      <c r="L86" s="14">
        <f t="shared" si="0"/>
        <v>0</v>
      </c>
      <c r="M86" s="59">
        <f t="shared" si="3"/>
        <v>0</v>
      </c>
      <c r="N86" s="61" t="str">
        <f>IF(Table2683264[[#This Row],[Fault Type]]="PM",IF(L86&lt;=(D86-C86),"Yes","No"),"")</f>
        <v/>
      </c>
      <c r="O86" s="62" t="str">
        <f t="shared" si="2"/>
        <v/>
      </c>
      <c r="P8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86" s="63"/>
    </row>
    <row r="87" spans="1:17" ht="15.5" x14ac:dyDescent="0.35">
      <c r="A87" s="58"/>
      <c r="B87" s="55"/>
      <c r="C87" s="56"/>
      <c r="D87" s="56"/>
      <c r="E87" s="13"/>
      <c r="F87" s="55"/>
      <c r="G87" s="159"/>
      <c r="H87" s="57"/>
      <c r="I87" s="18"/>
      <c r="J87" s="13"/>
      <c r="K87" s="83"/>
      <c r="L87" s="14">
        <f t="shared" ref="L87:L100" si="7">J87-E87</f>
        <v>0</v>
      </c>
      <c r="M87" s="59">
        <f t="shared" si="3"/>
        <v>0</v>
      </c>
      <c r="N87" s="61" t="str">
        <f>IF(Table2683264[[#This Row],[Fault Type]]="PM",IF(L87&lt;=(D87-C87),"Yes","No"),"")</f>
        <v/>
      </c>
      <c r="O87" s="62" t="str">
        <f t="shared" ref="O87:O100" si="8">IF(N87="No",(L87-(D87-C87)),"")</f>
        <v/>
      </c>
      <c r="P8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87" s="63"/>
    </row>
    <row r="88" spans="1:17" ht="15.5" x14ac:dyDescent="0.35">
      <c r="A88" s="58"/>
      <c r="B88" s="55"/>
      <c r="C88" s="56"/>
      <c r="D88" s="56"/>
      <c r="E88" s="13"/>
      <c r="F88" s="55"/>
      <c r="G88" s="159"/>
      <c r="H88" s="57"/>
      <c r="I88" s="18"/>
      <c r="J88" s="13"/>
      <c r="K88" s="83"/>
      <c r="L88" s="14">
        <f t="shared" si="7"/>
        <v>0</v>
      </c>
      <c r="M88" s="59">
        <f t="shared" si="3"/>
        <v>0</v>
      </c>
      <c r="N88" s="61" t="str">
        <f>IF(Table2683264[[#This Row],[Fault Type]]="PM",IF(L88&lt;=(D88-C88),"Yes","No"),"")</f>
        <v/>
      </c>
      <c r="O88" s="62" t="str">
        <f t="shared" si="8"/>
        <v/>
      </c>
      <c r="P8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88" s="63"/>
    </row>
    <row r="89" spans="1:17" ht="15.5" x14ac:dyDescent="0.35">
      <c r="A89" s="58"/>
      <c r="B89" s="55"/>
      <c r="C89" s="56"/>
      <c r="D89" s="56"/>
      <c r="E89" s="13"/>
      <c r="F89" s="55"/>
      <c r="G89" s="159"/>
      <c r="H89" s="57"/>
      <c r="I89" s="18"/>
      <c r="J89" s="13"/>
      <c r="K89" s="83"/>
      <c r="L89" s="14">
        <f t="shared" si="7"/>
        <v>0</v>
      </c>
      <c r="M89" s="59">
        <f t="shared" si="3"/>
        <v>0</v>
      </c>
      <c r="N89" s="61" t="str">
        <f>IF(Table2683264[[#This Row],[Fault Type]]="PM",IF(L89&lt;=(D89-C89),"Yes","No"),"")</f>
        <v/>
      </c>
      <c r="O89" s="62" t="str">
        <f t="shared" si="8"/>
        <v/>
      </c>
      <c r="P8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89" s="63"/>
    </row>
    <row r="90" spans="1:17" ht="15.5" x14ac:dyDescent="0.35">
      <c r="A90" s="58"/>
      <c r="B90" s="55"/>
      <c r="C90" s="56"/>
      <c r="D90" s="56"/>
      <c r="E90" s="13"/>
      <c r="F90" s="55"/>
      <c r="G90" s="159"/>
      <c r="H90" s="57"/>
      <c r="I90" s="18"/>
      <c r="J90" s="13"/>
      <c r="K90" s="83"/>
      <c r="L90" s="14">
        <f t="shared" si="7"/>
        <v>0</v>
      </c>
      <c r="M90" s="59">
        <f t="shared" si="3"/>
        <v>0</v>
      </c>
      <c r="N90" s="61" t="str">
        <f>IF(Table2683264[[#This Row],[Fault Type]]="PM",IF(L90&lt;=(D90-C90),"Yes","No"),"")</f>
        <v/>
      </c>
      <c r="O90" s="62" t="str">
        <f t="shared" si="8"/>
        <v/>
      </c>
      <c r="P9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0" s="63"/>
    </row>
    <row r="91" spans="1:17" ht="15.5" x14ac:dyDescent="0.35">
      <c r="A91" s="58"/>
      <c r="B91" s="55"/>
      <c r="C91" s="56"/>
      <c r="D91" s="56"/>
      <c r="E91" s="13"/>
      <c r="F91" s="55"/>
      <c r="G91" s="159"/>
      <c r="H91" s="57"/>
      <c r="I91" s="18"/>
      <c r="J91" s="13"/>
      <c r="K91" s="83"/>
      <c r="L91" s="14">
        <f t="shared" si="7"/>
        <v>0</v>
      </c>
      <c r="M91" s="59">
        <f t="shared" si="3"/>
        <v>0</v>
      </c>
      <c r="N91" s="61" t="str">
        <f>IF(Table2683264[[#This Row],[Fault Type]]="PM",IF(L91&lt;=(D91-C91),"Yes","No"),"")</f>
        <v/>
      </c>
      <c r="O91" s="62" t="str">
        <f t="shared" si="8"/>
        <v/>
      </c>
      <c r="P91"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1" s="63"/>
    </row>
    <row r="92" spans="1:17" ht="15.5" x14ac:dyDescent="0.35">
      <c r="A92" s="58"/>
      <c r="B92" s="55"/>
      <c r="C92" s="56"/>
      <c r="D92" s="56"/>
      <c r="E92" s="13"/>
      <c r="F92" s="55"/>
      <c r="G92" s="159"/>
      <c r="H92" s="57"/>
      <c r="I92" s="18"/>
      <c r="J92" s="13"/>
      <c r="K92" s="83"/>
      <c r="L92" s="14">
        <f t="shared" si="7"/>
        <v>0</v>
      </c>
      <c r="M92" s="59">
        <f t="shared" si="3"/>
        <v>0</v>
      </c>
      <c r="N92" s="61" t="str">
        <f>IF(Table2683264[[#This Row],[Fault Type]]="PM",IF(L92&lt;=(D92-C92),"Yes","No"),"")</f>
        <v/>
      </c>
      <c r="O92" s="62" t="str">
        <f t="shared" si="8"/>
        <v/>
      </c>
      <c r="P92"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2" s="63"/>
    </row>
    <row r="93" spans="1:17" ht="15.5" x14ac:dyDescent="0.35">
      <c r="A93" s="58"/>
      <c r="B93" s="55"/>
      <c r="C93" s="56"/>
      <c r="D93" s="56"/>
      <c r="E93" s="13"/>
      <c r="F93" s="55"/>
      <c r="G93" s="159"/>
      <c r="H93" s="57"/>
      <c r="I93" s="18"/>
      <c r="J93" s="13"/>
      <c r="K93" s="83"/>
      <c r="L93" s="14">
        <f t="shared" si="7"/>
        <v>0</v>
      </c>
      <c r="M93" s="59">
        <f t="shared" si="3"/>
        <v>0</v>
      </c>
      <c r="N93" s="61" t="str">
        <f>IF(Table2683264[[#This Row],[Fault Type]]="PM",IF(L93&lt;=(D93-C93),"Yes","No"),"")</f>
        <v/>
      </c>
      <c r="O93" s="62" t="str">
        <f t="shared" si="8"/>
        <v/>
      </c>
      <c r="P93"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3" s="63"/>
    </row>
    <row r="94" spans="1:17" ht="15.5" x14ac:dyDescent="0.35">
      <c r="A94" s="58"/>
      <c r="B94" s="55"/>
      <c r="C94" s="56"/>
      <c r="D94" s="56"/>
      <c r="E94" s="13"/>
      <c r="F94" s="55"/>
      <c r="G94" s="159"/>
      <c r="H94" s="57"/>
      <c r="I94" s="18"/>
      <c r="J94" s="13"/>
      <c r="K94" s="83"/>
      <c r="L94" s="14">
        <f t="shared" si="7"/>
        <v>0</v>
      </c>
      <c r="M94" s="59">
        <f t="shared" si="3"/>
        <v>0</v>
      </c>
      <c r="N94" s="61" t="str">
        <f>IF(Table2683264[[#This Row],[Fault Type]]="PM",IF(L94&lt;=(D94-C94),"Yes","No"),"")</f>
        <v/>
      </c>
      <c r="O94" s="62" t="str">
        <f t="shared" si="8"/>
        <v/>
      </c>
      <c r="P94"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4" s="63"/>
    </row>
    <row r="95" spans="1:17" ht="15.5" x14ac:dyDescent="0.35">
      <c r="A95" s="58"/>
      <c r="B95" s="55"/>
      <c r="C95" s="56"/>
      <c r="D95" s="56"/>
      <c r="E95" s="13"/>
      <c r="F95" s="55"/>
      <c r="G95" s="159"/>
      <c r="H95" s="57"/>
      <c r="I95" s="18"/>
      <c r="J95" s="13"/>
      <c r="K95" s="83"/>
      <c r="L95" s="14">
        <f t="shared" si="7"/>
        <v>0</v>
      </c>
      <c r="M95" s="59">
        <f t="shared" si="3"/>
        <v>0</v>
      </c>
      <c r="N95" s="61" t="str">
        <f>IF(Table2683264[[#This Row],[Fault Type]]="PM",IF(L95&lt;=(D95-C95),"Yes","No"),"")</f>
        <v/>
      </c>
      <c r="O95" s="62" t="str">
        <f t="shared" si="8"/>
        <v/>
      </c>
      <c r="P95"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5" s="63"/>
    </row>
    <row r="96" spans="1:17" ht="15.5" x14ac:dyDescent="0.35">
      <c r="A96" s="58"/>
      <c r="B96" s="55"/>
      <c r="C96" s="56"/>
      <c r="D96" s="56"/>
      <c r="E96" s="13"/>
      <c r="F96" s="55"/>
      <c r="G96" s="159"/>
      <c r="H96" s="57"/>
      <c r="I96" s="18"/>
      <c r="J96" s="13"/>
      <c r="K96" s="83"/>
      <c r="L96" s="14">
        <f t="shared" si="7"/>
        <v>0</v>
      </c>
      <c r="M96" s="59">
        <f t="shared" si="3"/>
        <v>0</v>
      </c>
      <c r="N96" s="61" t="str">
        <f>IF(Table2683264[[#This Row],[Fault Type]]="PM",IF(L96&lt;=(D96-C96),"Yes","No"),"")</f>
        <v/>
      </c>
      <c r="O96" s="62" t="str">
        <f t="shared" si="8"/>
        <v/>
      </c>
      <c r="P96"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6" s="63"/>
    </row>
    <row r="97" spans="1:17" ht="15.5" x14ac:dyDescent="0.35">
      <c r="A97" s="58"/>
      <c r="B97" s="55"/>
      <c r="C97" s="56"/>
      <c r="D97" s="56"/>
      <c r="E97" s="13"/>
      <c r="F97" s="55"/>
      <c r="G97" s="159"/>
      <c r="H97" s="57"/>
      <c r="I97" s="18"/>
      <c r="J97" s="13"/>
      <c r="K97" s="83"/>
      <c r="L97" s="14">
        <f t="shared" si="7"/>
        <v>0</v>
      </c>
      <c r="M97" s="59">
        <f t="shared" si="3"/>
        <v>0</v>
      </c>
      <c r="N97" s="61" t="str">
        <f>IF(Table2683264[[#This Row],[Fault Type]]="PM",IF(L97&lt;=(D97-C97),"Yes","No"),"")</f>
        <v/>
      </c>
      <c r="O97" s="62" t="str">
        <f t="shared" si="8"/>
        <v/>
      </c>
      <c r="P97"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7" s="63"/>
    </row>
    <row r="98" spans="1:17" ht="15.5" x14ac:dyDescent="0.35">
      <c r="A98" s="58"/>
      <c r="B98" s="55"/>
      <c r="C98" s="56"/>
      <c r="D98" s="56"/>
      <c r="E98" s="13"/>
      <c r="F98" s="55"/>
      <c r="G98" s="159"/>
      <c r="H98" s="57"/>
      <c r="I98" s="18"/>
      <c r="J98" s="13"/>
      <c r="K98" s="83"/>
      <c r="L98" s="14">
        <f t="shared" si="7"/>
        <v>0</v>
      </c>
      <c r="M98" s="59">
        <f t="shared" si="3"/>
        <v>0</v>
      </c>
      <c r="N98" s="61" t="str">
        <f>IF(Table2683264[[#This Row],[Fault Type]]="PM",IF(L98&lt;=(D98-C98),"Yes","No"),"")</f>
        <v/>
      </c>
      <c r="O98" s="62" t="str">
        <f t="shared" si="8"/>
        <v/>
      </c>
      <c r="P98"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8" s="63"/>
    </row>
    <row r="99" spans="1:17" ht="15.5" x14ac:dyDescent="0.35">
      <c r="A99" s="58"/>
      <c r="B99" s="55"/>
      <c r="C99" s="56"/>
      <c r="D99" s="56"/>
      <c r="E99" s="13"/>
      <c r="F99" s="55"/>
      <c r="G99" s="159"/>
      <c r="H99" s="57"/>
      <c r="I99" s="18"/>
      <c r="J99" s="13"/>
      <c r="K99" s="83"/>
      <c r="L99" s="14">
        <f t="shared" si="7"/>
        <v>0</v>
      </c>
      <c r="M99" s="59">
        <f t="shared" si="3"/>
        <v>0</v>
      </c>
      <c r="N99" s="61" t="str">
        <f>IF(Table2683264[[#This Row],[Fault Type]]="PM",IF(L99&lt;=(D99-C99),"Yes","No"),"")</f>
        <v/>
      </c>
      <c r="O99" s="62" t="str">
        <f t="shared" si="8"/>
        <v/>
      </c>
      <c r="P99"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99" s="63"/>
    </row>
    <row r="100" spans="1:17" ht="15.5" x14ac:dyDescent="0.35">
      <c r="A100" s="58"/>
      <c r="B100" s="55"/>
      <c r="C100" s="56"/>
      <c r="D100" s="56"/>
      <c r="E100" s="13"/>
      <c r="F100" s="55"/>
      <c r="G100" s="159"/>
      <c r="H100" s="57"/>
      <c r="I100" s="18"/>
      <c r="J100" s="13"/>
      <c r="K100" s="83"/>
      <c r="L100" s="14">
        <f t="shared" si="7"/>
        <v>0</v>
      </c>
      <c r="M100" s="59">
        <f t="shared" si="3"/>
        <v>0</v>
      </c>
      <c r="N100" s="61" t="str">
        <f>IF(Table2683264[[#This Row],[Fault Type]]="PM",IF(L100&lt;=(D100-C100),"Yes","No"),"")</f>
        <v/>
      </c>
      <c r="O100" s="62" t="str">
        <f t="shared" si="8"/>
        <v/>
      </c>
      <c r="P100" s="30" t="str">
        <f>IF(AND(Table2683264[[#This Row],[Name of Feeder]]&lt;&gt;"",OR(Table2683264[[#This Row],[Fault Type]]="TL",Table2683264[[#This Row],[Fault Type]]="TS",Table2683264[[#This Row],[Fault Type]]="UF",Table2683264[[#This Row],[Fault Type]]="SE")),(IF(AND(VLOOKUP(Table2683264[[#This Row],[Name of Feeder]],Main!D:E,2,0)="URBAN",ISNUMBER(SEARCH("33KV",Table2683264[[#This Row],[Name of Feeder]]))),IF(AND(Table2683264[[#This Row],[Outage Duration]]&gt;0,Table2683264[[#This Row],[Outage Duration]]&lt;=0.25),"Yes","No"),IF(AND(VLOOKUP(Table2683264[[#This Row],[Name of Feeder]],Main!D:E,2,0)="RURAL",ISNUMBER(SEARCH("33KV",Table2683264[[#This Row],[Name of Feeder]]))),IF(AND(Table2683264[[#This Row],[Outage Duration]]&gt;0,Table2683264[[#This Row],[Outage Duration]]&lt;=0.33),"Yes","No"),IF(AND(VLOOKUP(Table2683264[[#This Row],[Name of Feeder]],Main!D:E,2,0)="RURAL",ISNUMBER(SEARCH("11KV",Table2683264[[#This Row],[Name of Feeder]]))),IF(AND(Table2683264[[#This Row],[Outage Duration]]&gt;0,Table2683264[[#This Row],[Outage Duration]]&lt;=0.17),"Yes","No"),IF(AND(VLOOKUP(Table2683264[[#This Row],[Name of Feeder]],Main!D:E,2,0)="URBAN",ISNUMBER(SEARCH("11KV",Table2683264[[#This Row],[Name of Feeder]]))),IF(AND(Table2683264[[#This Row],[Outage Duration]]&gt;0,Table2683264[[#This Row],[Outage Duration]]&lt;=0.17),"Yes","No"),""))))),"")</f>
        <v/>
      </c>
      <c r="Q100" s="63"/>
    </row>
  </sheetData>
  <pageMargins left="0.7" right="0.7" top="0.75" bottom="0.75" header="0.3" footer="0.3"/>
  <pageSetup orientation="portrait" r:id="rId1"/>
  <ignoredErrors>
    <ignoredError sqref="M27:M29" calculatedColumn="1"/>
    <ignoredError sqref="M68 N80:O80" evalError="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Main!$F$226:$F$228</xm:f>
          </x14:formula1>
          <xm:sqref>I2:I100</xm:sqref>
        </x14:dataValidation>
        <x14:dataValidation type="list" allowBlank="1" showInputMessage="1" showErrorMessage="1" xr:uid="{00000000-0002-0000-0600-000001000000}">
          <x14:formula1>
            <xm:f>Main!$D$2:$D$196</xm:f>
          </x14:formula1>
          <xm:sqref>A2:A100</xm:sqref>
        </x14:dataValidation>
        <x14:dataValidation type="list" allowBlank="1" showInputMessage="1" showErrorMessage="1" xr:uid="{00000000-0002-0000-0600-000002000000}">
          <x14:formula1>
            <xm:f>Main!F$222:F$225</xm:f>
          </x14:formula1>
          <xm:sqref>G2:G100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83"/>
  <sheetViews>
    <sheetView zoomScale="70" zoomScaleNormal="70" workbookViewId="0">
      <selection activeCell="A2" sqref="A2:J69"/>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style="88"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87" t="s">
        <v>265</v>
      </c>
      <c r="L1" s="19" t="s">
        <v>5</v>
      </c>
      <c r="M1" s="19" t="s">
        <v>166</v>
      </c>
      <c r="N1" s="19" t="s">
        <v>197</v>
      </c>
      <c r="O1" s="19" t="s">
        <v>198</v>
      </c>
      <c r="P1" s="19" t="s">
        <v>267</v>
      </c>
      <c r="Q1" s="19" t="s">
        <v>201</v>
      </c>
    </row>
    <row r="2" spans="1:17" ht="15.5" x14ac:dyDescent="0.35">
      <c r="A2" s="4" t="s">
        <v>43</v>
      </c>
      <c r="B2" s="12" t="s">
        <v>150</v>
      </c>
      <c r="C2" s="13"/>
      <c r="D2" s="13"/>
      <c r="E2" s="13">
        <v>44777.009722222225</v>
      </c>
      <c r="F2" s="12">
        <v>1.5</v>
      </c>
      <c r="G2" s="12" t="s">
        <v>164</v>
      </c>
      <c r="H2" s="27" t="s">
        <v>670</v>
      </c>
      <c r="I2" s="27" t="s">
        <v>334</v>
      </c>
      <c r="J2" s="13">
        <v>44777.380555555559</v>
      </c>
      <c r="K2" s="32"/>
      <c r="L2" s="14">
        <f t="shared" ref="L2:L69" si="0">J2-E2</f>
        <v>0.37083333333430346</v>
      </c>
      <c r="M2" s="31">
        <f t="shared" ref="M2:M22" si="1">L2*F2</f>
        <v>0.55625000000145519</v>
      </c>
      <c r="N2" s="15" t="str">
        <f>IF(Table2683263[[#This Row],[Fault Type]]="PM",IF(L2&lt;=(D2-C2),"Yes","No"),"")</f>
        <v/>
      </c>
      <c r="O2" s="16" t="str">
        <f t="shared" ref="O2:O69" si="2">IF(N2="No",(L2-(D2-C2)),"")</f>
        <v/>
      </c>
      <c r="P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2" s="17"/>
    </row>
    <row r="3" spans="1:17" ht="15.5" x14ac:dyDescent="0.35">
      <c r="A3" s="4" t="s">
        <v>371</v>
      </c>
      <c r="B3" s="12" t="s">
        <v>150</v>
      </c>
      <c r="C3" s="13"/>
      <c r="D3" s="13"/>
      <c r="E3" s="13">
        <v>44778.017361111109</v>
      </c>
      <c r="F3" s="12">
        <v>1.8</v>
      </c>
      <c r="G3" s="12" t="s">
        <v>164</v>
      </c>
      <c r="H3" s="27" t="s">
        <v>671</v>
      </c>
      <c r="I3" s="27" t="s">
        <v>334</v>
      </c>
      <c r="J3" s="13">
        <v>44778.447916666664</v>
      </c>
      <c r="K3" s="32"/>
      <c r="L3" s="14">
        <f t="shared" si="0"/>
        <v>0.43055555555474712</v>
      </c>
      <c r="M3" s="31">
        <f t="shared" si="1"/>
        <v>0.77499999999854485</v>
      </c>
      <c r="N3" s="15" t="str">
        <f>IF(Table2683263[[#This Row],[Fault Type]]="PM",IF(L3&lt;=(D3-C3),"Yes","No"),"")</f>
        <v/>
      </c>
      <c r="O3" s="16" t="str">
        <f t="shared" si="2"/>
        <v/>
      </c>
      <c r="P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3" s="17"/>
    </row>
    <row r="4" spans="1:17" ht="15.5" x14ac:dyDescent="0.35">
      <c r="A4" s="4" t="s">
        <v>23</v>
      </c>
      <c r="B4" s="12" t="s">
        <v>150</v>
      </c>
      <c r="C4" s="13"/>
      <c r="D4" s="13"/>
      <c r="E4" s="13">
        <v>44777.018055555556</v>
      </c>
      <c r="F4" s="12">
        <v>2.8</v>
      </c>
      <c r="G4" s="12" t="s">
        <v>162</v>
      </c>
      <c r="H4" s="12" t="s">
        <v>526</v>
      </c>
      <c r="I4" s="12" t="s">
        <v>526</v>
      </c>
      <c r="J4" s="13">
        <v>44777.025000000001</v>
      </c>
      <c r="K4" s="32"/>
      <c r="L4" s="14">
        <f t="shared" si="0"/>
        <v>6.9444444452528842E-3</v>
      </c>
      <c r="M4" s="31">
        <f t="shared" si="1"/>
        <v>1.9444444446708075E-2</v>
      </c>
      <c r="N4" s="15" t="str">
        <f>IF(Table2683263[[#This Row],[Fault Type]]="PM",IF(L4&lt;=(D4-C4),"Yes","No"),"")</f>
        <v/>
      </c>
      <c r="O4" s="16" t="str">
        <f t="shared" si="2"/>
        <v/>
      </c>
      <c r="P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 s="17"/>
    </row>
    <row r="5" spans="1:17" ht="15.5" x14ac:dyDescent="0.35">
      <c r="A5" s="4" t="s">
        <v>50</v>
      </c>
      <c r="B5" s="12" t="s">
        <v>150</v>
      </c>
      <c r="C5" s="13"/>
      <c r="D5" s="13"/>
      <c r="E5" s="13">
        <v>44777.031944444447</v>
      </c>
      <c r="F5" s="12">
        <v>1.2</v>
      </c>
      <c r="G5" s="12" t="s">
        <v>164</v>
      </c>
      <c r="H5" s="12" t="s">
        <v>672</v>
      </c>
      <c r="I5" s="12" t="s">
        <v>334</v>
      </c>
      <c r="J5" s="13">
        <v>44777.3</v>
      </c>
      <c r="K5" s="32"/>
      <c r="L5" s="14">
        <f t="shared" si="0"/>
        <v>0.26805555555620231</v>
      </c>
      <c r="M5" s="31">
        <f t="shared" si="1"/>
        <v>0.32166666666744276</v>
      </c>
      <c r="N5" s="15" t="str">
        <f>IF(Table2683263[[#This Row],[Fault Type]]="PM",IF(L5&lt;=(D5-C5),"Yes","No"),"")</f>
        <v/>
      </c>
      <c r="O5" s="16" t="str">
        <f t="shared" si="2"/>
        <v/>
      </c>
      <c r="P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 s="17"/>
    </row>
    <row r="6" spans="1:17" s="116" customFormat="1" ht="15.5" x14ac:dyDescent="0.35">
      <c r="A6" s="131" t="s">
        <v>123</v>
      </c>
      <c r="B6" s="132" t="s">
        <v>150</v>
      </c>
      <c r="C6" s="133"/>
      <c r="D6" s="133"/>
      <c r="E6" s="133">
        <v>44777.040277777778</v>
      </c>
      <c r="F6" s="132">
        <v>2</v>
      </c>
      <c r="G6" s="132" t="s">
        <v>162</v>
      </c>
      <c r="H6" s="132" t="s">
        <v>673</v>
      </c>
      <c r="I6" s="132" t="s">
        <v>334</v>
      </c>
      <c r="J6" s="133">
        <v>44777.496527777781</v>
      </c>
      <c r="K6" s="136"/>
      <c r="L6" s="14">
        <f>J6-E6</f>
        <v>0.45625000000291038</v>
      </c>
      <c r="M6" s="31">
        <f>L6*F6</f>
        <v>0.91250000000582077</v>
      </c>
      <c r="N6" s="15" t="str">
        <f>IF(Table2683263[[#This Row],[Fault Type]]="PM",IF(L6&lt;=(D6-C6),"Yes","No"),"")</f>
        <v/>
      </c>
      <c r="O6" s="16" t="str">
        <f>IF(N6="No",(L6-(D6-C6)),"")</f>
        <v/>
      </c>
      <c r="P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 s="144"/>
    </row>
    <row r="7" spans="1:17" ht="15.5" x14ac:dyDescent="0.35">
      <c r="A7" s="158" t="s">
        <v>23</v>
      </c>
      <c r="B7" s="12" t="s">
        <v>150</v>
      </c>
      <c r="C7" s="13"/>
      <c r="D7" s="13"/>
      <c r="E7" s="13">
        <v>44777.075694444444</v>
      </c>
      <c r="F7" s="12">
        <v>2.6</v>
      </c>
      <c r="G7" s="12" t="s">
        <v>162</v>
      </c>
      <c r="H7" s="12" t="s">
        <v>526</v>
      </c>
      <c r="I7" s="12" t="s">
        <v>526</v>
      </c>
      <c r="J7" s="13">
        <v>44777.082638888889</v>
      </c>
      <c r="K7" s="32"/>
      <c r="L7" s="14">
        <f>J7-E7</f>
        <v>6.9444444452528842E-3</v>
      </c>
      <c r="M7" s="31">
        <f>L7*F7</f>
        <v>1.8055555557657501E-2</v>
      </c>
      <c r="N7" s="15" t="str">
        <f>IF(Table2683263[[#This Row],[Fault Type]]="PM",IF(L7&lt;=(D7-C7),"Yes","No"),"")</f>
        <v/>
      </c>
      <c r="O7" s="16" t="str">
        <f>IF(N7="No",(L7-(D7-C7)),"")</f>
        <v/>
      </c>
      <c r="P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7" s="17"/>
    </row>
    <row r="8" spans="1:17" ht="15.5" x14ac:dyDescent="0.35">
      <c r="A8" s="4" t="s">
        <v>30</v>
      </c>
      <c r="B8" s="12" t="s">
        <v>150</v>
      </c>
      <c r="C8" s="13"/>
      <c r="D8" s="13"/>
      <c r="E8" s="13">
        <v>44777.076388888891</v>
      </c>
      <c r="F8" s="12">
        <v>3.5</v>
      </c>
      <c r="G8" s="12" t="s">
        <v>163</v>
      </c>
      <c r="H8" s="12" t="s">
        <v>674</v>
      </c>
      <c r="I8" s="12" t="s">
        <v>334</v>
      </c>
      <c r="J8" s="13">
        <v>44777.268055555556</v>
      </c>
      <c r="K8" s="32"/>
      <c r="L8" s="14">
        <f t="shared" si="0"/>
        <v>0.19166666666569654</v>
      </c>
      <c r="M8" s="31">
        <f t="shared" si="1"/>
        <v>0.67083333332993789</v>
      </c>
      <c r="N8" s="15" t="str">
        <f>IF(Table2683263[[#This Row],[Fault Type]]="PM",IF(L8&lt;=(D8-C8),"Yes","No"),"")</f>
        <v/>
      </c>
      <c r="O8" s="16" t="str">
        <f t="shared" si="2"/>
        <v/>
      </c>
      <c r="P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8" s="130"/>
    </row>
    <row r="9" spans="1:17" ht="15.5" x14ac:dyDescent="0.35">
      <c r="A9" s="4" t="s">
        <v>134</v>
      </c>
      <c r="B9" s="12" t="s">
        <v>150</v>
      </c>
      <c r="C9" s="13"/>
      <c r="D9" s="13"/>
      <c r="E9" s="13">
        <v>44777.169444444444</v>
      </c>
      <c r="F9" s="18">
        <v>2</v>
      </c>
      <c r="G9" s="12" t="s">
        <v>163</v>
      </c>
      <c r="H9" s="18" t="s">
        <v>508</v>
      </c>
      <c r="I9" s="18" t="s">
        <v>333</v>
      </c>
      <c r="J9" s="13">
        <v>44777.439583333333</v>
      </c>
      <c r="K9" s="32"/>
      <c r="L9" s="14">
        <f t="shared" si="0"/>
        <v>0.27013888888905058</v>
      </c>
      <c r="M9" s="31">
        <f t="shared" si="1"/>
        <v>0.54027777777810115</v>
      </c>
      <c r="N9" s="15" t="str">
        <f>IF(Table2683263[[#This Row],[Fault Type]]="PM",IF(L9&lt;=(D9-C9),"Yes","No"),"")</f>
        <v/>
      </c>
      <c r="O9" s="16" t="str">
        <f t="shared" si="2"/>
        <v/>
      </c>
      <c r="P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9" s="130"/>
    </row>
    <row r="10" spans="1:17" ht="15.5" x14ac:dyDescent="0.35">
      <c r="A10" s="4" t="s">
        <v>122</v>
      </c>
      <c r="B10" s="12" t="s">
        <v>150</v>
      </c>
      <c r="C10" s="13"/>
      <c r="D10" s="13"/>
      <c r="E10" s="13">
        <v>44777.182638888888</v>
      </c>
      <c r="F10" s="12">
        <v>2.6</v>
      </c>
      <c r="G10" s="12" t="s">
        <v>164</v>
      </c>
      <c r="H10" s="12" t="s">
        <v>675</v>
      </c>
      <c r="I10" s="12" t="s">
        <v>334</v>
      </c>
      <c r="J10" s="13">
        <v>44777.428472222222</v>
      </c>
      <c r="K10" s="32"/>
      <c r="L10" s="14">
        <f t="shared" si="0"/>
        <v>0.24583333333430346</v>
      </c>
      <c r="M10" s="31">
        <f t="shared" si="1"/>
        <v>0.63916666666918898</v>
      </c>
      <c r="N10" s="15" t="str">
        <f>IF(Table2683263[[#This Row],[Fault Type]]="PM",IF(L10&lt;=(D10-C10),"Yes","No"),"")</f>
        <v/>
      </c>
      <c r="O10" s="16" t="str">
        <f t="shared" si="2"/>
        <v/>
      </c>
      <c r="P1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10" s="130"/>
    </row>
    <row r="11" spans="1:17" ht="15.5" x14ac:dyDescent="0.35">
      <c r="A11" s="158" t="s">
        <v>44</v>
      </c>
      <c r="B11" s="12" t="s">
        <v>150</v>
      </c>
      <c r="C11" s="13"/>
      <c r="D11" s="13"/>
      <c r="E11" s="13">
        <v>44777.186805555553</v>
      </c>
      <c r="F11" s="12">
        <v>0.5</v>
      </c>
      <c r="G11" s="12" t="s">
        <v>164</v>
      </c>
      <c r="H11" s="18" t="s">
        <v>676</v>
      </c>
      <c r="I11" s="18" t="s">
        <v>334</v>
      </c>
      <c r="J11" s="13">
        <v>44777.336111111108</v>
      </c>
      <c r="K11" s="80"/>
      <c r="L11" s="14">
        <f>J11-E11</f>
        <v>0.14930555555474712</v>
      </c>
      <c r="M11" s="81">
        <f>L11*F11</f>
        <v>7.4652777777373558E-2</v>
      </c>
      <c r="N11" s="15" t="str">
        <f>IF(Table2683263[[#This Row],[Fault Type]]="PM",IF(L11&lt;=(D11-C11),"Yes","No"),"")</f>
        <v/>
      </c>
      <c r="O11" s="16" t="str">
        <f>IF(N11="No",(L11-(D11-C11)),"")</f>
        <v/>
      </c>
      <c r="P1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11" s="130"/>
    </row>
    <row r="12" spans="1:17" ht="15.5" x14ac:dyDescent="0.35">
      <c r="A12" s="158" t="s">
        <v>38</v>
      </c>
      <c r="B12" s="12" t="s">
        <v>150</v>
      </c>
      <c r="C12" s="13"/>
      <c r="D12" s="13"/>
      <c r="E12" s="13">
        <v>44777.1875</v>
      </c>
      <c r="F12" s="12">
        <v>14.5</v>
      </c>
      <c r="G12" s="12" t="s">
        <v>162</v>
      </c>
      <c r="H12" s="12" t="s">
        <v>526</v>
      </c>
      <c r="I12" s="12" t="s">
        <v>526</v>
      </c>
      <c r="J12" s="126">
        <v>44777.195833333331</v>
      </c>
      <c r="K12" s="32"/>
      <c r="L12" s="14">
        <f t="shared" si="0"/>
        <v>8.333333331393078E-3</v>
      </c>
      <c r="M12" s="31">
        <f t="shared" si="1"/>
        <v>0.12083333330519963</v>
      </c>
      <c r="N12" s="15" t="str">
        <f>IF(Table2683263[[#This Row],[Fault Type]]="PM",IF(L12&lt;=(D12-C12),"Yes","No"),"")</f>
        <v/>
      </c>
      <c r="O12" s="16" t="str">
        <f t="shared" si="2"/>
        <v/>
      </c>
      <c r="P1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12" s="130"/>
    </row>
    <row r="13" spans="1:17" ht="15.5" x14ac:dyDescent="0.35">
      <c r="A13" s="4" t="s">
        <v>120</v>
      </c>
      <c r="B13" s="12" t="s">
        <v>150</v>
      </c>
      <c r="C13" s="13"/>
      <c r="D13" s="13"/>
      <c r="E13" s="13">
        <v>44777.205555555556</v>
      </c>
      <c r="F13" s="12">
        <v>2.2999999999999998</v>
      </c>
      <c r="G13" s="12" t="s">
        <v>164</v>
      </c>
      <c r="H13" s="12" t="s">
        <v>677</v>
      </c>
      <c r="I13" s="12" t="s">
        <v>333</v>
      </c>
      <c r="J13" s="13">
        <v>44777.40347222222</v>
      </c>
      <c r="K13" s="32"/>
      <c r="L13" s="14">
        <f>J13-E13</f>
        <v>0.19791666666424135</v>
      </c>
      <c r="M13" s="31">
        <f>L13*F13</f>
        <v>0.45520833332775507</v>
      </c>
      <c r="N13" s="15" t="str">
        <f>IF(Table2683263[[#This Row],[Fault Type]]="PM",IF(L13&lt;=(D13-C13),"Yes","No"),"")</f>
        <v/>
      </c>
      <c r="O13" s="16" t="str">
        <f>IF(N13="No",(L13-(D13-C13)),"")</f>
        <v/>
      </c>
      <c r="P1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13" s="130"/>
    </row>
    <row r="14" spans="1:17" ht="15.5" x14ac:dyDescent="0.35">
      <c r="A14" s="4" t="s">
        <v>512</v>
      </c>
      <c r="B14" s="12" t="s">
        <v>150</v>
      </c>
      <c r="C14" s="13"/>
      <c r="D14" s="13"/>
      <c r="E14" s="13">
        <v>44777.209027777775</v>
      </c>
      <c r="F14" s="12">
        <v>2.2999999999999998</v>
      </c>
      <c r="G14" s="12" t="s">
        <v>164</v>
      </c>
      <c r="H14" s="12" t="s">
        <v>678</v>
      </c>
      <c r="I14" s="12" t="s">
        <v>334</v>
      </c>
      <c r="J14" s="13">
        <v>44777.29791666667</v>
      </c>
      <c r="K14" s="32"/>
      <c r="L14" s="14">
        <f t="shared" si="0"/>
        <v>8.8888888894871343E-2</v>
      </c>
      <c r="M14" s="31">
        <f t="shared" si="1"/>
        <v>0.20444444445820406</v>
      </c>
      <c r="N14" s="15" t="str">
        <f>IF(Table2683263[[#This Row],[Fault Type]]="PM",IF(L14&lt;=(D14-C14),"Yes","No"),"")</f>
        <v/>
      </c>
      <c r="O14" s="16" t="str">
        <f t="shared" si="2"/>
        <v/>
      </c>
      <c r="P14"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14" s="130"/>
    </row>
    <row r="15" spans="1:17" ht="15.5" x14ac:dyDescent="0.35">
      <c r="A15" s="4" t="s">
        <v>118</v>
      </c>
      <c r="B15" s="12" t="s">
        <v>150</v>
      </c>
      <c r="C15" s="13"/>
      <c r="D15" s="13"/>
      <c r="E15" s="13">
        <v>44777.209722222222</v>
      </c>
      <c r="F15" s="12">
        <v>1.6</v>
      </c>
      <c r="G15" s="12" t="s">
        <v>164</v>
      </c>
      <c r="H15" s="12" t="s">
        <v>679</v>
      </c>
      <c r="I15" s="12" t="s">
        <v>333</v>
      </c>
      <c r="J15" s="13">
        <v>44777.386111111111</v>
      </c>
      <c r="K15" s="32"/>
      <c r="L15" s="14">
        <f t="shared" si="0"/>
        <v>0.17638888888905058</v>
      </c>
      <c r="M15" s="31">
        <f t="shared" si="1"/>
        <v>0.28222222222248095</v>
      </c>
      <c r="N15" s="15" t="str">
        <f>IF(Table2683263[[#This Row],[Fault Type]]="PM",IF(L15&lt;=(D15-C15),"Yes","No"),"")</f>
        <v/>
      </c>
      <c r="O15" s="16" t="str">
        <f t="shared" si="2"/>
        <v/>
      </c>
      <c r="P1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15" s="130"/>
    </row>
    <row r="16" spans="1:17" ht="15.5" x14ac:dyDescent="0.35">
      <c r="A16" s="4" t="s">
        <v>179</v>
      </c>
      <c r="B16" s="12" t="s">
        <v>150</v>
      </c>
      <c r="C16" s="13"/>
      <c r="D16" s="13"/>
      <c r="E16" s="13">
        <v>44777.232638888891</v>
      </c>
      <c r="F16" s="12">
        <v>0.5</v>
      </c>
      <c r="G16" s="12" t="s">
        <v>164</v>
      </c>
      <c r="H16" s="12"/>
      <c r="I16" s="12"/>
      <c r="J16" s="13"/>
      <c r="K16" s="32"/>
      <c r="L16" s="14">
        <f t="shared" si="0"/>
        <v>-44777.232638888891</v>
      </c>
      <c r="M16" s="31">
        <f t="shared" si="1"/>
        <v>-22388.616319444445</v>
      </c>
      <c r="N16" s="15" t="str">
        <f>IF(Table2683263[[#This Row],[Fault Type]]="PM",IF(L16&lt;=(D16-C16),"Yes","No"),"")</f>
        <v/>
      </c>
      <c r="O16" s="16" t="str">
        <f t="shared" si="2"/>
        <v/>
      </c>
      <c r="P1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16" s="130"/>
    </row>
    <row r="17" spans="1:17" ht="15.5" x14ac:dyDescent="0.35">
      <c r="A17" s="4" t="s">
        <v>498</v>
      </c>
      <c r="B17" s="12" t="s">
        <v>158</v>
      </c>
      <c r="C17" s="13"/>
      <c r="D17" s="13"/>
      <c r="E17" s="13">
        <v>44777.277777777781</v>
      </c>
      <c r="F17" s="12">
        <v>0.2</v>
      </c>
      <c r="G17" s="12"/>
      <c r="H17" s="12" t="s">
        <v>680</v>
      </c>
      <c r="I17" s="12" t="s">
        <v>334</v>
      </c>
      <c r="J17" s="13">
        <v>44777.76458333333</v>
      </c>
      <c r="K17" s="32"/>
      <c r="L17" s="14">
        <f t="shared" si="0"/>
        <v>0.48680555554892635</v>
      </c>
      <c r="M17" s="31">
        <f t="shared" si="1"/>
        <v>9.7361111109785278E-2</v>
      </c>
      <c r="N17" s="15" t="str">
        <f>IF(Table2683263[[#This Row],[Fault Type]]="PM",IF(L17&lt;=(D17-C17),"Yes","No"),"")</f>
        <v/>
      </c>
      <c r="O17" s="16" t="str">
        <f t="shared" si="2"/>
        <v/>
      </c>
      <c r="P1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17" s="130"/>
    </row>
    <row r="18" spans="1:17" ht="15.5" x14ac:dyDescent="0.35">
      <c r="A18" s="4" t="s">
        <v>316</v>
      </c>
      <c r="B18" s="12" t="s">
        <v>150</v>
      </c>
      <c r="C18" s="13"/>
      <c r="D18" s="13"/>
      <c r="E18" s="13">
        <v>44777.329861111109</v>
      </c>
      <c r="F18" s="12">
        <v>1.1000000000000001</v>
      </c>
      <c r="G18" s="12" t="s">
        <v>164</v>
      </c>
      <c r="H18" s="12" t="s">
        <v>681</v>
      </c>
      <c r="I18" s="12" t="s">
        <v>334</v>
      </c>
      <c r="J18" s="13">
        <v>44777.427083333336</v>
      </c>
      <c r="K18" s="32"/>
      <c r="L18" s="14">
        <f t="shared" si="0"/>
        <v>9.7222222226264421E-2</v>
      </c>
      <c r="M18" s="31">
        <f t="shared" si="1"/>
        <v>0.10694444444889087</v>
      </c>
      <c r="N18" s="15" t="str">
        <f>IF(Table2683263[[#This Row],[Fault Type]]="PM",IF(L18&lt;=(D18-C18),"Yes","No"),"")</f>
        <v/>
      </c>
      <c r="O18" s="16" t="str">
        <f t="shared" si="2"/>
        <v/>
      </c>
      <c r="P1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18" s="130"/>
    </row>
    <row r="19" spans="1:17" ht="15.5" x14ac:dyDescent="0.35">
      <c r="A19" s="4" t="s">
        <v>20</v>
      </c>
      <c r="B19" s="12" t="s">
        <v>150</v>
      </c>
      <c r="C19" s="13"/>
      <c r="D19" s="13"/>
      <c r="E19" s="13">
        <v>44777.329861111109</v>
      </c>
      <c r="F19" s="18">
        <v>16.3</v>
      </c>
      <c r="G19" s="12" t="s">
        <v>162</v>
      </c>
      <c r="H19" s="18" t="s">
        <v>526</v>
      </c>
      <c r="I19" s="18" t="s">
        <v>526</v>
      </c>
      <c r="J19" s="13">
        <v>44777.34652777778</v>
      </c>
      <c r="K19" s="32"/>
      <c r="L19" s="14">
        <f t="shared" si="0"/>
        <v>1.6666666670062114E-2</v>
      </c>
      <c r="M19" s="31">
        <f t="shared" si="1"/>
        <v>0.27166666672201245</v>
      </c>
      <c r="N19" s="15" t="str">
        <f>IF(Table2683263[[#This Row],[Fault Type]]="PM",IF(L19&lt;=(D19-C19),"Yes","No"),"")</f>
        <v/>
      </c>
      <c r="O19" s="16" t="str">
        <f t="shared" si="2"/>
        <v/>
      </c>
      <c r="P1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19" s="130"/>
    </row>
    <row r="20" spans="1:17" ht="15.5" x14ac:dyDescent="0.35">
      <c r="A20" s="4" t="s">
        <v>40</v>
      </c>
      <c r="B20" s="12" t="s">
        <v>150</v>
      </c>
      <c r="C20" s="13"/>
      <c r="D20" s="13"/>
      <c r="E20" s="13">
        <v>44777.341666666667</v>
      </c>
      <c r="F20" s="12">
        <v>9</v>
      </c>
      <c r="G20" s="12" t="s">
        <v>162</v>
      </c>
      <c r="H20" s="12" t="s">
        <v>526</v>
      </c>
      <c r="I20" s="12" t="s">
        <v>526</v>
      </c>
      <c r="J20" s="13">
        <v>44777.349305555559</v>
      </c>
      <c r="K20" s="32"/>
      <c r="L20" s="14">
        <f t="shared" si="0"/>
        <v>7.6388888919609599E-3</v>
      </c>
      <c r="M20" s="31">
        <f t="shared" si="1"/>
        <v>6.8750000027648639E-2</v>
      </c>
      <c r="N20" s="15" t="str">
        <f>IF(Table2683263[[#This Row],[Fault Type]]="PM",IF(L20&lt;=(D20-C20),"Yes","No"),"")</f>
        <v/>
      </c>
      <c r="O20" s="16" t="str">
        <f t="shared" si="2"/>
        <v/>
      </c>
      <c r="P2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0" s="130"/>
    </row>
    <row r="21" spans="1:17" ht="15.5" x14ac:dyDescent="0.35">
      <c r="A21" s="4" t="s">
        <v>23</v>
      </c>
      <c r="B21" s="12" t="s">
        <v>150</v>
      </c>
      <c r="C21" s="13"/>
      <c r="D21" s="13"/>
      <c r="E21" s="13">
        <v>44777.345138888886</v>
      </c>
      <c r="F21" s="18">
        <v>5.3</v>
      </c>
      <c r="G21" s="12" t="s">
        <v>164</v>
      </c>
      <c r="H21" s="18" t="s">
        <v>502</v>
      </c>
      <c r="I21" s="18" t="s">
        <v>334</v>
      </c>
      <c r="J21" s="13">
        <v>44777.524305555555</v>
      </c>
      <c r="K21" s="32"/>
      <c r="L21" s="14">
        <f t="shared" si="0"/>
        <v>0.17916666666860692</v>
      </c>
      <c r="M21" s="31">
        <f t="shared" si="1"/>
        <v>0.94958333334361666</v>
      </c>
      <c r="N21" s="15" t="str">
        <f>IF(Table2683263[[#This Row],[Fault Type]]="PM",IF(L21&lt;=(D21-C21),"Yes","No"),"")</f>
        <v/>
      </c>
      <c r="O21" s="16" t="str">
        <f t="shared" si="2"/>
        <v/>
      </c>
      <c r="P2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1" s="17"/>
    </row>
    <row r="22" spans="1:17" ht="15.5" x14ac:dyDescent="0.35">
      <c r="A22" s="4" t="s">
        <v>21</v>
      </c>
      <c r="B22" s="12" t="s">
        <v>150</v>
      </c>
      <c r="C22" s="13"/>
      <c r="D22" s="13"/>
      <c r="E22" s="13">
        <v>44777.381944444445</v>
      </c>
      <c r="F22" s="18">
        <v>9.8000000000000007</v>
      </c>
      <c r="G22" s="12" t="s">
        <v>162</v>
      </c>
      <c r="H22" s="18" t="s">
        <v>526</v>
      </c>
      <c r="I22" s="18" t="s">
        <v>526</v>
      </c>
      <c r="J22" s="13">
        <v>44777.387499999997</v>
      </c>
      <c r="K22" s="32"/>
      <c r="L22" s="14">
        <f t="shared" si="0"/>
        <v>5.5555555518367328E-3</v>
      </c>
      <c r="M22" s="31">
        <f t="shared" si="1"/>
        <v>5.4444444407999983E-2</v>
      </c>
      <c r="N22" s="15" t="str">
        <f>IF(Table2683263[[#This Row],[Fault Type]]="PM",IF(L22&lt;=(D22-C22),"Yes","No"),"")</f>
        <v/>
      </c>
      <c r="O22" s="16" t="str">
        <f t="shared" si="2"/>
        <v/>
      </c>
      <c r="P2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2" s="17"/>
    </row>
    <row r="23" spans="1:17" ht="15.5" x14ac:dyDescent="0.35">
      <c r="A23" s="4" t="s">
        <v>51</v>
      </c>
      <c r="B23" s="12" t="s">
        <v>150</v>
      </c>
      <c r="C23" s="13"/>
      <c r="D23" s="13"/>
      <c r="E23" s="13">
        <v>44777.399305555555</v>
      </c>
      <c r="F23" s="64">
        <v>0.1</v>
      </c>
      <c r="G23" s="12" t="s">
        <v>164</v>
      </c>
      <c r="H23" s="54" t="s">
        <v>682</v>
      </c>
      <c r="I23" s="54" t="s">
        <v>334</v>
      </c>
      <c r="J23" s="13">
        <v>44777.605555555558</v>
      </c>
      <c r="K23" s="32"/>
      <c r="L23" s="14">
        <f t="shared" si="0"/>
        <v>0.20625000000291038</v>
      </c>
      <c r="M23" s="31">
        <f>L23*F23</f>
        <v>2.0625000000291039E-2</v>
      </c>
      <c r="N23" s="15" t="str">
        <f>IF(Table2683263[[#This Row],[Fault Type]]="PM",IF(L23&lt;=(D23-C23),"Yes","No"),"")</f>
        <v/>
      </c>
      <c r="O23" s="16" t="str">
        <f t="shared" si="2"/>
        <v/>
      </c>
      <c r="P2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3" s="17"/>
    </row>
    <row r="24" spans="1:17" ht="15.5" x14ac:dyDescent="0.35">
      <c r="A24" s="4" t="s">
        <v>41</v>
      </c>
      <c r="B24" s="12" t="s">
        <v>150</v>
      </c>
      <c r="C24" s="13"/>
      <c r="D24" s="13"/>
      <c r="E24" s="13">
        <v>44777.39166666667</v>
      </c>
      <c r="F24" s="18">
        <v>9</v>
      </c>
      <c r="G24" s="12" t="s">
        <v>162</v>
      </c>
      <c r="H24" s="18" t="s">
        <v>526</v>
      </c>
      <c r="I24" s="18" t="s">
        <v>526</v>
      </c>
      <c r="J24" s="13">
        <v>44777.400694444441</v>
      </c>
      <c r="K24" s="32"/>
      <c r="L24" s="14">
        <f t="shared" si="0"/>
        <v>9.0277777708251961E-3</v>
      </c>
      <c r="M24" s="31">
        <f>L24*F24</f>
        <v>8.1249999937426765E-2</v>
      </c>
      <c r="N24" s="15" t="str">
        <f>IF(Table2683263[[#This Row],[Fault Type]]="PM",IF(L24&lt;=(D24-C24),"Yes","No"),"")</f>
        <v/>
      </c>
      <c r="O24" s="16" t="str">
        <f t="shared" si="2"/>
        <v/>
      </c>
      <c r="P2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4" s="17"/>
    </row>
    <row r="25" spans="1:17" ht="15.5" x14ac:dyDescent="0.35">
      <c r="A25" s="4" t="s">
        <v>41</v>
      </c>
      <c r="B25" s="12" t="s">
        <v>150</v>
      </c>
      <c r="C25" s="13"/>
      <c r="D25" s="13"/>
      <c r="E25" s="13">
        <v>44777.408333333333</v>
      </c>
      <c r="F25" s="18">
        <v>6.5</v>
      </c>
      <c r="G25" s="12" t="s">
        <v>162</v>
      </c>
      <c r="H25" s="18" t="s">
        <v>526</v>
      </c>
      <c r="I25" s="18" t="s">
        <v>526</v>
      </c>
      <c r="J25" s="13">
        <v>44777.408333333333</v>
      </c>
      <c r="K25" s="32"/>
      <c r="L25" s="14">
        <f t="shared" si="0"/>
        <v>0</v>
      </c>
      <c r="M25" s="31">
        <f>L25*F25</f>
        <v>0</v>
      </c>
      <c r="N25" s="15" t="str">
        <f>IF(Table2683263[[#This Row],[Fault Type]]="PM",IF(L25&lt;=(D25-C25),"Yes","No"),"")</f>
        <v/>
      </c>
      <c r="O25" s="16" t="str">
        <f t="shared" si="2"/>
        <v/>
      </c>
      <c r="P2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25" s="17"/>
    </row>
    <row r="26" spans="1:17" ht="15.5" x14ac:dyDescent="0.35">
      <c r="A26" s="4" t="s">
        <v>546</v>
      </c>
      <c r="B26" s="12" t="s">
        <v>150</v>
      </c>
      <c r="C26" s="13"/>
      <c r="D26" s="13"/>
      <c r="E26" s="13">
        <v>44777.420138888891</v>
      </c>
      <c r="F26" s="18">
        <v>2.5</v>
      </c>
      <c r="G26" s="12" t="s">
        <v>163</v>
      </c>
      <c r="H26" s="18" t="s">
        <v>683</v>
      </c>
      <c r="I26" s="18" t="s">
        <v>334</v>
      </c>
      <c r="J26" s="13">
        <v>44777.477083333331</v>
      </c>
      <c r="K26" s="32"/>
      <c r="L26" s="14">
        <f t="shared" si="0"/>
        <v>5.694444444088731E-2</v>
      </c>
      <c r="M26" s="31">
        <f t="shared" ref="M26:M83" si="3">L26*F26</f>
        <v>0.14236111110221827</v>
      </c>
      <c r="N26" s="15" t="str">
        <f>IF(Table2683263[[#This Row],[Fault Type]]="PM",IF(L26&lt;=(D26-C26),"Yes","No"),"")</f>
        <v/>
      </c>
      <c r="O26" s="16" t="str">
        <f t="shared" si="2"/>
        <v/>
      </c>
      <c r="P26"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26" s="17"/>
    </row>
    <row r="27" spans="1:17" ht="15.5" x14ac:dyDescent="0.35">
      <c r="A27" s="4" t="s">
        <v>21</v>
      </c>
      <c r="B27" s="12" t="s">
        <v>150</v>
      </c>
      <c r="C27" s="13"/>
      <c r="D27" s="13"/>
      <c r="E27" s="13">
        <v>44777.45208333333</v>
      </c>
      <c r="F27" s="18">
        <v>11.7</v>
      </c>
      <c r="G27" s="12" t="s">
        <v>162</v>
      </c>
      <c r="H27" s="18" t="s">
        <v>684</v>
      </c>
      <c r="I27" s="18" t="s">
        <v>334</v>
      </c>
      <c r="J27" s="13">
        <v>44777.520833333336</v>
      </c>
      <c r="K27" s="32"/>
      <c r="L27" s="14">
        <f t="shared" si="0"/>
        <v>6.8750000005820766E-2</v>
      </c>
      <c r="M27" s="31">
        <f t="shared" si="3"/>
        <v>0.80437500006810292</v>
      </c>
      <c r="N27" s="15" t="str">
        <f>IF(Table2683263[[#This Row],[Fault Type]]="PM",IF(L27&lt;=(D27-C27),"Yes","No"),"")</f>
        <v/>
      </c>
      <c r="O27" s="16" t="str">
        <f t="shared" si="2"/>
        <v/>
      </c>
      <c r="P2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7" s="17"/>
    </row>
    <row r="28" spans="1:17" ht="15.5" x14ac:dyDescent="0.35">
      <c r="A28" s="4" t="s">
        <v>65</v>
      </c>
      <c r="B28" s="12" t="s">
        <v>150</v>
      </c>
      <c r="C28" s="13"/>
      <c r="D28" s="13"/>
      <c r="E28" s="13">
        <v>44777.431944444441</v>
      </c>
      <c r="F28" s="18">
        <v>4</v>
      </c>
      <c r="G28" s="12" t="s">
        <v>164</v>
      </c>
      <c r="H28" s="18" t="s">
        <v>685</v>
      </c>
      <c r="I28" s="18" t="s">
        <v>333</v>
      </c>
      <c r="J28" s="13">
        <v>44777.722916666666</v>
      </c>
      <c r="K28" s="32"/>
      <c r="L28" s="14">
        <f t="shared" si="0"/>
        <v>0.29097222222480923</v>
      </c>
      <c r="M28" s="31">
        <f t="shared" si="3"/>
        <v>1.1638888888992369</v>
      </c>
      <c r="N28" s="15" t="str">
        <f>IF(Table2683263[[#This Row],[Fault Type]]="PM",IF(L28&lt;=(D28-C28),"Yes","No"),"")</f>
        <v/>
      </c>
      <c r="O28" s="16" t="str">
        <f t="shared" si="2"/>
        <v/>
      </c>
      <c r="P2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28" s="17"/>
    </row>
    <row r="29" spans="1:17" ht="15.5" x14ac:dyDescent="0.35">
      <c r="A29" s="4" t="s">
        <v>69</v>
      </c>
      <c r="B29" s="12" t="s">
        <v>150</v>
      </c>
      <c r="C29" s="13"/>
      <c r="D29" s="13"/>
      <c r="E29" s="13">
        <v>44777.472222222219</v>
      </c>
      <c r="F29" s="12">
        <v>5</v>
      </c>
      <c r="G29" s="12" t="s">
        <v>162</v>
      </c>
      <c r="H29" s="12" t="s">
        <v>526</v>
      </c>
      <c r="I29" s="12" t="s">
        <v>333</v>
      </c>
      <c r="J29" s="13">
        <v>44777.479166666664</v>
      </c>
      <c r="K29" s="32"/>
      <c r="L29" s="14">
        <f t="shared" si="0"/>
        <v>6.9444444452528842E-3</v>
      </c>
      <c r="M29" s="31">
        <f t="shared" si="3"/>
        <v>3.4722222226264421E-2</v>
      </c>
      <c r="N29" s="15" t="str">
        <f>IF(Table2683263[[#This Row],[Fault Type]]="PM",IF(L29&lt;=(D29-C29),"Yes","No"),"")</f>
        <v/>
      </c>
      <c r="O29" s="16" t="str">
        <f t="shared" si="2"/>
        <v/>
      </c>
      <c r="P2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29" s="17"/>
    </row>
    <row r="30" spans="1:17" ht="15.5" x14ac:dyDescent="0.35">
      <c r="A30" s="4" t="s">
        <v>69</v>
      </c>
      <c r="B30" s="12" t="s">
        <v>150</v>
      </c>
      <c r="C30" s="13"/>
      <c r="D30" s="13"/>
      <c r="E30" s="13">
        <v>44777.479166666664</v>
      </c>
      <c r="F30" s="18"/>
      <c r="G30" s="12" t="s">
        <v>164</v>
      </c>
      <c r="H30" s="18" t="s">
        <v>686</v>
      </c>
      <c r="I30" s="18" t="s">
        <v>333</v>
      </c>
      <c r="J30" s="13">
        <v>44777.62777777778</v>
      </c>
      <c r="K30" s="32"/>
      <c r="L30" s="14">
        <f t="shared" si="0"/>
        <v>0.148611111115315</v>
      </c>
      <c r="M30" s="31">
        <f t="shared" si="3"/>
        <v>0</v>
      </c>
      <c r="N30" s="15" t="str">
        <f>IF(Table2683263[[#This Row],[Fault Type]]="PM",IF(L30&lt;=(D30-C30),"Yes","No"),"")</f>
        <v/>
      </c>
      <c r="O30" s="16" t="str">
        <f t="shared" si="2"/>
        <v/>
      </c>
      <c r="P3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0" s="17"/>
    </row>
    <row r="31" spans="1:17" ht="15.5" x14ac:dyDescent="0.35">
      <c r="A31" s="4" t="s">
        <v>60</v>
      </c>
      <c r="B31" s="12" t="s">
        <v>150</v>
      </c>
      <c r="C31" s="13"/>
      <c r="D31" s="13"/>
      <c r="E31" s="13">
        <v>44777.5</v>
      </c>
      <c r="F31" s="18">
        <v>2.2999999999999998</v>
      </c>
      <c r="G31" s="12" t="s">
        <v>162</v>
      </c>
      <c r="H31" s="18" t="s">
        <v>526</v>
      </c>
      <c r="I31" s="18" t="s">
        <v>526</v>
      </c>
      <c r="J31" s="13">
        <v>44777.508333333331</v>
      </c>
      <c r="K31" s="32"/>
      <c r="L31" s="14">
        <f t="shared" si="0"/>
        <v>8.333333331393078E-3</v>
      </c>
      <c r="M31" s="31">
        <f t="shared" si="3"/>
        <v>1.9166666662204079E-2</v>
      </c>
      <c r="N31" s="15" t="str">
        <f>IF(Table2683263[[#This Row],[Fault Type]]="PM",IF(L31&lt;=(D31-C31),"Yes","No"),"")</f>
        <v/>
      </c>
      <c r="O31" s="16" t="str">
        <f t="shared" si="2"/>
        <v/>
      </c>
      <c r="P3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1" s="17"/>
    </row>
    <row r="32" spans="1:17" ht="15.5" x14ac:dyDescent="0.35">
      <c r="A32" s="4" t="s">
        <v>38</v>
      </c>
      <c r="B32" s="12" t="s">
        <v>150</v>
      </c>
      <c r="C32" s="13"/>
      <c r="D32" s="13"/>
      <c r="E32" s="13">
        <v>44777.510416666664</v>
      </c>
      <c r="F32" s="12">
        <v>14</v>
      </c>
      <c r="G32" s="12" t="s">
        <v>162</v>
      </c>
      <c r="H32" s="12" t="s">
        <v>526</v>
      </c>
      <c r="I32" s="12" t="s">
        <v>526</v>
      </c>
      <c r="J32" s="13">
        <v>44777.518055555556</v>
      </c>
      <c r="K32" s="32"/>
      <c r="L32" s="14">
        <f t="shared" si="0"/>
        <v>7.6388888919609599E-3</v>
      </c>
      <c r="M32" s="31">
        <f t="shared" si="3"/>
        <v>0.10694444448745344</v>
      </c>
      <c r="N32" s="15" t="str">
        <f>IF(Table2683263[[#This Row],[Fault Type]]="PM",IF(L32&lt;=(D32-C32),"Yes","No"),"")</f>
        <v/>
      </c>
      <c r="O32" s="16" t="str">
        <f t="shared" si="2"/>
        <v/>
      </c>
      <c r="P3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2" s="17"/>
    </row>
    <row r="33" spans="1:17" ht="15.5" x14ac:dyDescent="0.35">
      <c r="A33" s="4" t="s">
        <v>39</v>
      </c>
      <c r="B33" s="12" t="s">
        <v>150</v>
      </c>
      <c r="C33" s="13"/>
      <c r="D33" s="13"/>
      <c r="E33" s="13">
        <v>44777.520138888889</v>
      </c>
      <c r="F33" s="18">
        <v>11.5</v>
      </c>
      <c r="G33" s="12" t="s">
        <v>162</v>
      </c>
      <c r="H33" s="18" t="s">
        <v>526</v>
      </c>
      <c r="I33" s="18" t="s">
        <v>526</v>
      </c>
      <c r="J33" s="13">
        <v>44777.530555555553</v>
      </c>
      <c r="K33" s="32"/>
      <c r="L33" s="14">
        <f t="shared" si="0"/>
        <v>1.0416666664241347E-2</v>
      </c>
      <c r="M33" s="31">
        <f t="shared" si="3"/>
        <v>0.1197916666387755</v>
      </c>
      <c r="N33" s="15" t="str">
        <f>IF(Table2683263[[#This Row],[Fault Type]]="PM",IF(L33&lt;=(D33-C33),"Yes","No"),"")</f>
        <v/>
      </c>
      <c r="O33" s="16" t="str">
        <f t="shared" si="2"/>
        <v/>
      </c>
      <c r="P3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3" s="17"/>
    </row>
    <row r="34" spans="1:17" ht="15.5" x14ac:dyDescent="0.35">
      <c r="A34" s="4" t="s">
        <v>361</v>
      </c>
      <c r="B34" s="12" t="s">
        <v>150</v>
      </c>
      <c r="C34" s="13"/>
      <c r="D34" s="13"/>
      <c r="E34" s="13">
        <v>44777.527777777781</v>
      </c>
      <c r="F34" s="18">
        <v>3</v>
      </c>
      <c r="G34" s="12" t="s">
        <v>162</v>
      </c>
      <c r="H34" s="18" t="s">
        <v>526</v>
      </c>
      <c r="I34" s="18" t="s">
        <v>526</v>
      </c>
      <c r="J34" s="13">
        <v>44777.534722222219</v>
      </c>
      <c r="K34" s="32"/>
      <c r="L34" s="14">
        <f t="shared" si="0"/>
        <v>6.9444444379769266E-3</v>
      </c>
      <c r="M34" s="31">
        <f t="shared" si="3"/>
        <v>2.083333331393078E-2</v>
      </c>
      <c r="N34" s="15" t="str">
        <f>IF(Table2683263[[#This Row],[Fault Type]]="PM",IF(L34&lt;=(D34-C34),"Yes","No"),"")</f>
        <v/>
      </c>
      <c r="O34" s="16" t="str">
        <f t="shared" si="2"/>
        <v/>
      </c>
      <c r="P3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4" s="17"/>
    </row>
    <row r="35" spans="1:17" ht="15.5" x14ac:dyDescent="0.35">
      <c r="A35" s="4" t="s">
        <v>361</v>
      </c>
      <c r="B35" s="12" t="s">
        <v>150</v>
      </c>
      <c r="C35" s="13"/>
      <c r="D35" s="13"/>
      <c r="E35" s="13">
        <v>44777.534722222219</v>
      </c>
      <c r="F35" s="18"/>
      <c r="G35" s="12" t="s">
        <v>164</v>
      </c>
      <c r="H35" s="18" t="s">
        <v>687</v>
      </c>
      <c r="I35" s="18" t="s">
        <v>333</v>
      </c>
      <c r="J35" s="13">
        <v>44777.634027777778</v>
      </c>
      <c r="K35" s="32"/>
      <c r="L35" s="14">
        <f t="shared" si="0"/>
        <v>9.930555555911269E-2</v>
      </c>
      <c r="M35" s="31">
        <f t="shared" si="3"/>
        <v>0</v>
      </c>
      <c r="N35" s="15" t="str">
        <f>IF(Table2683263[[#This Row],[Fault Type]]="PM",IF(L35&lt;=(D35-C35),"Yes","No"),"")</f>
        <v/>
      </c>
      <c r="O35" s="16" t="str">
        <f t="shared" si="2"/>
        <v/>
      </c>
      <c r="P3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5" s="17"/>
    </row>
    <row r="36" spans="1:17" ht="15.5" x14ac:dyDescent="0.35">
      <c r="A36" s="4" t="s">
        <v>27</v>
      </c>
      <c r="B36" s="12" t="s">
        <v>150</v>
      </c>
      <c r="C36" s="13"/>
      <c r="D36" s="13"/>
      <c r="E36" s="13">
        <v>44777.555555555555</v>
      </c>
      <c r="F36" s="18">
        <v>3.2</v>
      </c>
      <c r="G36" s="12" t="s">
        <v>163</v>
      </c>
      <c r="H36" s="18" t="s">
        <v>688</v>
      </c>
      <c r="I36" s="18" t="s">
        <v>334</v>
      </c>
      <c r="J36" s="13">
        <v>44777.731944444444</v>
      </c>
      <c r="K36" s="32"/>
      <c r="L36" s="14">
        <f t="shared" si="0"/>
        <v>0.17638888888905058</v>
      </c>
      <c r="M36" s="31">
        <f t="shared" si="3"/>
        <v>0.56444444444496189</v>
      </c>
      <c r="N36" s="15" t="str">
        <f>IF(Table2683263[[#This Row],[Fault Type]]="PM",IF(L36&lt;=(D36-C36),"Yes","No"),"")</f>
        <v/>
      </c>
      <c r="O36" s="16" t="str">
        <f t="shared" si="2"/>
        <v/>
      </c>
      <c r="P3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6" s="17"/>
    </row>
    <row r="37" spans="1:17" ht="15.5" x14ac:dyDescent="0.35">
      <c r="A37" s="4" t="s">
        <v>45</v>
      </c>
      <c r="B37" s="12" t="s">
        <v>150</v>
      </c>
      <c r="C37" s="13"/>
      <c r="D37" s="13"/>
      <c r="E37" s="13">
        <v>44777.575694444444</v>
      </c>
      <c r="F37" s="18">
        <v>0.2</v>
      </c>
      <c r="G37" s="12" t="s">
        <v>164</v>
      </c>
      <c r="H37" s="18" t="s">
        <v>689</v>
      </c>
      <c r="I37" s="18" t="s">
        <v>333</v>
      </c>
      <c r="J37" s="13">
        <v>44778.738888888889</v>
      </c>
      <c r="K37" s="32"/>
      <c r="L37" s="14">
        <f t="shared" si="0"/>
        <v>1.1631944444452529</v>
      </c>
      <c r="M37" s="31">
        <f t="shared" si="3"/>
        <v>0.2326388888890506</v>
      </c>
      <c r="N37" s="15" t="str">
        <f>IF(Table2683263[[#This Row],[Fault Type]]="PM",IF(L37&lt;=(D37-C37),"Yes","No"),"")</f>
        <v/>
      </c>
      <c r="O37" s="16" t="str">
        <f t="shared" si="2"/>
        <v/>
      </c>
      <c r="P3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37" s="17"/>
    </row>
    <row r="38" spans="1:17" ht="15.5" x14ac:dyDescent="0.35">
      <c r="A38" s="4" t="s">
        <v>444</v>
      </c>
      <c r="B38" s="12" t="s">
        <v>150</v>
      </c>
      <c r="C38" s="13"/>
      <c r="D38" s="13"/>
      <c r="E38" s="13">
        <v>44777.584027777775</v>
      </c>
      <c r="F38" s="18">
        <v>1</v>
      </c>
      <c r="G38" s="12" t="s">
        <v>164</v>
      </c>
      <c r="H38" s="18" t="s">
        <v>690</v>
      </c>
      <c r="I38" s="18" t="s">
        <v>334</v>
      </c>
      <c r="J38" s="13">
        <v>44777.606249999997</v>
      </c>
      <c r="K38" s="32"/>
      <c r="L38" s="14">
        <f t="shared" si="0"/>
        <v>2.2222222221898846E-2</v>
      </c>
      <c r="M38" s="31">
        <f t="shared" si="3"/>
        <v>2.2222222221898846E-2</v>
      </c>
      <c r="N38" s="15" t="str">
        <f>IF(Table2683263[[#This Row],[Fault Type]]="PM",IF(L38&lt;=(D38-C38),"Yes","No"),"")</f>
        <v/>
      </c>
      <c r="O38" s="16" t="str">
        <f t="shared" si="2"/>
        <v/>
      </c>
      <c r="P3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8" s="17"/>
    </row>
    <row r="39" spans="1:17" ht="15.5" x14ac:dyDescent="0.35">
      <c r="A39" s="4" t="s">
        <v>464</v>
      </c>
      <c r="B39" s="12" t="s">
        <v>150</v>
      </c>
      <c r="C39" s="13"/>
      <c r="D39" s="13"/>
      <c r="E39" s="13">
        <v>44777.631944444445</v>
      </c>
      <c r="F39" s="18">
        <v>1.9</v>
      </c>
      <c r="G39" s="12" t="s">
        <v>162</v>
      </c>
      <c r="H39" s="18" t="s">
        <v>526</v>
      </c>
      <c r="I39" s="18" t="s">
        <v>526</v>
      </c>
      <c r="J39" s="13">
        <v>44777.706944444442</v>
      </c>
      <c r="K39" s="32"/>
      <c r="L39" s="14">
        <f t="shared" si="0"/>
        <v>7.4999999997089617E-2</v>
      </c>
      <c r="M39" s="31">
        <f t="shared" si="3"/>
        <v>0.14249999999447027</v>
      </c>
      <c r="N39" s="15" t="str">
        <f>IF(Table2683263[[#This Row],[Fault Type]]="PM",IF(L39&lt;=(D39-C39),"Yes","No"),"")</f>
        <v/>
      </c>
      <c r="O39" s="16" t="str">
        <f t="shared" si="2"/>
        <v/>
      </c>
      <c r="P3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39" s="17"/>
    </row>
    <row r="40" spans="1:17" ht="15.5" x14ac:dyDescent="0.35">
      <c r="A40" s="4" t="s">
        <v>315</v>
      </c>
      <c r="B40" s="12" t="s">
        <v>150</v>
      </c>
      <c r="C40" s="13"/>
      <c r="D40" s="13"/>
      <c r="E40" s="13">
        <v>44777.636111111111</v>
      </c>
      <c r="F40" s="18">
        <v>1.6</v>
      </c>
      <c r="G40" s="12" t="s">
        <v>164</v>
      </c>
      <c r="H40" s="18" t="s">
        <v>691</v>
      </c>
      <c r="I40" s="18" t="s">
        <v>334</v>
      </c>
      <c r="J40" s="13">
        <v>44777.731249999997</v>
      </c>
      <c r="K40" s="32"/>
      <c r="L40" s="14">
        <f t="shared" si="0"/>
        <v>9.5138888886140194E-2</v>
      </c>
      <c r="M40" s="31">
        <f t="shared" si="3"/>
        <v>0.15222222221782433</v>
      </c>
      <c r="N40" s="15" t="str">
        <f>IF(Table2683263[[#This Row],[Fault Type]]="PM",IF(L40&lt;=(D40-C40),"Yes","No"),"")</f>
        <v/>
      </c>
      <c r="O40" s="16" t="str">
        <f t="shared" si="2"/>
        <v/>
      </c>
      <c r="P4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0" s="17"/>
    </row>
    <row r="41" spans="1:17" ht="15.5" x14ac:dyDescent="0.35">
      <c r="A41" s="4" t="s">
        <v>37</v>
      </c>
      <c r="B41" s="12" t="s">
        <v>150</v>
      </c>
      <c r="C41" s="13"/>
      <c r="D41" s="13"/>
      <c r="E41" s="13">
        <v>44777.635416666664</v>
      </c>
      <c r="F41" s="18">
        <v>6</v>
      </c>
      <c r="G41" s="12" t="s">
        <v>162</v>
      </c>
      <c r="H41" s="18" t="s">
        <v>526</v>
      </c>
      <c r="I41" s="18" t="s">
        <v>526</v>
      </c>
      <c r="J41" s="13">
        <v>44777.649305555555</v>
      </c>
      <c r="K41" s="32"/>
      <c r="L41" s="14">
        <f t="shared" si="0"/>
        <v>1.3888888890505768E-2</v>
      </c>
      <c r="M41" s="31">
        <f t="shared" si="3"/>
        <v>8.333333334303461E-2</v>
      </c>
      <c r="N41" s="15" t="str">
        <f>IF(Table2683263[[#This Row],[Fault Type]]="PM",IF(L41&lt;=(D41-C41),"Yes","No"),"")</f>
        <v/>
      </c>
      <c r="O41" s="16" t="str">
        <f t="shared" si="2"/>
        <v/>
      </c>
      <c r="P4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1" s="17"/>
    </row>
    <row r="42" spans="1:17" ht="15.5" x14ac:dyDescent="0.35">
      <c r="A42" s="4" t="s">
        <v>39</v>
      </c>
      <c r="B42" s="12" t="s">
        <v>150</v>
      </c>
      <c r="C42" s="13"/>
      <c r="D42" s="13"/>
      <c r="E42" s="13">
        <v>44777.638194444444</v>
      </c>
      <c r="F42" s="18">
        <v>6.5</v>
      </c>
      <c r="G42" s="12" t="s">
        <v>162</v>
      </c>
      <c r="H42" s="18" t="s">
        <v>526</v>
      </c>
      <c r="I42" s="18" t="s">
        <v>526</v>
      </c>
      <c r="J42" s="13">
        <v>44777.645833333336</v>
      </c>
      <c r="K42" s="32"/>
      <c r="L42" s="14">
        <f t="shared" si="0"/>
        <v>7.6388888919609599E-3</v>
      </c>
      <c r="M42" s="31">
        <f t="shared" si="3"/>
        <v>4.9652777797746239E-2</v>
      </c>
      <c r="N42" s="15" t="str">
        <f>IF(Table2683263[[#This Row],[Fault Type]]="PM",IF(L42&lt;=(D42-C42),"Yes","No"),"")</f>
        <v/>
      </c>
      <c r="O42" s="16" t="str">
        <f t="shared" si="2"/>
        <v/>
      </c>
      <c r="P4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2" s="17"/>
    </row>
    <row r="43" spans="1:17" ht="15.5" x14ac:dyDescent="0.35">
      <c r="A43" s="78" t="s">
        <v>563</v>
      </c>
      <c r="B43" s="12" t="s">
        <v>150</v>
      </c>
      <c r="C43" s="13"/>
      <c r="D43" s="13"/>
      <c r="E43" s="13">
        <v>44777.631944444445</v>
      </c>
      <c r="F43" s="18">
        <v>1.7</v>
      </c>
      <c r="G43" s="12" t="s">
        <v>164</v>
      </c>
      <c r="H43" s="18" t="s">
        <v>692</v>
      </c>
      <c r="I43" s="18" t="s">
        <v>333</v>
      </c>
      <c r="J43" s="13">
        <v>44777.761805555558</v>
      </c>
      <c r="K43" s="80"/>
      <c r="L43" s="14">
        <f>J43-E43</f>
        <v>0.12986111111240461</v>
      </c>
      <c r="M43" s="81">
        <f>L43*F43</f>
        <v>0.22076388889108783</v>
      </c>
      <c r="N43" s="15" t="str">
        <f>IF(Table2683263[[#This Row],[Fault Type]]="PM",IF(L43&lt;=(D43-C43),"Yes","No"),"")</f>
        <v/>
      </c>
      <c r="O43" s="16" t="str">
        <f>IF(N43="No",(L43-(D43-C43)),"")</f>
        <v/>
      </c>
      <c r="P43"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43" s="17"/>
    </row>
    <row r="44" spans="1:17" ht="15.5" x14ac:dyDescent="0.35">
      <c r="A44" s="4" t="s">
        <v>36</v>
      </c>
      <c r="B44" s="12" t="s">
        <v>150</v>
      </c>
      <c r="C44" s="13"/>
      <c r="D44" s="13"/>
      <c r="E44" s="13">
        <v>44777.638194444444</v>
      </c>
      <c r="F44" s="18">
        <v>3.7</v>
      </c>
      <c r="G44" s="12" t="s">
        <v>164</v>
      </c>
      <c r="H44" s="18" t="s">
        <v>693</v>
      </c>
      <c r="I44" s="18" t="s">
        <v>334</v>
      </c>
      <c r="J44" s="13">
        <v>44777.725694444445</v>
      </c>
      <c r="K44" s="32"/>
      <c r="L44" s="14">
        <f t="shared" si="0"/>
        <v>8.7500000001455192E-2</v>
      </c>
      <c r="M44" s="31">
        <f t="shared" si="3"/>
        <v>0.32375000000538423</v>
      </c>
      <c r="N44" s="15" t="str">
        <f>IF(Table2683263[[#This Row],[Fault Type]]="PM",IF(L44&lt;=(D44-C44),"Yes","No"),"")</f>
        <v/>
      </c>
      <c r="O44" s="16" t="str">
        <f t="shared" si="2"/>
        <v/>
      </c>
      <c r="P4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4" s="17"/>
    </row>
    <row r="45" spans="1:17" ht="15.5" x14ac:dyDescent="0.35">
      <c r="A45" s="4" t="s">
        <v>546</v>
      </c>
      <c r="B45" s="12" t="s">
        <v>150</v>
      </c>
      <c r="C45" s="13"/>
      <c r="D45" s="13"/>
      <c r="E45" s="13">
        <v>44777.647222222222</v>
      </c>
      <c r="F45" s="18">
        <v>2</v>
      </c>
      <c r="G45" s="12" t="s">
        <v>164</v>
      </c>
      <c r="H45" s="18" t="s">
        <v>694</v>
      </c>
      <c r="I45" s="18" t="s">
        <v>334</v>
      </c>
      <c r="J45" s="13">
        <v>44777.726388888892</v>
      </c>
      <c r="K45" s="32"/>
      <c r="L45" s="14">
        <f t="shared" si="0"/>
        <v>7.9166666670062114E-2</v>
      </c>
      <c r="M45" s="31">
        <f t="shared" si="3"/>
        <v>0.15833333334012423</v>
      </c>
      <c r="N45" s="15" t="str">
        <f>IF(Table2683263[[#This Row],[Fault Type]]="PM",IF(L45&lt;=(D45-C45),"Yes","No"),"")</f>
        <v/>
      </c>
      <c r="O45" s="16" t="str">
        <f t="shared" si="2"/>
        <v/>
      </c>
      <c r="P45"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45" s="17"/>
    </row>
    <row r="46" spans="1:17" ht="15.5" x14ac:dyDescent="0.35">
      <c r="A46" s="4" t="s">
        <v>18</v>
      </c>
      <c r="B46" s="12" t="s">
        <v>150</v>
      </c>
      <c r="C46" s="13"/>
      <c r="D46" s="13"/>
      <c r="E46" s="13">
        <v>44777.650694444441</v>
      </c>
      <c r="F46" s="18">
        <v>11.5</v>
      </c>
      <c r="G46" s="12" t="s">
        <v>162</v>
      </c>
      <c r="H46" s="18" t="s">
        <v>526</v>
      </c>
      <c r="I46" s="18" t="s">
        <v>526</v>
      </c>
      <c r="J46" s="13">
        <v>44777.661111111112</v>
      </c>
      <c r="K46" s="32"/>
      <c r="L46" s="14">
        <f t="shared" si="0"/>
        <v>1.0416666671517305E-2</v>
      </c>
      <c r="M46" s="31">
        <f t="shared" si="3"/>
        <v>0.11979166672244901</v>
      </c>
      <c r="N46" s="15" t="str">
        <f>IF(Table2683263[[#This Row],[Fault Type]]="PM",IF(L46&lt;=(D46-C46),"Yes","No"),"")</f>
        <v/>
      </c>
      <c r="O46" s="16" t="str">
        <f t="shared" si="2"/>
        <v/>
      </c>
      <c r="P4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6" s="17"/>
    </row>
    <row r="47" spans="1:17" ht="15.5" x14ac:dyDescent="0.35">
      <c r="A47" s="4" t="s">
        <v>37</v>
      </c>
      <c r="B47" s="12" t="s">
        <v>150</v>
      </c>
      <c r="C47" s="13"/>
      <c r="D47" s="13"/>
      <c r="E47" s="13">
        <v>44777.667361111111</v>
      </c>
      <c r="F47" s="18">
        <v>6.5</v>
      </c>
      <c r="G47" s="12" t="s">
        <v>162</v>
      </c>
      <c r="H47" s="18" t="s">
        <v>526</v>
      </c>
      <c r="I47" s="18" t="s">
        <v>526</v>
      </c>
      <c r="J47" s="13">
        <v>44777.673611111109</v>
      </c>
      <c r="K47" s="32"/>
      <c r="L47" s="14">
        <f t="shared" si="0"/>
        <v>6.2499999985448085E-3</v>
      </c>
      <c r="M47" s="31">
        <f t="shared" si="3"/>
        <v>4.0624999990541255E-2</v>
      </c>
      <c r="N47" s="15" t="str">
        <f>IF(Table2683263[[#This Row],[Fault Type]]="PM",IF(L47&lt;=(D47-C47),"Yes","No"),"")</f>
        <v/>
      </c>
      <c r="O47" s="16" t="str">
        <f t="shared" si="2"/>
        <v/>
      </c>
      <c r="P4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7" s="17"/>
    </row>
    <row r="48" spans="1:17" ht="15.75" customHeight="1" x14ac:dyDescent="0.35">
      <c r="A48" s="4" t="s">
        <v>62</v>
      </c>
      <c r="B48" s="12" t="s">
        <v>150</v>
      </c>
      <c r="C48" s="13"/>
      <c r="D48" s="13"/>
      <c r="E48" s="13">
        <v>44777.670138888891</v>
      </c>
      <c r="F48" s="18">
        <v>3.5</v>
      </c>
      <c r="G48" s="12" t="s">
        <v>164</v>
      </c>
      <c r="H48" s="18" t="s">
        <v>695</v>
      </c>
      <c r="I48" s="18" t="s">
        <v>334</v>
      </c>
      <c r="J48" s="13">
        <v>44777.720833333333</v>
      </c>
      <c r="K48" s="32"/>
      <c r="L48" s="14">
        <f t="shared" si="0"/>
        <v>5.0694444442342501E-2</v>
      </c>
      <c r="M48" s="31">
        <f t="shared" si="3"/>
        <v>0.17743055554819875</v>
      </c>
      <c r="N48" s="15" t="str">
        <f>IF(Table2683263[[#This Row],[Fault Type]]="PM",IF(L48&lt;=(D48-C48),"Yes","No"),"")</f>
        <v/>
      </c>
      <c r="O48" s="16" t="str">
        <f t="shared" si="2"/>
        <v/>
      </c>
      <c r="P4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48" s="17"/>
    </row>
    <row r="49" spans="1:17" ht="15.5" x14ac:dyDescent="0.35">
      <c r="A49" s="4" t="s">
        <v>112</v>
      </c>
      <c r="B49" s="12" t="s">
        <v>150</v>
      </c>
      <c r="C49" s="13"/>
      <c r="D49" s="13"/>
      <c r="E49" s="13">
        <v>44777.689583333333</v>
      </c>
      <c r="F49" s="12">
        <v>2</v>
      </c>
      <c r="G49" s="12" t="s">
        <v>164</v>
      </c>
      <c r="H49" s="12" t="s">
        <v>696</v>
      </c>
      <c r="I49" s="12" t="s">
        <v>333</v>
      </c>
      <c r="J49" s="13">
        <v>44778.055555555555</v>
      </c>
      <c r="K49" s="32"/>
      <c r="L49" s="14">
        <f t="shared" si="0"/>
        <v>0.36597222222189885</v>
      </c>
      <c r="M49" s="31">
        <f t="shared" si="3"/>
        <v>0.73194444444379769</v>
      </c>
      <c r="N49" s="15" t="str">
        <f>IF(Table2683263[[#This Row],[Fault Type]]="PM",IF(L49&lt;=(D49-C49),"Yes","No"),"")</f>
        <v/>
      </c>
      <c r="O49" s="16" t="str">
        <f t="shared" si="2"/>
        <v/>
      </c>
      <c r="P4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49" s="17"/>
    </row>
    <row r="50" spans="1:17" ht="15.5" x14ac:dyDescent="0.35">
      <c r="A50" s="4" t="s">
        <v>195</v>
      </c>
      <c r="B50" s="12" t="s">
        <v>150</v>
      </c>
      <c r="C50" s="13"/>
      <c r="D50" s="13"/>
      <c r="E50" s="13">
        <v>44777.67083333333</v>
      </c>
      <c r="F50" s="18">
        <v>3.3</v>
      </c>
      <c r="G50" s="12" t="s">
        <v>162</v>
      </c>
      <c r="H50" s="18" t="s">
        <v>526</v>
      </c>
      <c r="I50" s="18" t="s">
        <v>526</v>
      </c>
      <c r="J50" s="13">
        <v>44777.677777777775</v>
      </c>
      <c r="K50" s="32"/>
      <c r="L50" s="14">
        <f t="shared" si="0"/>
        <v>6.9444444452528842E-3</v>
      </c>
      <c r="M50" s="31">
        <f t="shared" si="3"/>
        <v>2.2916666669334517E-2</v>
      </c>
      <c r="N50" s="15" t="str">
        <f>IF(Table2683263[[#This Row],[Fault Type]]="PM",IF(L50&lt;=(D50-C50),"Yes","No"),"")</f>
        <v/>
      </c>
      <c r="O50" s="16" t="str">
        <f t="shared" si="2"/>
        <v/>
      </c>
      <c r="P5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0" s="17"/>
    </row>
    <row r="51" spans="1:17" ht="15.5" x14ac:dyDescent="0.35">
      <c r="A51" s="4" t="s">
        <v>25</v>
      </c>
      <c r="B51" s="49" t="s">
        <v>150</v>
      </c>
      <c r="C51" s="160"/>
      <c r="D51" s="160"/>
      <c r="E51" s="13">
        <v>44777.717361111114</v>
      </c>
      <c r="F51" s="64">
        <v>4.5999999999999996</v>
      </c>
      <c r="G51" s="159" t="s">
        <v>164</v>
      </c>
      <c r="H51" s="54" t="s">
        <v>665</v>
      </c>
      <c r="I51" s="54" t="s">
        <v>334</v>
      </c>
      <c r="J51" s="13">
        <v>44777.765277777777</v>
      </c>
      <c r="K51" s="32"/>
      <c r="L51" s="14">
        <f t="shared" si="0"/>
        <v>4.7916666662786156E-2</v>
      </c>
      <c r="M51" s="53">
        <f t="shared" si="3"/>
        <v>0.22041666664881629</v>
      </c>
      <c r="N51" s="50" t="str">
        <f>IF(Table2683263[[#This Row],[Fault Type]]="PM",IF(L51&lt;=(D51-C51),"Yes","No"),"")</f>
        <v/>
      </c>
      <c r="O51" s="51" t="str">
        <f t="shared" si="2"/>
        <v/>
      </c>
      <c r="P5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row>
    <row r="52" spans="1:17" ht="15.5" x14ac:dyDescent="0.35">
      <c r="A52" s="58" t="s">
        <v>38</v>
      </c>
      <c r="B52" s="55" t="s">
        <v>150</v>
      </c>
      <c r="C52" s="56"/>
      <c r="D52" s="56"/>
      <c r="E52" s="13">
        <v>44777.78402777778</v>
      </c>
      <c r="F52" s="55">
        <v>17</v>
      </c>
      <c r="G52" s="55" t="s">
        <v>162</v>
      </c>
      <c r="H52" s="57" t="s">
        <v>526</v>
      </c>
      <c r="I52" s="18" t="s">
        <v>526</v>
      </c>
      <c r="J52" s="13">
        <v>44777.789583333331</v>
      </c>
      <c r="K52" s="32"/>
      <c r="L52" s="14">
        <f t="shared" si="0"/>
        <v>5.5555555518367328E-3</v>
      </c>
      <c r="M52" s="59">
        <f t="shared" si="3"/>
        <v>9.4444444381224457E-2</v>
      </c>
      <c r="N52" s="61" t="str">
        <f>IF(Table2683263[[#This Row],[Fault Type]]="PM",IF(L52&lt;=(D52-C52),"Yes","No"),"")</f>
        <v/>
      </c>
      <c r="O52" s="62" t="str">
        <f t="shared" si="2"/>
        <v/>
      </c>
      <c r="P5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2" s="63"/>
    </row>
    <row r="53" spans="1:17" ht="15.5" x14ac:dyDescent="0.35">
      <c r="A53" s="58" t="s">
        <v>563</v>
      </c>
      <c r="B53" s="55" t="s">
        <v>150</v>
      </c>
      <c r="C53" s="56"/>
      <c r="D53" s="56"/>
      <c r="E53" s="13">
        <v>44777.784722222219</v>
      </c>
      <c r="F53" s="55">
        <v>3</v>
      </c>
      <c r="G53" s="55" t="s">
        <v>164</v>
      </c>
      <c r="H53" s="57" t="s">
        <v>508</v>
      </c>
      <c r="I53" s="18" t="s">
        <v>334</v>
      </c>
      <c r="J53" s="13">
        <v>44777.961805555555</v>
      </c>
      <c r="K53" s="32"/>
      <c r="L53" s="14">
        <f t="shared" si="0"/>
        <v>0.17708333333575865</v>
      </c>
      <c r="M53" s="59">
        <f t="shared" si="3"/>
        <v>0.53125000000727596</v>
      </c>
      <c r="N53" s="61" t="str">
        <f>IF(Table2683263[[#This Row],[Fault Type]]="PM",IF(L53&lt;=(D53-C53),"Yes","No"),"")</f>
        <v/>
      </c>
      <c r="O53" s="62" t="str">
        <f t="shared" si="2"/>
        <v/>
      </c>
      <c r="P53"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53" s="63"/>
    </row>
    <row r="54" spans="1:17" ht="15.5" x14ac:dyDescent="0.35">
      <c r="A54" s="58" t="s">
        <v>580</v>
      </c>
      <c r="B54" s="55" t="s">
        <v>158</v>
      </c>
      <c r="C54" s="56"/>
      <c r="D54" s="56"/>
      <c r="E54" s="13">
        <v>44777.786111111112</v>
      </c>
      <c r="F54" s="55"/>
      <c r="G54" s="55"/>
      <c r="H54" s="57" t="s">
        <v>697</v>
      </c>
      <c r="I54" s="18" t="s">
        <v>333</v>
      </c>
      <c r="J54" s="13">
        <v>44777.881944444445</v>
      </c>
      <c r="K54" s="32"/>
      <c r="L54" s="14">
        <f t="shared" si="0"/>
        <v>9.5833333332848269E-2</v>
      </c>
      <c r="M54" s="59">
        <f t="shared" si="3"/>
        <v>0</v>
      </c>
      <c r="N54" s="61" t="str">
        <f>IF(Table2683263[[#This Row],[Fault Type]]="PM",IF(L54&lt;=(D54-C54),"Yes","No"),"")</f>
        <v/>
      </c>
      <c r="O54" s="62" t="str">
        <f t="shared" si="2"/>
        <v/>
      </c>
      <c r="P54"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54" s="63"/>
    </row>
    <row r="55" spans="1:17" ht="15.5" x14ac:dyDescent="0.35">
      <c r="A55" s="58" t="s">
        <v>44</v>
      </c>
      <c r="B55" s="55" t="s">
        <v>150</v>
      </c>
      <c r="C55" s="56"/>
      <c r="D55" s="56"/>
      <c r="E55" s="13">
        <v>44777.784722222219</v>
      </c>
      <c r="F55" s="55">
        <v>4.3</v>
      </c>
      <c r="G55" s="55" t="s">
        <v>164</v>
      </c>
      <c r="H55" s="57" t="s">
        <v>698</v>
      </c>
      <c r="I55" s="18" t="s">
        <v>334</v>
      </c>
      <c r="J55" s="13">
        <v>44777.884722222225</v>
      </c>
      <c r="K55" s="83"/>
      <c r="L55" s="14">
        <f t="shared" si="0"/>
        <v>0.10000000000582077</v>
      </c>
      <c r="M55" s="59">
        <f t="shared" si="3"/>
        <v>0.43000000002502925</v>
      </c>
      <c r="N55" s="61" t="str">
        <f>IF(Table2683263[[#This Row],[Fault Type]]="PM",IF(L55&lt;=(D55-C55),"Yes","No"),"")</f>
        <v/>
      </c>
      <c r="O55" s="62" t="str">
        <f t="shared" si="2"/>
        <v/>
      </c>
      <c r="P5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5" s="63"/>
    </row>
    <row r="56" spans="1:17" ht="15.5" x14ac:dyDescent="0.35">
      <c r="A56" s="58" t="s">
        <v>27</v>
      </c>
      <c r="B56" s="55" t="s">
        <v>150</v>
      </c>
      <c r="C56" s="56"/>
      <c r="D56" s="56"/>
      <c r="E56" s="13">
        <v>44777.833333333336</v>
      </c>
      <c r="F56" s="55">
        <v>4.5</v>
      </c>
      <c r="G56" s="55" t="s">
        <v>164</v>
      </c>
      <c r="H56" s="57" t="s">
        <v>660</v>
      </c>
      <c r="I56" s="18" t="s">
        <v>334</v>
      </c>
      <c r="J56" s="13">
        <v>44777.949305555558</v>
      </c>
      <c r="K56" s="83"/>
      <c r="L56" s="14">
        <f t="shared" si="0"/>
        <v>0.11597222222189885</v>
      </c>
      <c r="M56" s="59">
        <f t="shared" si="3"/>
        <v>0.52187499999854481</v>
      </c>
      <c r="N56" s="61" t="str">
        <f>IF(Table2683263[[#This Row],[Fault Type]]="PM",IF(L56&lt;=(D56-C56),"Yes","No"),"")</f>
        <v/>
      </c>
      <c r="O56" s="62" t="str">
        <f t="shared" si="2"/>
        <v/>
      </c>
      <c r="P5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6" s="63"/>
    </row>
    <row r="57" spans="1:17" ht="15.5" x14ac:dyDescent="0.35">
      <c r="A57" s="58" t="s">
        <v>60</v>
      </c>
      <c r="B57" s="55" t="s">
        <v>150</v>
      </c>
      <c r="C57" s="56"/>
      <c r="D57" s="56"/>
      <c r="E57" s="13">
        <v>44777.862500000003</v>
      </c>
      <c r="F57" s="55">
        <v>2.5</v>
      </c>
      <c r="G57" s="55" t="s">
        <v>162</v>
      </c>
      <c r="H57" s="57" t="s">
        <v>526</v>
      </c>
      <c r="I57" s="18" t="s">
        <v>526</v>
      </c>
      <c r="J57" s="13">
        <v>44777.869444444441</v>
      </c>
      <c r="K57" s="83"/>
      <c r="L57" s="14">
        <f t="shared" si="0"/>
        <v>6.9444444379769266E-3</v>
      </c>
      <c r="M57" s="59">
        <f t="shared" si="3"/>
        <v>1.7361111094942316E-2</v>
      </c>
      <c r="N57" s="61" t="str">
        <f>IF(Table2683263[[#This Row],[Fault Type]]="PM",IF(L57&lt;=(D57-C57),"Yes","No"),"")</f>
        <v/>
      </c>
      <c r="O57" s="62" t="str">
        <f t="shared" si="2"/>
        <v/>
      </c>
      <c r="P5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7" s="63"/>
    </row>
    <row r="58" spans="1:17" ht="15.5" x14ac:dyDescent="0.35">
      <c r="A58" s="58" t="s">
        <v>44</v>
      </c>
      <c r="B58" s="55" t="s">
        <v>150</v>
      </c>
      <c r="C58" s="56"/>
      <c r="D58" s="56"/>
      <c r="E58" s="13">
        <v>44777.884722222225</v>
      </c>
      <c r="F58" s="55">
        <v>2.8</v>
      </c>
      <c r="G58" s="55" t="s">
        <v>164</v>
      </c>
      <c r="H58" s="57" t="s">
        <v>699</v>
      </c>
      <c r="I58" s="18" t="s">
        <v>334</v>
      </c>
      <c r="J58" s="13">
        <v>44777.939583333333</v>
      </c>
      <c r="K58" s="83"/>
      <c r="L58" s="14">
        <f t="shared" si="0"/>
        <v>5.486111110803904E-2</v>
      </c>
      <c r="M58" s="59">
        <f t="shared" si="3"/>
        <v>0.1536111111025093</v>
      </c>
      <c r="N58" s="61" t="str">
        <f>IF(Table2683263[[#This Row],[Fault Type]]="PM",IF(L58&lt;=(D58-C58),"Yes","No"),"")</f>
        <v/>
      </c>
      <c r="O58" s="62" t="str">
        <f t="shared" si="2"/>
        <v/>
      </c>
      <c r="P5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58" s="63"/>
    </row>
    <row r="59" spans="1:17" ht="15.5" x14ac:dyDescent="0.35">
      <c r="A59" s="58" t="s">
        <v>512</v>
      </c>
      <c r="B59" s="55" t="s">
        <v>150</v>
      </c>
      <c r="C59" s="56"/>
      <c r="D59" s="56"/>
      <c r="E59" s="13">
        <v>44777.89166666667</v>
      </c>
      <c r="F59" s="55">
        <v>4.0999999999999996</v>
      </c>
      <c r="G59" s="55" t="s">
        <v>164</v>
      </c>
      <c r="H59" s="57" t="s">
        <v>700</v>
      </c>
      <c r="I59" s="18" t="s">
        <v>334</v>
      </c>
      <c r="J59" s="13">
        <v>44777.961805555555</v>
      </c>
      <c r="K59" s="83"/>
      <c r="L59" s="14">
        <f t="shared" si="0"/>
        <v>7.0138888884685002E-2</v>
      </c>
      <c r="M59" s="59">
        <f t="shared" si="3"/>
        <v>0.2875694444272085</v>
      </c>
      <c r="N59" s="61" t="str">
        <f>IF(Table2683263[[#This Row],[Fault Type]]="PM",IF(L59&lt;=(D59-C59),"Yes","No"),"")</f>
        <v/>
      </c>
      <c r="O59" s="62" t="str">
        <f t="shared" si="2"/>
        <v/>
      </c>
      <c r="P59"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59" s="63"/>
    </row>
    <row r="60" spans="1:17" ht="15.5" x14ac:dyDescent="0.35">
      <c r="A60" s="58" t="s">
        <v>31</v>
      </c>
      <c r="B60" s="55" t="s">
        <v>150</v>
      </c>
      <c r="C60" s="56"/>
      <c r="D60" s="56"/>
      <c r="E60" s="13">
        <v>44777.9</v>
      </c>
      <c r="F60" s="55">
        <v>5</v>
      </c>
      <c r="G60" s="55" t="s">
        <v>164</v>
      </c>
      <c r="H60" s="57" t="s">
        <v>508</v>
      </c>
      <c r="I60" s="18" t="s">
        <v>334</v>
      </c>
      <c r="J60" s="13">
        <v>44777.982638888891</v>
      </c>
      <c r="K60" s="83"/>
      <c r="L60" s="14">
        <f t="shared" si="0"/>
        <v>8.2638888889050577E-2</v>
      </c>
      <c r="M60" s="59">
        <f t="shared" si="3"/>
        <v>0.41319444444525288</v>
      </c>
      <c r="N60" s="61" t="str">
        <f>IF(Table2683263[[#This Row],[Fault Type]]="PM",IF(L60&lt;=(D60-C60),"Yes","No"),"")</f>
        <v/>
      </c>
      <c r="O60" s="62" t="str">
        <f t="shared" si="2"/>
        <v/>
      </c>
      <c r="P6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60" s="63"/>
    </row>
    <row r="61" spans="1:17" ht="15.5" x14ac:dyDescent="0.35">
      <c r="A61" s="58" t="s">
        <v>56</v>
      </c>
      <c r="B61" s="55" t="s">
        <v>150</v>
      </c>
      <c r="C61" s="56"/>
      <c r="D61" s="56"/>
      <c r="E61" s="13">
        <v>44777.908333333333</v>
      </c>
      <c r="F61" s="55">
        <v>4</v>
      </c>
      <c r="G61" s="55" t="s">
        <v>164</v>
      </c>
      <c r="H61" s="57" t="s">
        <v>701</v>
      </c>
      <c r="I61" s="18" t="s">
        <v>334</v>
      </c>
      <c r="J61" s="13">
        <v>44778.252083333333</v>
      </c>
      <c r="K61" s="83"/>
      <c r="L61" s="14">
        <f t="shared" si="0"/>
        <v>0.34375</v>
      </c>
      <c r="M61" s="59">
        <f t="shared" si="3"/>
        <v>1.375</v>
      </c>
      <c r="N61" s="61" t="str">
        <f>IF(Table2683263[[#This Row],[Fault Type]]="PM",IF(L61&lt;=(D61-C61),"Yes","No"),"")</f>
        <v/>
      </c>
      <c r="O61" s="62" t="str">
        <f t="shared" si="2"/>
        <v/>
      </c>
      <c r="P6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1" s="63"/>
    </row>
    <row r="62" spans="1:17" ht="15.5" x14ac:dyDescent="0.35">
      <c r="A62" s="58" t="s">
        <v>442</v>
      </c>
      <c r="B62" s="55" t="s">
        <v>150</v>
      </c>
      <c r="C62" s="56"/>
      <c r="D62" s="56"/>
      <c r="E62" s="13">
        <v>44777.909722222219</v>
      </c>
      <c r="F62" s="55">
        <v>1.1000000000000001</v>
      </c>
      <c r="G62" s="55" t="s">
        <v>164</v>
      </c>
      <c r="H62" s="57" t="s">
        <v>508</v>
      </c>
      <c r="I62" s="18" t="s">
        <v>334</v>
      </c>
      <c r="J62" s="13">
        <v>44777.95416666667</v>
      </c>
      <c r="K62" s="83"/>
      <c r="L62" s="14">
        <f t="shared" si="0"/>
        <v>4.444444445107365E-2</v>
      </c>
      <c r="M62" s="59">
        <f t="shared" si="3"/>
        <v>4.8888888896181017E-2</v>
      </c>
      <c r="N62" s="61" t="str">
        <f>IF(Table2683263[[#This Row],[Fault Type]]="PM",IF(L62&lt;=(D62-C62),"Yes","No"),"")</f>
        <v/>
      </c>
      <c r="O62" s="62" t="str">
        <f t="shared" si="2"/>
        <v/>
      </c>
      <c r="P6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62" s="63"/>
    </row>
    <row r="63" spans="1:17" ht="15.5" x14ac:dyDescent="0.35">
      <c r="A63" s="58" t="s">
        <v>39</v>
      </c>
      <c r="B63" s="55" t="s">
        <v>150</v>
      </c>
      <c r="C63" s="56"/>
      <c r="D63" s="56"/>
      <c r="E63" s="13">
        <v>44777.9375</v>
      </c>
      <c r="F63" s="55">
        <v>9</v>
      </c>
      <c r="G63" s="55" t="s">
        <v>162</v>
      </c>
      <c r="H63" s="57" t="s">
        <v>702</v>
      </c>
      <c r="I63" s="18" t="s">
        <v>526</v>
      </c>
      <c r="J63" s="13">
        <v>44777.943749999999</v>
      </c>
      <c r="K63" s="83"/>
      <c r="L63" s="14">
        <f t="shared" si="0"/>
        <v>6.2499999985448085E-3</v>
      </c>
      <c r="M63" s="59">
        <f t="shared" si="3"/>
        <v>5.6249999986903276E-2</v>
      </c>
      <c r="N63" s="61" t="str">
        <f>IF(Table2683263[[#This Row],[Fault Type]]="PM",IF(L63&lt;=(D63-C63),"Yes","No"),"")</f>
        <v/>
      </c>
      <c r="O63" s="62" t="str">
        <f t="shared" si="2"/>
        <v/>
      </c>
      <c r="P6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63" s="63"/>
    </row>
    <row r="64" spans="1:17" ht="15.5" x14ac:dyDescent="0.35">
      <c r="A64" s="58" t="s">
        <v>43</v>
      </c>
      <c r="B64" s="55" t="s">
        <v>150</v>
      </c>
      <c r="C64" s="56"/>
      <c r="D64" s="56"/>
      <c r="E64" s="13">
        <v>44777.943749999999</v>
      </c>
      <c r="F64" s="55">
        <v>1.9</v>
      </c>
      <c r="G64" s="55" t="s">
        <v>164</v>
      </c>
      <c r="H64" s="57" t="s">
        <v>703</v>
      </c>
      <c r="I64" s="18" t="s">
        <v>334</v>
      </c>
      <c r="J64" s="13">
        <v>44778.388888888891</v>
      </c>
      <c r="K64" s="83"/>
      <c r="L64" s="14">
        <f t="shared" si="0"/>
        <v>0.44513888889196096</v>
      </c>
      <c r="M64" s="59">
        <f t="shared" si="3"/>
        <v>0.84576388889472576</v>
      </c>
      <c r="N64" s="61" t="str">
        <f>IF(Table2683263[[#This Row],[Fault Type]]="PM",IF(L64&lt;=(D64-C64),"Yes","No"),"")</f>
        <v/>
      </c>
      <c r="O64" s="62" t="str">
        <f t="shared" si="2"/>
        <v/>
      </c>
      <c r="P6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4" s="63"/>
    </row>
    <row r="65" spans="1:17" ht="15.5" x14ac:dyDescent="0.35">
      <c r="A65" s="58" t="s">
        <v>563</v>
      </c>
      <c r="B65" s="55" t="s">
        <v>150</v>
      </c>
      <c r="C65" s="56"/>
      <c r="D65" s="56"/>
      <c r="E65" s="13">
        <v>44777.965277777781</v>
      </c>
      <c r="F65" s="55">
        <v>1.7</v>
      </c>
      <c r="G65" s="55" t="s">
        <v>164</v>
      </c>
      <c r="H65" s="57" t="s">
        <v>704</v>
      </c>
      <c r="I65" s="18" t="s">
        <v>334</v>
      </c>
      <c r="J65" s="13">
        <v>44778.709722222222</v>
      </c>
      <c r="K65" s="83"/>
      <c r="L65" s="14">
        <f t="shared" si="0"/>
        <v>0.74444444444088731</v>
      </c>
      <c r="M65" s="59">
        <f t="shared" si="3"/>
        <v>1.2655555555495084</v>
      </c>
      <c r="N65" s="61" t="str">
        <f>IF(Table2683263[[#This Row],[Fault Type]]="PM",IF(L65&lt;=(D65-C65),"Yes","No"),"")</f>
        <v/>
      </c>
      <c r="O65" s="62" t="str">
        <f t="shared" si="2"/>
        <v/>
      </c>
      <c r="P65" s="30" t="e">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#N/A</v>
      </c>
      <c r="Q65" s="63"/>
    </row>
    <row r="66" spans="1:17" ht="15.5" x14ac:dyDescent="0.35">
      <c r="A66" s="58" t="s">
        <v>195</v>
      </c>
      <c r="B66" s="55" t="s">
        <v>150</v>
      </c>
      <c r="C66" s="56"/>
      <c r="D66" s="56"/>
      <c r="E66" s="13">
        <v>44777.967361111114</v>
      </c>
      <c r="F66" s="55">
        <v>2.6</v>
      </c>
      <c r="G66" s="55" t="s">
        <v>164</v>
      </c>
      <c r="H66" s="57" t="s">
        <v>705</v>
      </c>
      <c r="I66" s="18" t="s">
        <v>334</v>
      </c>
      <c r="J66" s="13">
        <v>44778.298611111109</v>
      </c>
      <c r="K66" s="83"/>
      <c r="L66" s="14">
        <f t="shared" si="0"/>
        <v>0.33124999999563443</v>
      </c>
      <c r="M66" s="59">
        <f t="shared" si="3"/>
        <v>0.86124999998864948</v>
      </c>
      <c r="N66" s="61" t="str">
        <f>IF(Table2683263[[#This Row],[Fault Type]]="PM",IF(L66&lt;=(D66-C66),"Yes","No"),"")</f>
        <v/>
      </c>
      <c r="O66" s="62" t="str">
        <f t="shared" si="2"/>
        <v/>
      </c>
      <c r="P6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6" s="63"/>
    </row>
    <row r="67" spans="1:17" ht="15.5" x14ac:dyDescent="0.35">
      <c r="A67" s="58" t="s">
        <v>38</v>
      </c>
      <c r="B67" s="55" t="s">
        <v>150</v>
      </c>
      <c r="C67" s="56"/>
      <c r="D67" s="56"/>
      <c r="E67" s="13">
        <v>44777.980555555558</v>
      </c>
      <c r="F67" s="55">
        <v>15.5</v>
      </c>
      <c r="G67" s="55" t="s">
        <v>162</v>
      </c>
      <c r="H67" s="57" t="s">
        <v>526</v>
      </c>
      <c r="I67" s="18" t="s">
        <v>526</v>
      </c>
      <c r="J67" s="13">
        <v>44777.987500000003</v>
      </c>
      <c r="K67" s="83"/>
      <c r="L67" s="14">
        <f t="shared" si="0"/>
        <v>6.9444444452528842E-3</v>
      </c>
      <c r="M67" s="59">
        <f t="shared" si="3"/>
        <v>0.1076388889014197</v>
      </c>
      <c r="N67" s="61" t="str">
        <f>IF(Table2683263[[#This Row],[Fault Type]]="PM",IF(L67&lt;=(D67-C67),"Yes","No"),"")</f>
        <v/>
      </c>
      <c r="O67" s="62" t="str">
        <f t="shared" si="2"/>
        <v/>
      </c>
      <c r="P6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Yes</v>
      </c>
      <c r="Q67" s="63"/>
    </row>
    <row r="68" spans="1:17" ht="15.5" x14ac:dyDescent="0.35">
      <c r="A68" s="58" t="s">
        <v>57</v>
      </c>
      <c r="B68" s="55" t="s">
        <v>150</v>
      </c>
      <c r="C68" s="56"/>
      <c r="D68" s="56"/>
      <c r="E68" s="13">
        <v>44777.994444444441</v>
      </c>
      <c r="F68" s="55">
        <v>2.1</v>
      </c>
      <c r="G68" s="55" t="s">
        <v>164</v>
      </c>
      <c r="H68" s="57" t="s">
        <v>706</v>
      </c>
      <c r="I68" s="18" t="s">
        <v>334</v>
      </c>
      <c r="J68" s="13">
        <v>44778.353472222225</v>
      </c>
      <c r="K68" s="83"/>
      <c r="L68" s="14">
        <f t="shared" si="0"/>
        <v>0.35902777778392192</v>
      </c>
      <c r="M68" s="59">
        <f t="shared" si="3"/>
        <v>0.75395833334623608</v>
      </c>
      <c r="N68" s="61" t="str">
        <f>IF(Table2683263[[#This Row],[Fault Type]]="PM",IF(L68&lt;=(D68-C68),"Yes","No"),"")</f>
        <v/>
      </c>
      <c r="O68" s="62" t="str">
        <f t="shared" si="2"/>
        <v/>
      </c>
      <c r="P6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8" s="63"/>
    </row>
    <row r="69" spans="1:17" ht="15.5" x14ac:dyDescent="0.35">
      <c r="A69" s="58" t="s">
        <v>27</v>
      </c>
      <c r="B69" s="55" t="s">
        <v>150</v>
      </c>
      <c r="C69" s="56"/>
      <c r="D69" s="56"/>
      <c r="E69" s="13">
        <v>44777.982638888891</v>
      </c>
      <c r="F69" s="55">
        <v>1.5</v>
      </c>
      <c r="G69" s="55" t="s">
        <v>163</v>
      </c>
      <c r="H69" s="57" t="s">
        <v>707</v>
      </c>
      <c r="I69" s="18" t="s">
        <v>333</v>
      </c>
      <c r="J69" s="13">
        <v>44778.411805555559</v>
      </c>
      <c r="K69" s="83"/>
      <c r="L69" s="14">
        <f t="shared" si="0"/>
        <v>0.42916666666860692</v>
      </c>
      <c r="M69" s="59">
        <f t="shared" si="3"/>
        <v>0.64375000000291038</v>
      </c>
      <c r="N69" s="61" t="str">
        <f>IF(Table2683263[[#This Row],[Fault Type]]="PM",IF(L69&lt;=(D69-C69),"Yes","No"),"")</f>
        <v/>
      </c>
      <c r="O69" s="62" t="str">
        <f t="shared" si="2"/>
        <v/>
      </c>
      <c r="P6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No</v>
      </c>
      <c r="Q69" s="63"/>
    </row>
    <row r="70" spans="1:17" ht="15.5" x14ac:dyDescent="0.35">
      <c r="A70" s="58"/>
      <c r="B70" s="55"/>
      <c r="C70" s="56"/>
      <c r="D70" s="56"/>
      <c r="E70" s="13"/>
      <c r="F70" s="55"/>
      <c r="G70" s="55"/>
      <c r="H70" s="57"/>
      <c r="I70" s="18"/>
      <c r="J70" s="13"/>
      <c r="K70" s="83"/>
      <c r="L70" s="14">
        <f t="shared" ref="L70:L83" si="4">J70-E70</f>
        <v>0</v>
      </c>
      <c r="M70" s="59">
        <f t="shared" si="3"/>
        <v>0</v>
      </c>
      <c r="N70" s="61" t="str">
        <f>IF(Table2683263[[#This Row],[Fault Type]]="PM",IF(L70&lt;=(D70-C70),"Yes","No"),"")</f>
        <v/>
      </c>
      <c r="O70" s="62" t="str">
        <f t="shared" ref="O70:O83" si="5">IF(N70="No",(L70-(D70-C70)),"")</f>
        <v/>
      </c>
      <c r="P7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0" s="63"/>
    </row>
    <row r="71" spans="1:17" ht="15.5" x14ac:dyDescent="0.35">
      <c r="A71" s="58"/>
      <c r="B71" s="55"/>
      <c r="C71" s="56"/>
      <c r="D71" s="56"/>
      <c r="E71" s="13"/>
      <c r="F71" s="55"/>
      <c r="G71" s="55"/>
      <c r="H71" s="57"/>
      <c r="I71" s="18"/>
      <c r="J71" s="13"/>
      <c r="K71" s="83"/>
      <c r="L71" s="14">
        <f t="shared" si="4"/>
        <v>0</v>
      </c>
      <c r="M71" s="59">
        <f t="shared" si="3"/>
        <v>0</v>
      </c>
      <c r="N71" s="61" t="str">
        <f>IF(Table2683263[[#This Row],[Fault Type]]="PM",IF(L71&lt;=(D71-C71),"Yes","No"),"")</f>
        <v/>
      </c>
      <c r="O71" s="62" t="str">
        <f t="shared" si="5"/>
        <v/>
      </c>
      <c r="P7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1" s="63"/>
    </row>
    <row r="72" spans="1:17" ht="15.5" x14ac:dyDescent="0.35">
      <c r="A72" s="58"/>
      <c r="B72" s="55"/>
      <c r="C72" s="56"/>
      <c r="D72" s="56"/>
      <c r="E72" s="13"/>
      <c r="F72" s="55"/>
      <c r="G72" s="55"/>
      <c r="H72" s="57"/>
      <c r="I72" s="18"/>
      <c r="J72" s="13"/>
      <c r="K72" s="83"/>
      <c r="L72" s="14">
        <f t="shared" si="4"/>
        <v>0</v>
      </c>
      <c r="M72" s="59">
        <f t="shared" si="3"/>
        <v>0</v>
      </c>
      <c r="N72" s="61" t="str">
        <f>IF(Table2683263[[#This Row],[Fault Type]]="PM",IF(L72&lt;=(D72-C72),"Yes","No"),"")</f>
        <v/>
      </c>
      <c r="O72" s="62" t="str">
        <f t="shared" si="5"/>
        <v/>
      </c>
      <c r="P7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2" s="63"/>
    </row>
    <row r="73" spans="1:17" ht="15.5" x14ac:dyDescent="0.35">
      <c r="A73" s="58"/>
      <c r="B73" s="55"/>
      <c r="C73" s="56"/>
      <c r="D73" s="56"/>
      <c r="E73" s="13"/>
      <c r="F73" s="55"/>
      <c r="G73" s="55"/>
      <c r="H73" s="57"/>
      <c r="I73" s="18"/>
      <c r="J73" s="13"/>
      <c r="K73" s="83"/>
      <c r="L73" s="14">
        <f t="shared" si="4"/>
        <v>0</v>
      </c>
      <c r="M73" s="59">
        <f t="shared" si="3"/>
        <v>0</v>
      </c>
      <c r="N73" s="61" t="str">
        <f>IF(Table2683263[[#This Row],[Fault Type]]="PM",IF(L73&lt;=(D73-C73),"Yes","No"),"")</f>
        <v/>
      </c>
      <c r="O73" s="62" t="str">
        <f t="shared" si="5"/>
        <v/>
      </c>
      <c r="P7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3" s="63"/>
    </row>
    <row r="74" spans="1:17" ht="15.5" x14ac:dyDescent="0.35">
      <c r="A74" s="58"/>
      <c r="B74" s="55"/>
      <c r="C74" s="56"/>
      <c r="D74" s="56"/>
      <c r="E74" s="13"/>
      <c r="F74" s="55"/>
      <c r="G74" s="55"/>
      <c r="H74" s="57"/>
      <c r="I74" s="18"/>
      <c r="J74" s="13"/>
      <c r="K74" s="83"/>
      <c r="L74" s="14">
        <f t="shared" si="4"/>
        <v>0</v>
      </c>
      <c r="M74" s="59">
        <f t="shared" si="3"/>
        <v>0</v>
      </c>
      <c r="N74" s="61" t="str">
        <f>IF(Table2683263[[#This Row],[Fault Type]]="PM",IF(L74&lt;=(D74-C74),"Yes","No"),"")</f>
        <v/>
      </c>
      <c r="O74" s="62" t="str">
        <f t="shared" si="5"/>
        <v/>
      </c>
      <c r="P74"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4" s="63"/>
    </row>
    <row r="75" spans="1:17" ht="15.5" x14ac:dyDescent="0.35">
      <c r="A75" s="58"/>
      <c r="B75" s="55"/>
      <c r="C75" s="56"/>
      <c r="D75" s="56"/>
      <c r="E75" s="13"/>
      <c r="F75" s="55"/>
      <c r="G75" s="55"/>
      <c r="H75" s="57"/>
      <c r="I75" s="18"/>
      <c r="J75" s="13"/>
      <c r="K75" s="83"/>
      <c r="L75" s="14">
        <f t="shared" si="4"/>
        <v>0</v>
      </c>
      <c r="M75" s="59">
        <f t="shared" si="3"/>
        <v>0</v>
      </c>
      <c r="N75" s="61" t="str">
        <f>IF(Table2683263[[#This Row],[Fault Type]]="PM",IF(L75&lt;=(D75-C75),"Yes","No"),"")</f>
        <v/>
      </c>
      <c r="O75" s="62" t="str">
        <f t="shared" si="5"/>
        <v/>
      </c>
      <c r="P75"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5" s="63"/>
    </row>
    <row r="76" spans="1:17" ht="15.5" x14ac:dyDescent="0.35">
      <c r="A76" s="58"/>
      <c r="B76" s="55"/>
      <c r="C76" s="56"/>
      <c r="D76" s="56"/>
      <c r="E76" s="13"/>
      <c r="F76" s="55"/>
      <c r="G76" s="55"/>
      <c r="H76" s="57"/>
      <c r="I76" s="18"/>
      <c r="J76" s="13"/>
      <c r="K76" s="83"/>
      <c r="L76" s="14">
        <f t="shared" si="4"/>
        <v>0</v>
      </c>
      <c r="M76" s="59">
        <f t="shared" si="3"/>
        <v>0</v>
      </c>
      <c r="N76" s="61" t="str">
        <f>IF(Table2683263[[#This Row],[Fault Type]]="PM",IF(L76&lt;=(D76-C76),"Yes","No"),"")</f>
        <v/>
      </c>
      <c r="O76" s="62" t="str">
        <f t="shared" si="5"/>
        <v/>
      </c>
      <c r="P76"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6" s="63"/>
    </row>
    <row r="77" spans="1:17" ht="15.5" x14ac:dyDescent="0.35">
      <c r="A77" s="58"/>
      <c r="B77" s="55"/>
      <c r="C77" s="56"/>
      <c r="D77" s="56"/>
      <c r="E77" s="13"/>
      <c r="F77" s="55"/>
      <c r="G77" s="55"/>
      <c r="H77" s="57"/>
      <c r="I77" s="18"/>
      <c r="J77" s="13"/>
      <c r="K77" s="83"/>
      <c r="L77" s="14">
        <f t="shared" si="4"/>
        <v>0</v>
      </c>
      <c r="M77" s="59">
        <f t="shared" si="3"/>
        <v>0</v>
      </c>
      <c r="N77" s="61" t="str">
        <f>IF(Table2683263[[#This Row],[Fault Type]]="PM",IF(L77&lt;=(D77-C77),"Yes","No"),"")</f>
        <v/>
      </c>
      <c r="O77" s="62" t="str">
        <f t="shared" si="5"/>
        <v/>
      </c>
      <c r="P77"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7" s="63"/>
    </row>
    <row r="78" spans="1:17" ht="15.5" x14ac:dyDescent="0.35">
      <c r="A78" s="58"/>
      <c r="B78" s="55"/>
      <c r="C78" s="56"/>
      <c r="D78" s="56"/>
      <c r="E78" s="13"/>
      <c r="F78" s="55"/>
      <c r="G78" s="55"/>
      <c r="H78" s="57"/>
      <c r="I78" s="18"/>
      <c r="J78" s="13"/>
      <c r="K78" s="83"/>
      <c r="L78" s="14">
        <f t="shared" si="4"/>
        <v>0</v>
      </c>
      <c r="M78" s="59">
        <f t="shared" si="3"/>
        <v>0</v>
      </c>
      <c r="N78" s="61" t="str">
        <f>IF(Table2683263[[#This Row],[Fault Type]]="PM",IF(L78&lt;=(D78-C78),"Yes","No"),"")</f>
        <v/>
      </c>
      <c r="O78" s="62" t="str">
        <f t="shared" si="5"/>
        <v/>
      </c>
      <c r="P78"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8" s="63"/>
    </row>
    <row r="79" spans="1:17" ht="15.5" x14ac:dyDescent="0.35">
      <c r="A79" s="58"/>
      <c r="B79" s="55"/>
      <c r="C79" s="56"/>
      <c r="D79" s="56"/>
      <c r="E79" s="13"/>
      <c r="F79" s="55"/>
      <c r="G79" s="55"/>
      <c r="H79" s="57"/>
      <c r="I79" s="18"/>
      <c r="J79" s="13"/>
      <c r="K79" s="83"/>
      <c r="L79" s="14">
        <f t="shared" si="4"/>
        <v>0</v>
      </c>
      <c r="M79" s="59">
        <f t="shared" si="3"/>
        <v>0</v>
      </c>
      <c r="N79" s="61" t="str">
        <f>IF(Table2683263[[#This Row],[Fault Type]]="PM",IF(L79&lt;=(D79-C79),"Yes","No"),"")</f>
        <v/>
      </c>
      <c r="O79" s="62" t="str">
        <f t="shared" si="5"/>
        <v/>
      </c>
      <c r="P79"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79" s="63"/>
    </row>
    <row r="80" spans="1:17" ht="15.5" x14ac:dyDescent="0.35">
      <c r="A80" s="58"/>
      <c r="B80" s="55"/>
      <c r="C80" s="56"/>
      <c r="D80" s="56"/>
      <c r="E80" s="13"/>
      <c r="F80" s="55"/>
      <c r="G80" s="55"/>
      <c r="H80" s="57"/>
      <c r="I80" s="18"/>
      <c r="J80" s="13"/>
      <c r="K80" s="83"/>
      <c r="L80" s="14">
        <f t="shared" si="4"/>
        <v>0</v>
      </c>
      <c r="M80" s="59">
        <f t="shared" si="3"/>
        <v>0</v>
      </c>
      <c r="N80" s="61" t="str">
        <f>IF(Table2683263[[#This Row],[Fault Type]]="PM",IF(L80&lt;=(D80-C80),"Yes","No"),"")</f>
        <v/>
      </c>
      <c r="O80" s="62" t="str">
        <f t="shared" si="5"/>
        <v/>
      </c>
      <c r="P80"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80" s="63"/>
    </row>
    <row r="81" spans="1:17" ht="15.5" x14ac:dyDescent="0.35">
      <c r="A81" s="58"/>
      <c r="B81" s="55"/>
      <c r="C81" s="56"/>
      <c r="D81" s="56"/>
      <c r="E81" s="13"/>
      <c r="F81" s="55"/>
      <c r="G81" s="55"/>
      <c r="H81" s="57"/>
      <c r="I81" s="18"/>
      <c r="J81" s="13"/>
      <c r="K81" s="83"/>
      <c r="L81" s="14">
        <f t="shared" si="4"/>
        <v>0</v>
      </c>
      <c r="M81" s="59">
        <f t="shared" si="3"/>
        <v>0</v>
      </c>
      <c r="N81" s="61" t="str">
        <f>IF(Table2683263[[#This Row],[Fault Type]]="PM",IF(L81&lt;=(D81-C81),"Yes","No"),"")</f>
        <v/>
      </c>
      <c r="O81" s="62" t="str">
        <f t="shared" si="5"/>
        <v/>
      </c>
      <c r="P81"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81" s="63"/>
    </row>
    <row r="82" spans="1:17" ht="15.5" x14ac:dyDescent="0.35">
      <c r="A82" s="58"/>
      <c r="B82" s="55"/>
      <c r="C82" s="56"/>
      <c r="D82" s="56"/>
      <c r="E82" s="13"/>
      <c r="F82" s="55"/>
      <c r="G82" s="55"/>
      <c r="H82" s="57"/>
      <c r="I82" s="18"/>
      <c r="J82" s="13"/>
      <c r="K82" s="83"/>
      <c r="L82" s="14">
        <f t="shared" si="4"/>
        <v>0</v>
      </c>
      <c r="M82" s="59">
        <f t="shared" si="3"/>
        <v>0</v>
      </c>
      <c r="N82" s="61" t="str">
        <f>IF(Table2683263[[#This Row],[Fault Type]]="PM",IF(L82&lt;=(D82-C82),"Yes","No"),"")</f>
        <v/>
      </c>
      <c r="O82" s="62" t="str">
        <f t="shared" si="5"/>
        <v/>
      </c>
      <c r="P82"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82" s="63"/>
    </row>
    <row r="83" spans="1:17" ht="15.5" x14ac:dyDescent="0.35">
      <c r="A83" s="58"/>
      <c r="B83" s="55"/>
      <c r="C83" s="56"/>
      <c r="D83" s="56"/>
      <c r="E83" s="13"/>
      <c r="F83" s="55"/>
      <c r="G83" s="55"/>
      <c r="H83" s="57"/>
      <c r="I83" s="18"/>
      <c r="J83" s="13"/>
      <c r="K83" s="83"/>
      <c r="L83" s="14">
        <f t="shared" si="4"/>
        <v>0</v>
      </c>
      <c r="M83" s="59">
        <f t="shared" si="3"/>
        <v>0</v>
      </c>
      <c r="N83" s="61" t="str">
        <f>IF(Table2683263[[#This Row],[Fault Type]]="PM",IF(L83&lt;=(D83-C83),"Yes","No"),"")</f>
        <v/>
      </c>
      <c r="O83" s="62" t="str">
        <f t="shared" si="5"/>
        <v/>
      </c>
      <c r="P83" s="30" t="str">
        <f>IF(AND(Table2683263[[#This Row],[Name of Feeder]]&lt;&gt;"",OR(Table2683263[[#This Row],[Fault Type]]="TL",Table2683263[[#This Row],[Fault Type]]="TS",Table2683263[[#This Row],[Fault Type]]="UF",Table2683263[[#This Row],[Fault Type]]="SE")),(IF(AND(VLOOKUP(Table2683263[[#This Row],[Name of Feeder]],Main!D:E,2,0)="URBAN",ISNUMBER(SEARCH("33KV",Table2683263[[#This Row],[Name of Feeder]]))),IF(AND(Table2683263[[#This Row],[Outage Duration]]&gt;0,Table2683263[[#This Row],[Outage Duration]]&lt;=0.25),"Yes","No"),IF(AND(VLOOKUP(Table2683263[[#This Row],[Name of Feeder]],Main!D:E,2,0)="RURAL",ISNUMBER(SEARCH("33KV",Table2683263[[#This Row],[Name of Feeder]]))),IF(AND(Table2683263[[#This Row],[Outage Duration]]&gt;0,Table2683263[[#This Row],[Outage Duration]]&lt;=0.33),"Yes","No"),IF(AND(VLOOKUP(Table2683263[[#This Row],[Name of Feeder]],Main!D:E,2,0)="RURAL",ISNUMBER(SEARCH("11KV",Table2683263[[#This Row],[Name of Feeder]]))),IF(AND(Table2683263[[#This Row],[Outage Duration]]&gt;0,Table2683263[[#This Row],[Outage Duration]]&lt;=0.17),"Yes","No"),IF(AND(VLOOKUP(Table2683263[[#This Row],[Name of Feeder]],Main!D:E,2,0)="URBAN",ISNUMBER(SEARCH("11KV",Table2683263[[#This Row],[Name of Feeder]]))),IF(AND(Table2683263[[#This Row],[Outage Duration]]&gt;0,Table2683263[[#This Row],[Outage Duration]]&lt;=0.17),"Yes","No"),""))))),"")</f>
        <v/>
      </c>
      <c r="Q83" s="63"/>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Main!$F$226:$F$228</xm:f>
          </x14:formula1>
          <xm:sqref>I2:I83</xm:sqref>
        </x14:dataValidation>
        <x14:dataValidation type="list" allowBlank="1" showInputMessage="1" showErrorMessage="1" xr:uid="{00000000-0002-0000-0700-000001000000}">
          <x14:formula1>
            <xm:f>Main!$D$2:$D$196</xm:f>
          </x14:formula1>
          <xm:sqref>A2:A83</xm:sqref>
        </x14:dataValidation>
        <x14:dataValidation type="list" allowBlank="1" showInputMessage="1" showErrorMessage="1" xr:uid="{00000000-0002-0000-0700-000002000000}">
          <x14:formula1>
            <xm:f>Main!F$222:F$225</xm:f>
          </x14:formula1>
          <xm:sqref>G2:G83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6"/>
  <sheetViews>
    <sheetView zoomScale="70" zoomScaleNormal="70" workbookViewId="0">
      <selection activeCell="A2" sqref="A2:J56"/>
    </sheetView>
  </sheetViews>
  <sheetFormatPr defaultRowHeight="14.5" x14ac:dyDescent="0.35"/>
  <cols>
    <col min="1" max="1" width="27.26953125" customWidth="1"/>
    <col min="2" max="2" width="8.26953125" customWidth="1"/>
    <col min="3" max="3" width="17.26953125" customWidth="1"/>
    <col min="4" max="4" width="16" customWidth="1"/>
    <col min="5" max="5" width="16.1796875" customWidth="1"/>
    <col min="6" max="6" width="12.453125" customWidth="1"/>
    <col min="7" max="7" width="10.54296875" customWidth="1"/>
    <col min="8" max="9" width="14.1796875" customWidth="1"/>
    <col min="10" max="10" width="16.453125" customWidth="1"/>
    <col min="11" max="11" width="13.1796875" customWidth="1"/>
    <col min="12" max="12" width="15.1796875" customWidth="1"/>
    <col min="13" max="13" width="16.1796875" customWidth="1"/>
    <col min="14" max="14" width="20.81640625" customWidth="1"/>
    <col min="15" max="16" width="18.26953125" customWidth="1"/>
    <col min="17" max="17" width="19.7265625" customWidth="1"/>
    <col min="18" max="18" width="27.1796875" customWidth="1"/>
  </cols>
  <sheetData>
    <row r="1" spans="1:17" ht="47.25" customHeight="1" x14ac:dyDescent="0.35">
      <c r="A1" s="19" t="s">
        <v>147</v>
      </c>
      <c r="B1" s="19" t="s">
        <v>148</v>
      </c>
      <c r="C1" s="19" t="s">
        <v>199</v>
      </c>
      <c r="D1" s="19" t="s">
        <v>200</v>
      </c>
      <c r="E1" s="19" t="s">
        <v>192</v>
      </c>
      <c r="F1" s="19" t="s">
        <v>264</v>
      </c>
      <c r="G1" s="19" t="s">
        <v>165</v>
      </c>
      <c r="H1" s="19" t="s">
        <v>196</v>
      </c>
      <c r="I1" s="19" t="s">
        <v>338</v>
      </c>
      <c r="J1" s="19" t="s">
        <v>193</v>
      </c>
      <c r="K1" s="19" t="s">
        <v>265</v>
      </c>
      <c r="L1" s="19" t="s">
        <v>5</v>
      </c>
      <c r="M1" s="19" t="s">
        <v>166</v>
      </c>
      <c r="N1" s="19" t="s">
        <v>197</v>
      </c>
      <c r="O1" s="19" t="s">
        <v>198</v>
      </c>
      <c r="P1" s="19" t="s">
        <v>267</v>
      </c>
      <c r="Q1" s="19" t="s">
        <v>201</v>
      </c>
    </row>
    <row r="2" spans="1:17" ht="15.5" x14ac:dyDescent="0.35">
      <c r="A2" s="131" t="s">
        <v>23</v>
      </c>
      <c r="B2" s="132" t="s">
        <v>150</v>
      </c>
      <c r="C2" s="133"/>
      <c r="D2" s="133"/>
      <c r="E2" s="133">
        <v>44778.006944444445</v>
      </c>
      <c r="F2" s="132">
        <v>3</v>
      </c>
      <c r="G2" s="132" t="s">
        <v>164</v>
      </c>
      <c r="H2" s="135" t="s">
        <v>708</v>
      </c>
      <c r="I2" s="135" t="s">
        <v>334</v>
      </c>
      <c r="J2" s="133">
        <v>44778.30972222222</v>
      </c>
      <c r="K2" s="136"/>
      <c r="L2" s="14">
        <f t="shared" ref="L2:L79" si="0">J2-E2</f>
        <v>0.30277777777519077</v>
      </c>
      <c r="M2" s="31">
        <f t="shared" ref="M2:M36" si="1">L2*F2</f>
        <v>0.90833333332557231</v>
      </c>
      <c r="N2" s="15" t="str">
        <f>IF(Table2683262[[#This Row],[Fault Type]]="PM",IF(L2&lt;=(D2-C2),"Yes","No"),"")</f>
        <v/>
      </c>
      <c r="O2" s="16" t="str">
        <f t="shared" ref="O2:O79" si="2">IF(N2="No",(L2-(D2-C2)),"")</f>
        <v/>
      </c>
      <c r="P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2" s="17"/>
    </row>
    <row r="3" spans="1:17" ht="15.5" x14ac:dyDescent="0.35">
      <c r="A3" s="131" t="s">
        <v>371</v>
      </c>
      <c r="B3" s="132" t="s">
        <v>150</v>
      </c>
      <c r="C3" s="133"/>
      <c r="D3" s="133"/>
      <c r="E3" s="133">
        <v>44778.017361111109</v>
      </c>
      <c r="F3" s="132">
        <v>1.8</v>
      </c>
      <c r="G3" s="132" t="s">
        <v>164</v>
      </c>
      <c r="H3" s="135" t="s">
        <v>603</v>
      </c>
      <c r="I3" s="135" t="s">
        <v>334</v>
      </c>
      <c r="J3" s="133">
        <v>44778.447916666664</v>
      </c>
      <c r="K3" s="136"/>
      <c r="L3" s="14">
        <f t="shared" si="0"/>
        <v>0.43055555555474712</v>
      </c>
      <c r="M3" s="31">
        <f t="shared" si="1"/>
        <v>0.77499999999854485</v>
      </c>
      <c r="N3" s="15" t="str">
        <f>IF(Table2683262[[#This Row],[Fault Type]]="PM",IF(L3&lt;=(D3-C3),"Yes","No"),"")</f>
        <v/>
      </c>
      <c r="O3" s="16" t="str">
        <f t="shared" si="2"/>
        <v/>
      </c>
      <c r="P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3" s="17"/>
    </row>
    <row r="4" spans="1:17" ht="15.5" x14ac:dyDescent="0.35">
      <c r="A4" s="140" t="s">
        <v>26</v>
      </c>
      <c r="B4" s="132" t="s">
        <v>150</v>
      </c>
      <c r="C4" s="133"/>
      <c r="D4" s="133"/>
      <c r="E4" s="133">
        <v>44778.030555555553</v>
      </c>
      <c r="F4" s="132">
        <v>2.4</v>
      </c>
      <c r="G4" s="132" t="s">
        <v>164</v>
      </c>
      <c r="H4" s="141" t="s">
        <v>709</v>
      </c>
      <c r="I4" s="141" t="s">
        <v>334</v>
      </c>
      <c r="J4" s="133">
        <v>44778.309027777781</v>
      </c>
      <c r="K4" s="142"/>
      <c r="L4" s="14">
        <f>J4-E4</f>
        <v>0.27847222222771961</v>
      </c>
      <c r="M4" s="81">
        <f>L4*F4</f>
        <v>0.668333333346527</v>
      </c>
      <c r="N4" s="15" t="str">
        <f>IF(Table2683262[[#This Row],[Fault Type]]="PM",IF(L4&lt;=(D4-C4),"Yes","No"),"")</f>
        <v/>
      </c>
      <c r="O4" s="16" t="str">
        <f>IF(N4="No",(L4-(D4-C4)),"")</f>
        <v/>
      </c>
      <c r="P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 s="17"/>
    </row>
    <row r="5" spans="1:17" ht="15.5" x14ac:dyDescent="0.35">
      <c r="A5" s="140" t="s">
        <v>36</v>
      </c>
      <c r="B5" s="132" t="s">
        <v>150</v>
      </c>
      <c r="C5" s="133"/>
      <c r="D5" s="133"/>
      <c r="E5" s="133">
        <v>44778.058333333334</v>
      </c>
      <c r="F5" s="132"/>
      <c r="G5" s="132" t="s">
        <v>163</v>
      </c>
      <c r="H5" s="141" t="s">
        <v>710</v>
      </c>
      <c r="I5" s="141" t="s">
        <v>334</v>
      </c>
      <c r="J5" s="133">
        <v>44778.338194444441</v>
      </c>
      <c r="K5" s="142"/>
      <c r="L5" s="14">
        <f>J5-E5</f>
        <v>0.27986111110658385</v>
      </c>
      <c r="M5" s="81">
        <f>L5*F5</f>
        <v>0</v>
      </c>
      <c r="N5" s="15" t="str">
        <f>IF(Table2683262[[#This Row],[Fault Type]]="PM",IF(L5&lt;=(D5-C5),"Yes","No"),"")</f>
        <v/>
      </c>
      <c r="O5" s="16" t="str">
        <f>IF(N5="No",(L5-(D5-C5)),"")</f>
        <v/>
      </c>
      <c r="P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5" s="17"/>
    </row>
    <row r="6" spans="1:17" ht="15.5" x14ac:dyDescent="0.35">
      <c r="A6" s="131" t="s">
        <v>546</v>
      </c>
      <c r="B6" s="132" t="s">
        <v>150</v>
      </c>
      <c r="C6" s="133"/>
      <c r="D6" s="133"/>
      <c r="E6" s="133">
        <v>44778.134027777778</v>
      </c>
      <c r="F6" s="132">
        <v>4.4000000000000004</v>
      </c>
      <c r="G6" s="132" t="s">
        <v>163</v>
      </c>
      <c r="H6" s="132" t="s">
        <v>711</v>
      </c>
      <c r="I6" s="132" t="s">
        <v>334</v>
      </c>
      <c r="J6" s="133">
        <v>44778.1875</v>
      </c>
      <c r="K6" s="136"/>
      <c r="L6" s="14">
        <f t="shared" si="0"/>
        <v>5.3472222221898846E-2</v>
      </c>
      <c r="M6" s="31">
        <f t="shared" si="1"/>
        <v>0.23527777777635495</v>
      </c>
      <c r="N6" s="15" t="str">
        <f>IF(Table2683262[[#This Row],[Fault Type]]="PM",IF(L6&lt;=(D6-C6),"Yes","No"),"")</f>
        <v/>
      </c>
      <c r="O6" s="16" t="str">
        <f t="shared" si="2"/>
        <v/>
      </c>
      <c r="P6"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6" s="17"/>
    </row>
    <row r="7" spans="1:17" ht="15.5" x14ac:dyDescent="0.35">
      <c r="A7" s="140" t="s">
        <v>551</v>
      </c>
      <c r="B7" s="132" t="s">
        <v>150</v>
      </c>
      <c r="C7" s="133"/>
      <c r="D7" s="133"/>
      <c r="E7" s="133">
        <v>44778.134027777778</v>
      </c>
      <c r="F7" s="132"/>
      <c r="G7" s="132" t="s">
        <v>164</v>
      </c>
      <c r="H7" s="134" t="s">
        <v>712</v>
      </c>
      <c r="I7" s="134" t="s">
        <v>333</v>
      </c>
      <c r="J7" s="133">
        <v>44778.38958333333</v>
      </c>
      <c r="K7" s="142"/>
      <c r="L7" s="14">
        <f t="shared" ref="L7:L12" si="3">J7-E7</f>
        <v>0.25555555555183673</v>
      </c>
      <c r="M7" s="81">
        <f t="shared" ref="M7:M12" si="4">L7*F7</f>
        <v>0</v>
      </c>
      <c r="N7" s="15" t="str">
        <f>IF(Table2683262[[#This Row],[Fault Type]]="PM",IF(L7&lt;=(D7-C7),"Yes","No"),"")</f>
        <v/>
      </c>
      <c r="O7" s="16" t="str">
        <f t="shared" ref="O7:O12" si="5">IF(N7="No",(L7-(D7-C7)),"")</f>
        <v/>
      </c>
      <c r="P7"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7" s="17"/>
    </row>
    <row r="8" spans="1:17" ht="15.5" x14ac:dyDescent="0.35">
      <c r="A8" s="140" t="s">
        <v>314</v>
      </c>
      <c r="B8" s="132" t="s">
        <v>150</v>
      </c>
      <c r="C8" s="133"/>
      <c r="D8" s="133"/>
      <c r="E8" s="133">
        <v>44778.263888888891</v>
      </c>
      <c r="F8" s="132">
        <v>4</v>
      </c>
      <c r="G8" s="132" t="s">
        <v>164</v>
      </c>
      <c r="H8" s="134" t="s">
        <v>713</v>
      </c>
      <c r="I8" s="134" t="s">
        <v>334</v>
      </c>
      <c r="J8" s="133">
        <v>44778.331944444442</v>
      </c>
      <c r="K8" s="142"/>
      <c r="L8" s="14">
        <f t="shared" si="3"/>
        <v>6.8055555551836733E-2</v>
      </c>
      <c r="M8" s="81">
        <f t="shared" si="4"/>
        <v>0.27222222220734693</v>
      </c>
      <c r="N8" s="15" t="str">
        <f>IF(Table2683262[[#This Row],[Fault Type]]="PM",IF(L8&lt;=(D8-C8),"Yes","No"),"")</f>
        <v/>
      </c>
      <c r="O8" s="16" t="str">
        <f t="shared" si="5"/>
        <v/>
      </c>
      <c r="P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8" s="17"/>
    </row>
    <row r="9" spans="1:17" s="116" customFormat="1" ht="15.5" x14ac:dyDescent="0.35">
      <c r="A9" s="140" t="s">
        <v>134</v>
      </c>
      <c r="B9" s="132" t="s">
        <v>150</v>
      </c>
      <c r="C9" s="133"/>
      <c r="D9" s="133"/>
      <c r="E9" s="133">
        <v>44778.324305555558</v>
      </c>
      <c r="F9" s="132">
        <v>2.6</v>
      </c>
      <c r="G9" s="132" t="s">
        <v>163</v>
      </c>
      <c r="H9" s="134" t="s">
        <v>553</v>
      </c>
      <c r="I9" s="134" t="s">
        <v>334</v>
      </c>
      <c r="J9" s="133">
        <v>44778.515972222223</v>
      </c>
      <c r="K9" s="142"/>
      <c r="L9" s="14">
        <f t="shared" si="3"/>
        <v>0.19166666666569654</v>
      </c>
      <c r="M9" s="81">
        <f t="shared" si="4"/>
        <v>0.49833333333081103</v>
      </c>
      <c r="N9" s="15" t="str">
        <f>IF(Table2683262[[#This Row],[Fault Type]]="PM",IF(L9&lt;=(D9-C9),"Yes","No"),"")</f>
        <v/>
      </c>
      <c r="O9" s="16" t="str">
        <f t="shared" si="5"/>
        <v/>
      </c>
      <c r="P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9" s="144"/>
    </row>
    <row r="10" spans="1:17" s="116" customFormat="1" ht="15.5" x14ac:dyDescent="0.35">
      <c r="A10" s="140" t="s">
        <v>40</v>
      </c>
      <c r="B10" s="132" t="s">
        <v>150</v>
      </c>
      <c r="C10" s="133"/>
      <c r="D10" s="133"/>
      <c r="E10" s="133">
        <v>44778.334027777775</v>
      </c>
      <c r="F10" s="132">
        <v>13.5</v>
      </c>
      <c r="G10" s="132" t="s">
        <v>163</v>
      </c>
      <c r="H10" s="134" t="s">
        <v>508</v>
      </c>
      <c r="I10" s="134" t="s">
        <v>334</v>
      </c>
      <c r="J10" s="133">
        <v>44778.454861111109</v>
      </c>
      <c r="K10" s="142"/>
      <c r="L10" s="14">
        <f t="shared" si="3"/>
        <v>0.12083333333430346</v>
      </c>
      <c r="M10" s="81">
        <f t="shared" si="4"/>
        <v>1.6312500000130967</v>
      </c>
      <c r="N10" s="15" t="str">
        <f>IF(Table2683262[[#This Row],[Fault Type]]="PM",IF(L10&lt;=(D10-C10),"Yes","No"),"")</f>
        <v/>
      </c>
      <c r="O10" s="16" t="str">
        <f t="shared" si="5"/>
        <v/>
      </c>
      <c r="P1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10" s="144"/>
    </row>
    <row r="11" spans="1:17" ht="15.5" x14ac:dyDescent="0.35">
      <c r="A11" s="140" t="s">
        <v>36</v>
      </c>
      <c r="B11" s="132" t="s">
        <v>150</v>
      </c>
      <c r="C11" s="133"/>
      <c r="D11" s="133"/>
      <c r="E11" s="133">
        <v>44778.345138888886</v>
      </c>
      <c r="F11" s="132">
        <v>2.8</v>
      </c>
      <c r="G11" s="132" t="s">
        <v>163</v>
      </c>
      <c r="H11" s="134" t="s">
        <v>714</v>
      </c>
      <c r="I11" s="134" t="s">
        <v>334</v>
      </c>
      <c r="J11" s="133">
        <v>44778.454861111109</v>
      </c>
      <c r="K11" s="142"/>
      <c r="L11" s="14">
        <f t="shared" si="3"/>
        <v>0.10972222222335404</v>
      </c>
      <c r="M11" s="81">
        <f t="shared" si="4"/>
        <v>0.30722222222539131</v>
      </c>
      <c r="N11" s="15" t="str">
        <f>IF(Table2683262[[#This Row],[Fault Type]]="PM",IF(L11&lt;=(D11-C11),"Yes","No"),"")</f>
        <v/>
      </c>
      <c r="O11" s="16" t="str">
        <f t="shared" si="5"/>
        <v/>
      </c>
      <c r="P1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11" s="17"/>
    </row>
    <row r="12" spans="1:17" ht="15.5" x14ac:dyDescent="0.35">
      <c r="A12" s="131" t="s">
        <v>58</v>
      </c>
      <c r="B12" s="132" t="s">
        <v>150</v>
      </c>
      <c r="C12" s="133"/>
      <c r="D12" s="133"/>
      <c r="E12" s="133">
        <v>44778.344444444447</v>
      </c>
      <c r="F12" s="132">
        <v>3.3</v>
      </c>
      <c r="G12" s="132" t="s">
        <v>164</v>
      </c>
      <c r="H12" s="132" t="s">
        <v>715</v>
      </c>
      <c r="I12" s="132" t="s">
        <v>334</v>
      </c>
      <c r="J12" s="133">
        <v>44778.380555555559</v>
      </c>
      <c r="K12" s="136"/>
      <c r="L12" s="14">
        <f t="shared" si="3"/>
        <v>3.6111111112404615E-2</v>
      </c>
      <c r="M12" s="81">
        <f t="shared" si="4"/>
        <v>0.11916666667093523</v>
      </c>
      <c r="N12" s="15" t="str">
        <f>IF(Table2683262[[#This Row],[Fault Type]]="PM",IF(L12&lt;=(D12-C12),"Yes","No"),"")</f>
        <v/>
      </c>
      <c r="O12" s="16" t="str">
        <f t="shared" si="5"/>
        <v/>
      </c>
      <c r="P1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12" s="144"/>
    </row>
    <row r="13" spans="1:17" ht="15.5" x14ac:dyDescent="0.35">
      <c r="A13" s="140" t="s">
        <v>38</v>
      </c>
      <c r="B13" s="132" t="s">
        <v>150</v>
      </c>
      <c r="C13" s="133"/>
      <c r="D13" s="133"/>
      <c r="E13" s="133">
        <v>44778.388888888891</v>
      </c>
      <c r="F13" s="132">
        <v>14</v>
      </c>
      <c r="G13" s="132" t="s">
        <v>162</v>
      </c>
      <c r="H13" s="134" t="s">
        <v>508</v>
      </c>
      <c r="I13" s="134" t="s">
        <v>334</v>
      </c>
      <c r="J13" s="133">
        <v>44778.378472222219</v>
      </c>
      <c r="K13" s="142"/>
      <c r="L13" s="14">
        <f t="shared" si="0"/>
        <v>-1.0416666671517305E-2</v>
      </c>
      <c r="M13" s="31">
        <f t="shared" si="1"/>
        <v>-0.14583333340124227</v>
      </c>
      <c r="N13" s="15" t="str">
        <f>IF(Table2683262[[#This Row],[Fault Type]]="PM",IF(L13&lt;=(D13-C13),"Yes","No"),"")</f>
        <v/>
      </c>
      <c r="O13" s="16" t="str">
        <f t="shared" si="2"/>
        <v/>
      </c>
      <c r="P1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13" s="144"/>
    </row>
    <row r="14" spans="1:17" ht="15.5" x14ac:dyDescent="0.35">
      <c r="A14" s="131" t="s">
        <v>41</v>
      </c>
      <c r="B14" s="132" t="s">
        <v>150</v>
      </c>
      <c r="C14" s="133"/>
      <c r="D14" s="133"/>
      <c r="E14" s="133">
        <v>44778.392361111109</v>
      </c>
      <c r="F14" s="132">
        <v>13.2</v>
      </c>
      <c r="G14" s="132" t="s">
        <v>164</v>
      </c>
      <c r="H14" s="134" t="s">
        <v>716</v>
      </c>
      <c r="I14" s="132" t="s">
        <v>334</v>
      </c>
      <c r="J14" s="133">
        <v>44778.461111111108</v>
      </c>
      <c r="K14" s="142"/>
      <c r="L14" s="14">
        <f t="shared" si="0"/>
        <v>6.8749999998544808E-2</v>
      </c>
      <c r="M14" s="31">
        <f t="shared" si="1"/>
        <v>0.90749999998079145</v>
      </c>
      <c r="N14" s="15" t="str">
        <f>IF(Table2683262[[#This Row],[Fault Type]]="PM",IF(L14&lt;=(D14-C14),"Yes","No"),"")</f>
        <v/>
      </c>
      <c r="O14" s="16" t="str">
        <f t="shared" si="2"/>
        <v/>
      </c>
      <c r="P1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14" s="144"/>
    </row>
    <row r="15" spans="1:17" ht="15.5" x14ac:dyDescent="0.35">
      <c r="A15" s="131" t="s">
        <v>717</v>
      </c>
      <c r="B15" s="132" t="s">
        <v>150</v>
      </c>
      <c r="C15" s="133"/>
      <c r="D15" s="133"/>
      <c r="E15" s="133">
        <v>44778.486111111109</v>
      </c>
      <c r="F15" s="132">
        <v>2.7</v>
      </c>
      <c r="G15" s="132" t="s">
        <v>162</v>
      </c>
      <c r="H15" s="134" t="s">
        <v>553</v>
      </c>
      <c r="I15" s="132" t="s">
        <v>333</v>
      </c>
      <c r="J15" s="133">
        <v>44778.563888888886</v>
      </c>
      <c r="K15" s="142"/>
      <c r="L15" s="14">
        <f t="shared" si="0"/>
        <v>7.7777777776645962E-2</v>
      </c>
      <c r="M15" s="31">
        <f t="shared" si="1"/>
        <v>0.2099999999969441</v>
      </c>
      <c r="N15" s="15" t="str">
        <f>IF(Table2683262[[#This Row],[Fault Type]]="PM",IF(L15&lt;=(D15-C15),"Yes","No"),"")</f>
        <v/>
      </c>
      <c r="O15" s="16" t="str">
        <f t="shared" si="2"/>
        <v/>
      </c>
      <c r="P15"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15" s="144"/>
    </row>
    <row r="16" spans="1:17" ht="15.5" x14ac:dyDescent="0.35">
      <c r="A16" s="158" t="s">
        <v>718</v>
      </c>
      <c r="B16" s="132" t="s">
        <v>150</v>
      </c>
      <c r="C16" s="133"/>
      <c r="D16" s="133"/>
      <c r="E16" s="133">
        <v>44778.495138888888</v>
      </c>
      <c r="F16" s="132">
        <v>8.4</v>
      </c>
      <c r="G16" s="132" t="s">
        <v>164</v>
      </c>
      <c r="H16" s="132" t="s">
        <v>719</v>
      </c>
      <c r="I16" s="132" t="s">
        <v>334</v>
      </c>
      <c r="J16" s="133">
        <v>44778.520138888889</v>
      </c>
      <c r="K16" s="136"/>
      <c r="L16" s="14">
        <f t="shared" si="0"/>
        <v>2.5000000001455192E-2</v>
      </c>
      <c r="M16" s="31">
        <f t="shared" si="1"/>
        <v>0.21000000001222363</v>
      </c>
      <c r="N16" s="15" t="str">
        <f>IF(Table2683262[[#This Row],[Fault Type]]="PM",IF(L16&lt;=(D16-C16),"Yes","No"),"")</f>
        <v/>
      </c>
      <c r="O16" s="16" t="str">
        <f t="shared" si="2"/>
        <v/>
      </c>
      <c r="P16"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16" s="144"/>
    </row>
    <row r="17" spans="1:17" ht="15.5" x14ac:dyDescent="0.35">
      <c r="A17" s="131" t="s">
        <v>720</v>
      </c>
      <c r="B17" s="132" t="s">
        <v>150</v>
      </c>
      <c r="C17" s="133"/>
      <c r="D17" s="133"/>
      <c r="E17" s="133">
        <v>44778.494444444441</v>
      </c>
      <c r="F17" s="132">
        <v>2.2000000000000002</v>
      </c>
      <c r="G17" s="132" t="s">
        <v>164</v>
      </c>
      <c r="H17" s="132" t="s">
        <v>721</v>
      </c>
      <c r="I17" s="132" t="s">
        <v>333</v>
      </c>
      <c r="J17" s="133">
        <v>44778.513888888891</v>
      </c>
      <c r="K17" s="136"/>
      <c r="L17" s="14">
        <f t="shared" si="0"/>
        <v>1.9444444449618459E-2</v>
      </c>
      <c r="M17" s="31">
        <f t="shared" si="1"/>
        <v>4.2777777789160615E-2</v>
      </c>
      <c r="N17" s="15" t="str">
        <f>IF(Table2683262[[#This Row],[Fault Type]]="PM",IF(L17&lt;=(D17-C17),"Yes","No"),"")</f>
        <v/>
      </c>
      <c r="O17" s="16" t="str">
        <f t="shared" si="2"/>
        <v/>
      </c>
      <c r="P17"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17" s="144"/>
    </row>
    <row r="18" spans="1:17" ht="15.5" x14ac:dyDescent="0.35">
      <c r="A18" s="131" t="s">
        <v>546</v>
      </c>
      <c r="B18" s="132" t="s">
        <v>150</v>
      </c>
      <c r="C18" s="133"/>
      <c r="D18" s="133"/>
      <c r="E18" s="133">
        <v>44778.500694444447</v>
      </c>
      <c r="F18" s="132">
        <v>2.1</v>
      </c>
      <c r="G18" s="132" t="s">
        <v>163</v>
      </c>
      <c r="H18" s="132" t="s">
        <v>722</v>
      </c>
      <c r="I18" s="132" t="s">
        <v>333</v>
      </c>
      <c r="J18" s="133">
        <v>44778.527083333334</v>
      </c>
      <c r="K18" s="136"/>
      <c r="L18" s="14">
        <f>J18-E18</f>
        <v>2.6388888887595385E-2</v>
      </c>
      <c r="M18" s="81">
        <f>L18*F18</f>
        <v>5.5416666663950315E-2</v>
      </c>
      <c r="N18" s="15" t="str">
        <f>IF(Table2683262[[#This Row],[Fault Type]]="PM",IF(L18&lt;=(D18-C18),"Yes","No"),"")</f>
        <v/>
      </c>
      <c r="O18" s="16" t="str">
        <f>IF(N18="No",(L18-(D18-C18)),"")</f>
        <v/>
      </c>
      <c r="P18"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18" s="144"/>
    </row>
    <row r="19" spans="1:17" ht="15.5" x14ac:dyDescent="0.35">
      <c r="A19" s="140" t="s">
        <v>113</v>
      </c>
      <c r="B19" s="132" t="s">
        <v>150</v>
      </c>
      <c r="C19" s="133"/>
      <c r="D19" s="133"/>
      <c r="E19" s="133">
        <v>44778.506249999999</v>
      </c>
      <c r="F19" s="132">
        <v>1.6</v>
      </c>
      <c r="G19" s="132"/>
      <c r="H19" s="139" t="s">
        <v>723</v>
      </c>
      <c r="I19" s="134" t="s">
        <v>333</v>
      </c>
      <c r="J19" s="133">
        <v>44778.536111111112</v>
      </c>
      <c r="K19" s="143"/>
      <c r="L19" s="14">
        <f t="shared" si="0"/>
        <v>2.9861111113859806E-2</v>
      </c>
      <c r="M19" s="31">
        <f t="shared" si="1"/>
        <v>4.7777777782175693E-2</v>
      </c>
      <c r="N19" s="15" t="str">
        <f>IF(Table2683262[[#This Row],[Fault Type]]="PM",IF(L19&lt;=(D19-C19),"Yes","No"),"")</f>
        <v/>
      </c>
      <c r="O19" s="16" t="str">
        <f t="shared" si="2"/>
        <v/>
      </c>
      <c r="P1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19" s="144"/>
    </row>
    <row r="20" spans="1:17" ht="15.5" x14ac:dyDescent="0.35">
      <c r="A20" s="140" t="s">
        <v>724</v>
      </c>
      <c r="B20" s="132" t="s">
        <v>150</v>
      </c>
      <c r="C20" s="133"/>
      <c r="D20" s="133"/>
      <c r="E20" s="133">
        <v>44778.543749999997</v>
      </c>
      <c r="F20" s="132">
        <v>2.7</v>
      </c>
      <c r="G20" s="132" t="s">
        <v>164</v>
      </c>
      <c r="H20" s="139" t="s">
        <v>508</v>
      </c>
      <c r="I20" s="134" t="s">
        <v>334</v>
      </c>
      <c r="J20" s="133">
        <v>44778</v>
      </c>
      <c r="K20" s="143"/>
      <c r="L20" s="14">
        <f t="shared" si="0"/>
        <v>-0.54374999999708962</v>
      </c>
      <c r="M20" s="31">
        <f t="shared" si="1"/>
        <v>-1.468124999992142</v>
      </c>
      <c r="N20" s="15" t="str">
        <f>IF(Table2683262[[#This Row],[Fault Type]]="PM",IF(L20&lt;=(D20-C20),"Yes","No"),"")</f>
        <v/>
      </c>
      <c r="O20" s="16" t="str">
        <f t="shared" si="2"/>
        <v/>
      </c>
      <c r="P20"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20" s="144"/>
    </row>
    <row r="21" spans="1:17" ht="15.5" x14ac:dyDescent="0.35">
      <c r="A21" s="131" t="s">
        <v>37</v>
      </c>
      <c r="B21" s="132" t="s">
        <v>150</v>
      </c>
      <c r="C21" s="133"/>
      <c r="D21" s="133"/>
      <c r="E21" s="133">
        <v>44778.542361111111</v>
      </c>
      <c r="F21" s="132">
        <v>8.8000000000000007</v>
      </c>
      <c r="G21" s="132" t="s">
        <v>164</v>
      </c>
      <c r="H21" s="132" t="s">
        <v>725</v>
      </c>
      <c r="I21" s="132" t="s">
        <v>334</v>
      </c>
      <c r="J21" s="133">
        <v>44778.696527777778</v>
      </c>
      <c r="K21" s="136"/>
      <c r="L21" s="14">
        <f t="shared" si="0"/>
        <v>0.15416666666715173</v>
      </c>
      <c r="M21" s="31">
        <f t="shared" si="1"/>
        <v>1.3566666666709353</v>
      </c>
      <c r="N21" s="15" t="str">
        <f>IF(Table2683262[[#This Row],[Fault Type]]="PM",IF(L21&lt;=(D21-C21),"Yes","No"),"")</f>
        <v/>
      </c>
      <c r="O21" s="16" t="str">
        <f t="shared" si="2"/>
        <v/>
      </c>
      <c r="P2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1" s="144"/>
    </row>
    <row r="22" spans="1:17" ht="15.5" x14ac:dyDescent="0.35">
      <c r="A22" s="131" t="s">
        <v>500</v>
      </c>
      <c r="B22" s="132" t="s">
        <v>150</v>
      </c>
      <c r="C22" s="133"/>
      <c r="D22" s="133"/>
      <c r="E22" s="133">
        <v>44778.558333333334</v>
      </c>
      <c r="F22" s="132">
        <v>0.1</v>
      </c>
      <c r="G22" s="132" t="s">
        <v>164</v>
      </c>
      <c r="H22" s="132" t="s">
        <v>726</v>
      </c>
      <c r="I22" s="132" t="s">
        <v>333</v>
      </c>
      <c r="J22" s="133">
        <v>44778.815972222219</v>
      </c>
      <c r="K22" s="136"/>
      <c r="L22" s="14">
        <f t="shared" si="0"/>
        <v>0.257638888884685</v>
      </c>
      <c r="M22" s="31">
        <f t="shared" si="1"/>
        <v>2.5763888888468502E-2</v>
      </c>
      <c r="N22" s="15" t="str">
        <f>IF(Table2683262[[#This Row],[Fault Type]]="PM",IF(L22&lt;=(D22-C22),"Yes","No"),"")</f>
        <v/>
      </c>
      <c r="O22" s="16" t="str">
        <f t="shared" si="2"/>
        <v/>
      </c>
      <c r="P2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22" s="144"/>
    </row>
    <row r="23" spans="1:17" ht="15.5" x14ac:dyDescent="0.35">
      <c r="A23" s="131" t="s">
        <v>546</v>
      </c>
      <c r="B23" s="132" t="s">
        <v>158</v>
      </c>
      <c r="C23" s="133"/>
      <c r="D23" s="133"/>
      <c r="E23" s="133">
        <v>44778.533333333333</v>
      </c>
      <c r="F23" s="132">
        <v>0.7</v>
      </c>
      <c r="G23" s="132"/>
      <c r="H23" s="132" t="s">
        <v>727</v>
      </c>
      <c r="I23" s="132" t="s">
        <v>333</v>
      </c>
      <c r="J23" s="133">
        <v>44778.538194444445</v>
      </c>
      <c r="K23" s="136"/>
      <c r="L23" s="14">
        <f>J23-E23</f>
        <v>4.8611111124046147E-3</v>
      </c>
      <c r="M23" s="81">
        <f>L23*F23</f>
        <v>3.4027777786832299E-3</v>
      </c>
      <c r="N23" s="15" t="str">
        <f>IF(Table2683262[[#This Row],[Fault Type]]="PM",IF(L23&lt;=(D23-C23),"Yes","No"),"")</f>
        <v/>
      </c>
      <c r="O23" s="16" t="str">
        <f>IF(N23="No",(L23-(D23-C23)),"")</f>
        <v/>
      </c>
      <c r="P23"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23" s="144"/>
    </row>
    <row r="24" spans="1:17" ht="15.5" x14ac:dyDescent="0.35">
      <c r="A24" s="140" t="s">
        <v>309</v>
      </c>
      <c r="B24" s="132" t="s">
        <v>158</v>
      </c>
      <c r="C24" s="133"/>
      <c r="D24" s="133"/>
      <c r="E24" s="133">
        <v>44778.533333333333</v>
      </c>
      <c r="F24" s="132">
        <v>12</v>
      </c>
      <c r="G24" s="132"/>
      <c r="H24" s="139" t="s">
        <v>727</v>
      </c>
      <c r="I24" s="134" t="s">
        <v>333</v>
      </c>
      <c r="J24" s="133">
        <v>44778.538194444445</v>
      </c>
      <c r="K24" s="143"/>
      <c r="L24" s="14">
        <f t="shared" si="0"/>
        <v>4.8611111124046147E-3</v>
      </c>
      <c r="M24" s="31">
        <f t="shared" si="1"/>
        <v>5.8333333348855376E-2</v>
      </c>
      <c r="N24" s="15" t="str">
        <f>IF(Table2683262[[#This Row],[Fault Type]]="PM",IF(L24&lt;=(D24-C24),"Yes","No"),"")</f>
        <v/>
      </c>
      <c r="O24" s="16" t="str">
        <f t="shared" si="2"/>
        <v/>
      </c>
      <c r="P2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4" s="144"/>
    </row>
    <row r="25" spans="1:17" ht="15.5" x14ac:dyDescent="0.35">
      <c r="A25" s="131" t="s">
        <v>308</v>
      </c>
      <c r="B25" s="132" t="s">
        <v>150</v>
      </c>
      <c r="C25" s="133"/>
      <c r="D25" s="133"/>
      <c r="E25" s="133">
        <v>44778.554166666669</v>
      </c>
      <c r="F25" s="132">
        <v>0.8</v>
      </c>
      <c r="G25" s="132" t="s">
        <v>164</v>
      </c>
      <c r="H25" s="132" t="s">
        <v>728</v>
      </c>
      <c r="I25" s="132" t="s">
        <v>334</v>
      </c>
      <c r="J25" s="133">
        <v>44778.879166666666</v>
      </c>
      <c r="K25" s="142"/>
      <c r="L25" s="14">
        <f>J25-E25</f>
        <v>0.32499999999708962</v>
      </c>
      <c r="M25" s="81">
        <f>L25*F25</f>
        <v>0.2599999999976717</v>
      </c>
      <c r="N25" s="15" t="str">
        <f>IF(Table2683262[[#This Row],[Fault Type]]="PM",IF(L25&lt;=(D25-C25),"Yes","No"),"")</f>
        <v/>
      </c>
      <c r="O25" s="16" t="str">
        <f>IF(N25="No",(L25-(D25-C25)),"")</f>
        <v/>
      </c>
      <c r="P2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5" s="144"/>
    </row>
    <row r="26" spans="1:17" ht="15.5" x14ac:dyDescent="0.35">
      <c r="A26" s="158" t="s">
        <v>17</v>
      </c>
      <c r="B26" s="132" t="s">
        <v>150</v>
      </c>
      <c r="C26" s="133"/>
      <c r="D26" s="133"/>
      <c r="E26" s="133">
        <v>44778.56527777778</v>
      </c>
      <c r="F26" s="132">
        <v>14.5</v>
      </c>
      <c r="G26" s="132" t="s">
        <v>164</v>
      </c>
      <c r="H26" s="139" t="s">
        <v>729</v>
      </c>
      <c r="I26" s="134" t="s">
        <v>334</v>
      </c>
      <c r="J26" s="133">
        <v>44778.636805555558</v>
      </c>
      <c r="K26" s="143"/>
      <c r="L26" s="14">
        <f t="shared" si="0"/>
        <v>7.1527777778101154E-2</v>
      </c>
      <c r="M26" s="31">
        <f t="shared" si="1"/>
        <v>1.0371527777824667</v>
      </c>
      <c r="N26" s="15" t="str">
        <f>IF(Table2683262[[#This Row],[Fault Type]]="PM",IF(L26&lt;=(D26-C26),"Yes","No"),"")</f>
        <v/>
      </c>
      <c r="O26" s="16" t="str">
        <f t="shared" si="2"/>
        <v/>
      </c>
      <c r="P2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6" s="144"/>
    </row>
    <row r="27" spans="1:17" ht="15.5" x14ac:dyDescent="0.35">
      <c r="A27" s="131" t="s">
        <v>30</v>
      </c>
      <c r="B27" s="132" t="s">
        <v>150</v>
      </c>
      <c r="C27" s="133"/>
      <c r="D27" s="133"/>
      <c r="E27" s="133">
        <v>44778.621527777781</v>
      </c>
      <c r="F27" s="132">
        <v>8.5</v>
      </c>
      <c r="G27" s="132" t="s">
        <v>162</v>
      </c>
      <c r="H27" s="132" t="s">
        <v>508</v>
      </c>
      <c r="I27" s="134" t="s">
        <v>334</v>
      </c>
      <c r="J27" s="133">
        <v>44778.627083333333</v>
      </c>
      <c r="K27" s="136"/>
      <c r="L27" s="14">
        <f t="shared" si="0"/>
        <v>5.5555555518367328E-3</v>
      </c>
      <c r="M27" s="31">
        <f t="shared" si="1"/>
        <v>4.7222222190612229E-2</v>
      </c>
      <c r="N27" s="15" t="str">
        <f>IF(Table2683262[[#This Row],[Fault Type]]="PM",IF(L27&lt;=(D27-C27),"Yes","No"),"")</f>
        <v/>
      </c>
      <c r="O27" s="16" t="str">
        <f t="shared" si="2"/>
        <v/>
      </c>
      <c r="P2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7" s="144"/>
    </row>
    <row r="28" spans="1:17" ht="15.5" x14ac:dyDescent="0.35">
      <c r="A28" s="131" t="s">
        <v>730</v>
      </c>
      <c r="B28" s="132" t="s">
        <v>150</v>
      </c>
      <c r="C28" s="133"/>
      <c r="D28" s="133"/>
      <c r="E28" s="133">
        <v>44778.620138888888</v>
      </c>
      <c r="F28" s="132">
        <v>3.9</v>
      </c>
      <c r="G28" s="132" t="s">
        <v>162</v>
      </c>
      <c r="H28" s="132" t="s">
        <v>508</v>
      </c>
      <c r="I28" s="132" t="s">
        <v>334</v>
      </c>
      <c r="J28" s="133">
        <v>44778</v>
      </c>
      <c r="K28" s="136"/>
      <c r="L28" s="14">
        <f t="shared" si="0"/>
        <v>-0.62013888888759539</v>
      </c>
      <c r="M28" s="31">
        <f t="shared" si="1"/>
        <v>-2.4185416666616217</v>
      </c>
      <c r="N28" s="15" t="str">
        <f>IF(Table2683262[[#This Row],[Fault Type]]="PM",IF(L28&lt;=(D28-C28),"Yes","No"),"")</f>
        <v/>
      </c>
      <c r="O28" s="16" t="str">
        <f t="shared" si="2"/>
        <v/>
      </c>
      <c r="P28"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28" s="144"/>
    </row>
    <row r="29" spans="1:17" ht="15.5" x14ac:dyDescent="0.35">
      <c r="A29" s="131" t="s">
        <v>43</v>
      </c>
      <c r="B29" s="132" t="s">
        <v>150</v>
      </c>
      <c r="C29" s="133"/>
      <c r="D29" s="133"/>
      <c r="E29" s="133">
        <v>44778.623611111114</v>
      </c>
      <c r="F29" s="132">
        <v>2.2999999999999998</v>
      </c>
      <c r="G29" s="132" t="s">
        <v>164</v>
      </c>
      <c r="H29" s="134" t="s">
        <v>731</v>
      </c>
      <c r="I29" s="134" t="s">
        <v>334</v>
      </c>
      <c r="J29" s="133">
        <v>44778.861111111109</v>
      </c>
      <c r="K29" s="142"/>
      <c r="L29" s="14">
        <f>J29-E29</f>
        <v>0.23749999999563443</v>
      </c>
      <c r="M29" s="81">
        <f>L29*F29</f>
        <v>0.54624999998995916</v>
      </c>
      <c r="N29" s="15" t="str">
        <f>IF(Table2683262[[#This Row],[Fault Type]]="PM",IF(L29&lt;=(D29-C29),"Yes","No"),"")</f>
        <v/>
      </c>
      <c r="O29" s="16" t="str">
        <f>IF(N29="No",(L29-(D29-C29)),"")</f>
        <v/>
      </c>
      <c r="P2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29" s="144"/>
    </row>
    <row r="30" spans="1:17" ht="15.5" x14ac:dyDescent="0.35">
      <c r="A30" s="158" t="s">
        <v>23</v>
      </c>
      <c r="B30" s="132" t="s">
        <v>150</v>
      </c>
      <c r="C30" s="133"/>
      <c r="D30" s="133"/>
      <c r="E30" s="133">
        <v>44778.630555555559</v>
      </c>
      <c r="F30" s="132">
        <v>4</v>
      </c>
      <c r="G30" s="132" t="s">
        <v>162</v>
      </c>
      <c r="H30" s="139" t="s">
        <v>508</v>
      </c>
      <c r="I30" s="134" t="s">
        <v>334</v>
      </c>
      <c r="J30" s="133">
        <v>44778.636805555558</v>
      </c>
      <c r="K30" s="143"/>
      <c r="L30" s="14">
        <f t="shared" si="0"/>
        <v>6.2499999985448085E-3</v>
      </c>
      <c r="M30" s="31">
        <f t="shared" si="1"/>
        <v>2.4999999994179234E-2</v>
      </c>
      <c r="N30" s="15" t="str">
        <f>IF(Table2683262[[#This Row],[Fault Type]]="PM",IF(L30&lt;=(D30-C30),"Yes","No"),"")</f>
        <v/>
      </c>
      <c r="O30" s="16" t="str">
        <f t="shared" si="2"/>
        <v/>
      </c>
      <c r="P3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0" s="144"/>
    </row>
    <row r="31" spans="1:17" ht="15.5" x14ac:dyDescent="0.35">
      <c r="A31" s="131" t="s">
        <v>49</v>
      </c>
      <c r="B31" s="132" t="s">
        <v>150</v>
      </c>
      <c r="C31" s="133"/>
      <c r="D31" s="133"/>
      <c r="E31" s="133">
        <v>44778.640277777777</v>
      </c>
      <c r="F31" s="132">
        <v>0.8</v>
      </c>
      <c r="G31" s="159" t="s">
        <v>162</v>
      </c>
      <c r="H31" s="132" t="s">
        <v>508</v>
      </c>
      <c r="I31" s="134" t="s">
        <v>526</v>
      </c>
      <c r="J31" s="133">
        <v>44778</v>
      </c>
      <c r="K31" s="136"/>
      <c r="L31" s="14">
        <f t="shared" si="0"/>
        <v>-0.64027777777664596</v>
      </c>
      <c r="M31" s="31">
        <f t="shared" si="1"/>
        <v>-0.51222222222131675</v>
      </c>
      <c r="N31" s="15" t="str">
        <f>IF(Table2683262[[#This Row],[Fault Type]]="PM",IF(L31&lt;=(D31-C31),"Yes","No"),"")</f>
        <v/>
      </c>
      <c r="O31" s="16" t="str">
        <f t="shared" si="2"/>
        <v/>
      </c>
      <c r="P3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31" s="144"/>
    </row>
    <row r="32" spans="1:17" ht="15.5" x14ac:dyDescent="0.35">
      <c r="A32" s="131" t="s">
        <v>371</v>
      </c>
      <c r="B32" s="132" t="s">
        <v>150</v>
      </c>
      <c r="C32" s="133"/>
      <c r="D32" s="133"/>
      <c r="E32" s="133">
        <v>44778.645833333336</v>
      </c>
      <c r="F32" s="134">
        <v>1</v>
      </c>
      <c r="G32" s="159" t="s">
        <v>164</v>
      </c>
      <c r="H32" s="134" t="s">
        <v>732</v>
      </c>
      <c r="I32" s="138" t="s">
        <v>333</v>
      </c>
      <c r="J32" s="133">
        <v>44778.760416666664</v>
      </c>
      <c r="K32" s="136"/>
      <c r="L32" s="14">
        <f>J32-E32</f>
        <v>0.11458333332848269</v>
      </c>
      <c r="M32" s="81">
        <f>L32*F32</f>
        <v>0.11458333332848269</v>
      </c>
      <c r="N32" s="15" t="str">
        <f>IF(Table2683262[[#This Row],[Fault Type]]="PM",IF(L32&lt;=(D32-C32),"Yes","No"),"")</f>
        <v/>
      </c>
      <c r="O32" s="16" t="str">
        <f>IF(N32="No",(L32-(D32-C32)),"")</f>
        <v/>
      </c>
      <c r="P3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2" s="144"/>
    </row>
    <row r="33" spans="1:17" ht="15.5" x14ac:dyDescent="0.35">
      <c r="A33" s="131" t="s">
        <v>17</v>
      </c>
      <c r="B33" s="132" t="s">
        <v>150</v>
      </c>
      <c r="C33" s="133"/>
      <c r="D33" s="133"/>
      <c r="E33" s="133">
        <v>44778.56527777778</v>
      </c>
      <c r="F33" s="134">
        <v>14.5</v>
      </c>
      <c r="G33" s="137" t="s">
        <v>164</v>
      </c>
      <c r="H33" s="134" t="s">
        <v>733</v>
      </c>
      <c r="I33" s="138" t="s">
        <v>333</v>
      </c>
      <c r="J33" s="133">
        <v>44778.664583333331</v>
      </c>
      <c r="K33" s="136"/>
      <c r="L33" s="14">
        <f t="shared" si="0"/>
        <v>9.9305555551836733E-2</v>
      </c>
      <c r="M33" s="31">
        <f t="shared" si="1"/>
        <v>1.4399305555016326</v>
      </c>
      <c r="N33" s="15" t="str">
        <f>IF(Table2683262[[#This Row],[Fault Type]]="PM",IF(L33&lt;=(D33-C33),"Yes","No"),"")</f>
        <v/>
      </c>
      <c r="O33" s="16" t="str">
        <f t="shared" si="2"/>
        <v/>
      </c>
      <c r="P3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3" s="17"/>
    </row>
    <row r="34" spans="1:17" ht="15.5" x14ac:dyDescent="0.35">
      <c r="A34" s="140" t="s">
        <v>315</v>
      </c>
      <c r="B34" s="132" t="s">
        <v>150</v>
      </c>
      <c r="C34" s="133"/>
      <c r="D34" s="133"/>
      <c r="E34" s="133">
        <v>44778.64166666667</v>
      </c>
      <c r="F34" s="134">
        <v>0.2</v>
      </c>
      <c r="G34" s="132" t="s">
        <v>164</v>
      </c>
      <c r="H34" s="139" t="s">
        <v>734</v>
      </c>
      <c r="I34" s="138" t="s">
        <v>334</v>
      </c>
      <c r="J34" s="133">
        <v>44778.847222222219</v>
      </c>
      <c r="K34" s="143"/>
      <c r="L34" s="14">
        <f>J34-E34</f>
        <v>0.20555555554892635</v>
      </c>
      <c r="M34" s="81">
        <f>L34*F34</f>
        <v>4.111111110978527E-2</v>
      </c>
      <c r="N34" s="15" t="str">
        <f>IF(Table2683262[[#This Row],[Fault Type]]="PM",IF(L34&lt;=(D34-C34),"Yes","No"),"")</f>
        <v/>
      </c>
      <c r="O34" s="16" t="str">
        <f>IF(N34="No",(L34-(D34-C34)),"")</f>
        <v/>
      </c>
      <c r="P3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4" s="17"/>
    </row>
    <row r="35" spans="1:17" ht="15.5" x14ac:dyDescent="0.35">
      <c r="A35" s="140" t="s">
        <v>72</v>
      </c>
      <c r="B35" s="132" t="s">
        <v>150</v>
      </c>
      <c r="C35" s="133"/>
      <c r="D35" s="133"/>
      <c r="E35" s="133">
        <v>44778.65625</v>
      </c>
      <c r="F35" s="134">
        <v>2.5</v>
      </c>
      <c r="G35" s="132" t="s">
        <v>162</v>
      </c>
      <c r="H35" s="139" t="s">
        <v>735</v>
      </c>
      <c r="I35" s="138" t="s">
        <v>333</v>
      </c>
      <c r="J35" s="133">
        <v>44778.677777777775</v>
      </c>
      <c r="K35" s="143"/>
      <c r="L35" s="14">
        <f t="shared" si="0"/>
        <v>2.1527777775190771E-2</v>
      </c>
      <c r="M35" s="31">
        <f t="shared" si="1"/>
        <v>5.3819444437976927E-2</v>
      </c>
      <c r="N35" s="15" t="str">
        <f>IF(Table2683262[[#This Row],[Fault Type]]="PM",IF(L35&lt;=(D35-C35),"Yes","No"),"")</f>
        <v/>
      </c>
      <c r="O35" s="16" t="str">
        <f t="shared" si="2"/>
        <v/>
      </c>
      <c r="P3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5" s="17"/>
    </row>
    <row r="36" spans="1:17" ht="15.5" x14ac:dyDescent="0.35">
      <c r="A36" s="131" t="s">
        <v>23</v>
      </c>
      <c r="B36" s="132" t="s">
        <v>150</v>
      </c>
      <c r="C36" s="133"/>
      <c r="D36" s="133"/>
      <c r="E36" s="133">
        <v>44778.671527777777</v>
      </c>
      <c r="F36" s="132">
        <v>5</v>
      </c>
      <c r="G36" s="132" t="s">
        <v>164</v>
      </c>
      <c r="H36" s="132" t="s">
        <v>502</v>
      </c>
      <c r="I36" s="134" t="s">
        <v>334</v>
      </c>
      <c r="J36" s="133">
        <v>44778.770138888889</v>
      </c>
      <c r="K36" s="136"/>
      <c r="L36" s="14">
        <f t="shared" si="0"/>
        <v>9.8611111112404615E-2</v>
      </c>
      <c r="M36" s="31">
        <f t="shared" si="1"/>
        <v>0.49305555556202307</v>
      </c>
      <c r="N36" s="15" t="str">
        <f>IF(Table2683262[[#This Row],[Fault Type]]="PM",IF(L36&lt;=(D36-C36),"Yes","No"),"")</f>
        <v/>
      </c>
      <c r="O36" s="16" t="str">
        <f t="shared" si="2"/>
        <v/>
      </c>
      <c r="P3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6" s="17"/>
    </row>
    <row r="37" spans="1:17" ht="15.5" x14ac:dyDescent="0.35">
      <c r="A37" s="140" t="s">
        <v>370</v>
      </c>
      <c r="B37" s="132" t="s">
        <v>150</v>
      </c>
      <c r="C37" s="133"/>
      <c r="D37" s="133"/>
      <c r="E37" s="133">
        <v>44778.677083333336</v>
      </c>
      <c r="F37" s="132">
        <v>7</v>
      </c>
      <c r="G37" s="132" t="s">
        <v>164</v>
      </c>
      <c r="H37" s="139" t="s">
        <v>736</v>
      </c>
      <c r="I37" s="134" t="s">
        <v>334</v>
      </c>
      <c r="J37" s="133">
        <v>44778.762499999997</v>
      </c>
      <c r="K37" s="143"/>
      <c r="L37" s="14">
        <f t="shared" si="0"/>
        <v>8.5416666661330964E-2</v>
      </c>
      <c r="M37" s="31">
        <f t="shared" ref="M37:M93" si="6">L37*F37</f>
        <v>0.59791666662931675</v>
      </c>
      <c r="N37" s="15" t="str">
        <f>IF(Table2683262[[#This Row],[Fault Type]]="PM",IF(L37&lt;=(D37-C37),"Yes","No"),"")</f>
        <v/>
      </c>
      <c r="O37" s="16" t="str">
        <f t="shared" si="2"/>
        <v/>
      </c>
      <c r="P3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7" s="17"/>
    </row>
    <row r="38" spans="1:17" ht="15.5" x14ac:dyDescent="0.35">
      <c r="A38" s="78" t="s">
        <v>737</v>
      </c>
      <c r="B38" s="12" t="s">
        <v>158</v>
      </c>
      <c r="C38" s="13"/>
      <c r="D38" s="13"/>
      <c r="E38" s="13">
        <v>44778.78125</v>
      </c>
      <c r="F38" s="18">
        <v>4</v>
      </c>
      <c r="G38" s="12"/>
      <c r="H38" s="57" t="s">
        <v>738</v>
      </c>
      <c r="I38" s="18"/>
      <c r="J38" s="13">
        <v>44778.78125</v>
      </c>
      <c r="K38" s="83"/>
      <c r="L38" s="14">
        <f>J38-E38</f>
        <v>0</v>
      </c>
      <c r="M38" s="81">
        <f>L38*F38</f>
        <v>0</v>
      </c>
      <c r="N38" s="15" t="str">
        <f>IF(Table2683262[[#This Row],[Fault Type]]="PM",IF(L38&lt;=(D38-C38),"Yes","No"),"")</f>
        <v/>
      </c>
      <c r="O38" s="16" t="str">
        <f>IF(N38="No",(L38-(D38-C38)),"")</f>
        <v/>
      </c>
      <c r="P38" s="30" t="e">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#N/A</v>
      </c>
      <c r="Q38" s="17"/>
    </row>
    <row r="39" spans="1:17" ht="15.5" x14ac:dyDescent="0.35">
      <c r="A39" s="4" t="s">
        <v>37</v>
      </c>
      <c r="B39" s="12" t="s">
        <v>150</v>
      </c>
      <c r="C39" s="13"/>
      <c r="D39" s="13"/>
      <c r="E39" s="13">
        <v>44778.542361111111</v>
      </c>
      <c r="F39" s="18">
        <v>4</v>
      </c>
      <c r="G39" s="12" t="s">
        <v>164</v>
      </c>
      <c r="H39" s="18" t="s">
        <v>739</v>
      </c>
      <c r="I39" s="18" t="s">
        <v>334</v>
      </c>
      <c r="J39" s="13">
        <v>44778.696527777778</v>
      </c>
      <c r="K39" s="32"/>
      <c r="L39" s="14">
        <f t="shared" si="0"/>
        <v>0.15416666666715173</v>
      </c>
      <c r="M39" s="31">
        <f t="shared" si="6"/>
        <v>0.61666666666860692</v>
      </c>
      <c r="N39" s="15" t="str">
        <f>IF(Table2683262[[#This Row],[Fault Type]]="PM",IF(L39&lt;=(D39-C39),"Yes","No"),"")</f>
        <v/>
      </c>
      <c r="O39" s="16" t="str">
        <f t="shared" si="2"/>
        <v/>
      </c>
      <c r="P3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39" s="17"/>
    </row>
    <row r="40" spans="1:17" ht="15.5" x14ac:dyDescent="0.35">
      <c r="A40" s="4" t="s">
        <v>38</v>
      </c>
      <c r="B40" s="12" t="s">
        <v>156</v>
      </c>
      <c r="C40" s="13">
        <v>44778.6875</v>
      </c>
      <c r="D40" s="13">
        <v>44689.708333333336</v>
      </c>
      <c r="E40" s="13">
        <v>44778.709027777775</v>
      </c>
      <c r="F40" s="18"/>
      <c r="G40" s="12"/>
      <c r="H40" s="18" t="s">
        <v>740</v>
      </c>
      <c r="I40" s="12"/>
      <c r="J40" s="13">
        <v>44778.743055555555</v>
      </c>
      <c r="K40" s="32"/>
      <c r="L40" s="14">
        <f t="shared" si="0"/>
        <v>3.4027777779556345E-2</v>
      </c>
      <c r="M40" s="31">
        <f t="shared" si="6"/>
        <v>0</v>
      </c>
      <c r="N40" s="15" t="str">
        <f>IF(Table2683262[[#This Row],[Fault Type]]="PM",IF(L40&lt;=(D40-C40),"Yes","No"),"")</f>
        <v>No</v>
      </c>
      <c r="O40" s="16">
        <f t="shared" si="2"/>
        <v>89.013194444443798</v>
      </c>
      <c r="P4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40" s="17"/>
    </row>
    <row r="41" spans="1:17" ht="15.5" x14ac:dyDescent="0.35">
      <c r="A41" s="4" t="s">
        <v>371</v>
      </c>
      <c r="B41" s="12" t="s">
        <v>150</v>
      </c>
      <c r="C41" s="13"/>
      <c r="D41" s="13"/>
      <c r="E41" s="13">
        <v>44778.704861111109</v>
      </c>
      <c r="F41" s="18">
        <v>6.7</v>
      </c>
      <c r="G41" s="12" t="s">
        <v>164</v>
      </c>
      <c r="H41" s="18" t="s">
        <v>741</v>
      </c>
      <c r="I41" s="18" t="s">
        <v>333</v>
      </c>
      <c r="J41" s="13">
        <v>44778.760416666664</v>
      </c>
      <c r="K41" s="32"/>
      <c r="L41" s="14">
        <f t="shared" si="0"/>
        <v>5.5555555554747116E-2</v>
      </c>
      <c r="M41" s="31">
        <f t="shared" si="6"/>
        <v>0.37222222221680568</v>
      </c>
      <c r="N41" s="15" t="str">
        <f>IF(Table2683262[[#This Row],[Fault Type]]="PM",IF(L41&lt;=(D41-C41),"Yes","No"),"")</f>
        <v/>
      </c>
      <c r="O41" s="16" t="str">
        <f t="shared" si="2"/>
        <v/>
      </c>
      <c r="P4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1" s="17"/>
    </row>
    <row r="42" spans="1:17" ht="15.5" x14ac:dyDescent="0.35">
      <c r="A42" s="4" t="s">
        <v>39</v>
      </c>
      <c r="B42" s="12" t="s">
        <v>150</v>
      </c>
      <c r="C42" s="13"/>
      <c r="D42" s="13"/>
      <c r="E42" s="13">
        <v>44778.722916666666</v>
      </c>
      <c r="F42" s="18">
        <v>12.6</v>
      </c>
      <c r="G42" s="12" t="s">
        <v>162</v>
      </c>
      <c r="H42" s="18" t="s">
        <v>526</v>
      </c>
      <c r="I42" s="18" t="s">
        <v>526</v>
      </c>
      <c r="J42" s="13">
        <v>44778.734027777777</v>
      </c>
      <c r="K42" s="32"/>
      <c r="L42" s="14">
        <f t="shared" si="0"/>
        <v>1.1111111110949423E-2</v>
      </c>
      <c r="M42" s="31">
        <f t="shared" si="6"/>
        <v>0.13999999999796273</v>
      </c>
      <c r="N42" s="15" t="str">
        <f>IF(Table2683262[[#This Row],[Fault Type]]="PM",IF(L42&lt;=(D42-C42),"Yes","No"),"")</f>
        <v/>
      </c>
      <c r="O42" s="16" t="str">
        <f t="shared" si="2"/>
        <v/>
      </c>
      <c r="P4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2" s="17"/>
    </row>
    <row r="43" spans="1:17" ht="15.5" x14ac:dyDescent="0.35">
      <c r="A43" s="4" t="s">
        <v>110</v>
      </c>
      <c r="B43" s="12" t="s">
        <v>158</v>
      </c>
      <c r="C43" s="13"/>
      <c r="D43" s="13"/>
      <c r="E43" s="13">
        <v>44778.73333333333</v>
      </c>
      <c r="F43" s="18">
        <v>2.2000000000000002</v>
      </c>
      <c r="G43" s="12"/>
      <c r="H43" s="18" t="s">
        <v>742</v>
      </c>
      <c r="I43" s="12" t="s">
        <v>333</v>
      </c>
      <c r="J43" s="13">
        <v>44778.893750000003</v>
      </c>
      <c r="K43" s="32"/>
      <c r="L43" s="14">
        <f t="shared" si="0"/>
        <v>0.1604166666729725</v>
      </c>
      <c r="M43" s="31">
        <f t="shared" si="6"/>
        <v>0.3529166666805395</v>
      </c>
      <c r="N43" s="15" t="str">
        <f>IF(Table2683262[[#This Row],[Fault Type]]="PM",IF(L43&lt;=(D43-C43),"Yes","No"),"")</f>
        <v/>
      </c>
      <c r="O43" s="16" t="str">
        <f t="shared" si="2"/>
        <v/>
      </c>
      <c r="P4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3" s="17"/>
    </row>
    <row r="44" spans="1:17" ht="15.5" x14ac:dyDescent="0.35">
      <c r="A44" s="4" t="s">
        <v>43</v>
      </c>
      <c r="B44" s="12" t="s">
        <v>150</v>
      </c>
      <c r="C44" s="13"/>
      <c r="D44" s="13"/>
      <c r="E44" s="13">
        <v>44778.736111111109</v>
      </c>
      <c r="F44" s="12"/>
      <c r="G44" s="12" t="s">
        <v>164</v>
      </c>
      <c r="H44" s="12" t="s">
        <v>743</v>
      </c>
      <c r="I44" s="18" t="s">
        <v>334</v>
      </c>
      <c r="J44" s="13">
        <v>44778.861111111109</v>
      </c>
      <c r="K44" s="32"/>
      <c r="L44" s="14">
        <f t="shared" si="0"/>
        <v>0.125</v>
      </c>
      <c r="M44" s="31">
        <f t="shared" si="6"/>
        <v>0</v>
      </c>
      <c r="N44" s="15" t="str">
        <f>IF(Table2683262[[#This Row],[Fault Type]]="PM",IF(L44&lt;=(D44-C44),"Yes","No"),"")</f>
        <v/>
      </c>
      <c r="O44" s="16" t="str">
        <f t="shared" si="2"/>
        <v/>
      </c>
      <c r="P4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4" s="17"/>
    </row>
    <row r="45" spans="1:17" ht="15.5" x14ac:dyDescent="0.35">
      <c r="A45" s="4" t="s">
        <v>39</v>
      </c>
      <c r="B45" s="12" t="s">
        <v>150</v>
      </c>
      <c r="C45" s="13"/>
      <c r="D45" s="13"/>
      <c r="E45" s="13">
        <v>44778.78402777778</v>
      </c>
      <c r="F45" s="12">
        <v>7.8</v>
      </c>
      <c r="G45" s="12" t="s">
        <v>162</v>
      </c>
      <c r="H45" s="18" t="s">
        <v>526</v>
      </c>
      <c r="I45" s="18" t="s">
        <v>526</v>
      </c>
      <c r="J45" s="13">
        <v>44778.788194444445</v>
      </c>
      <c r="K45" s="80"/>
      <c r="L45" s="14">
        <f t="shared" si="0"/>
        <v>4.166666665696539E-3</v>
      </c>
      <c r="M45" s="31">
        <f t="shared" si="6"/>
        <v>3.2499999992433005E-2</v>
      </c>
      <c r="N45" s="15" t="str">
        <f>IF(Table2683262[[#This Row],[Fault Type]]="PM",IF(L45&lt;=(D45-C45),"Yes","No"),"")</f>
        <v/>
      </c>
      <c r="O45" s="16" t="str">
        <f t="shared" si="2"/>
        <v/>
      </c>
      <c r="P4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5" s="17"/>
    </row>
    <row r="46" spans="1:17" ht="15.5" x14ac:dyDescent="0.35">
      <c r="A46" s="158" t="s">
        <v>40</v>
      </c>
      <c r="B46" s="12" t="s">
        <v>150</v>
      </c>
      <c r="C46" s="13"/>
      <c r="D46" s="13"/>
      <c r="E46" s="13">
        <v>44778.804861111108</v>
      </c>
      <c r="F46" s="18">
        <v>9.6</v>
      </c>
      <c r="G46" s="12" t="s">
        <v>164</v>
      </c>
      <c r="H46" s="18" t="s">
        <v>744</v>
      </c>
      <c r="I46" s="18" t="s">
        <v>334</v>
      </c>
      <c r="J46" s="13">
        <v>44778.856249999997</v>
      </c>
      <c r="K46" s="32"/>
      <c r="L46" s="14">
        <f t="shared" si="0"/>
        <v>5.1388888889050577E-2</v>
      </c>
      <c r="M46" s="31">
        <f t="shared" si="6"/>
        <v>0.49333333333488549</v>
      </c>
      <c r="N46" s="15" t="str">
        <f>IF(Table2683262[[#This Row],[Fault Type]]="PM",IF(L46&lt;=(D46-C46),"Yes","No"),"")</f>
        <v/>
      </c>
      <c r="O46" s="16" t="str">
        <f t="shared" si="2"/>
        <v/>
      </c>
      <c r="P4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6" s="17"/>
    </row>
    <row r="47" spans="1:17" ht="15.5" x14ac:dyDescent="0.35">
      <c r="A47" s="4" t="s">
        <v>38</v>
      </c>
      <c r="B47" s="12" t="s">
        <v>150</v>
      </c>
      <c r="C47" s="13"/>
      <c r="D47" s="13"/>
      <c r="E47" s="13">
        <v>44778.819444444445</v>
      </c>
      <c r="F47" s="18">
        <v>13</v>
      </c>
      <c r="G47" s="12" t="s">
        <v>162</v>
      </c>
      <c r="H47" s="18" t="s">
        <v>526</v>
      </c>
      <c r="I47" s="18" t="s">
        <v>526</v>
      </c>
      <c r="J47" s="13">
        <v>44778.829861111109</v>
      </c>
      <c r="K47" s="32"/>
      <c r="L47" s="14">
        <f t="shared" si="0"/>
        <v>1.0416666664241347E-2</v>
      </c>
      <c r="M47" s="31">
        <f t="shared" si="6"/>
        <v>0.13541666663513752</v>
      </c>
      <c r="N47" s="15" t="str">
        <f>IF(Table2683262[[#This Row],[Fault Type]]="PM",IF(L47&lt;=(D47-C47),"Yes","No"),"")</f>
        <v/>
      </c>
      <c r="O47" s="16" t="str">
        <f t="shared" si="2"/>
        <v/>
      </c>
      <c r="P4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7" s="17"/>
    </row>
    <row r="48" spans="1:17" ht="15.5" x14ac:dyDescent="0.35">
      <c r="A48" s="4" t="s">
        <v>29</v>
      </c>
      <c r="B48" s="12" t="s">
        <v>150</v>
      </c>
      <c r="C48" s="13"/>
      <c r="D48" s="13"/>
      <c r="E48" s="13">
        <v>44778.842361111114</v>
      </c>
      <c r="F48" s="18">
        <v>14.9</v>
      </c>
      <c r="G48" s="12" t="s">
        <v>162</v>
      </c>
      <c r="H48" s="18" t="s">
        <v>526</v>
      </c>
      <c r="I48" s="18" t="s">
        <v>526</v>
      </c>
      <c r="J48" s="13">
        <v>44778.859722222223</v>
      </c>
      <c r="K48" s="80"/>
      <c r="L48" s="14">
        <f t="shared" si="0"/>
        <v>1.7361111109494232E-2</v>
      </c>
      <c r="M48" s="31">
        <f t="shared" si="6"/>
        <v>0.25868055553146407</v>
      </c>
      <c r="N48" s="15" t="str">
        <f>IF(Table2683262[[#This Row],[Fault Type]]="PM",IF(L48&lt;=(D48-C48),"Yes","No"),"")</f>
        <v/>
      </c>
      <c r="O48" s="16" t="str">
        <f t="shared" si="2"/>
        <v/>
      </c>
      <c r="P4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8" s="17"/>
    </row>
    <row r="49" spans="1:17" ht="15.5" x14ac:dyDescent="0.35">
      <c r="A49" s="4" t="s">
        <v>38</v>
      </c>
      <c r="B49" s="12" t="s">
        <v>150</v>
      </c>
      <c r="C49" s="13"/>
      <c r="D49" s="13"/>
      <c r="E49" s="13">
        <v>44778.863888888889</v>
      </c>
      <c r="F49" s="12">
        <v>14</v>
      </c>
      <c r="G49" s="12" t="s">
        <v>164</v>
      </c>
      <c r="H49" s="12" t="s">
        <v>745</v>
      </c>
      <c r="I49" s="18" t="s">
        <v>333</v>
      </c>
      <c r="J49" s="13">
        <v>44778.947916666664</v>
      </c>
      <c r="K49" s="32"/>
      <c r="L49" s="14">
        <f t="shared" si="0"/>
        <v>8.4027777775190771E-2</v>
      </c>
      <c r="M49" s="31">
        <f t="shared" si="6"/>
        <v>1.1763888888526708</v>
      </c>
      <c r="N49" s="15" t="str">
        <f>IF(Table2683262[[#This Row],[Fault Type]]="PM",IF(L49&lt;=(D49-C49),"Yes","No"),"")</f>
        <v/>
      </c>
      <c r="O49" s="16" t="str">
        <f t="shared" si="2"/>
        <v/>
      </c>
      <c r="P4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49" s="17"/>
    </row>
    <row r="50" spans="1:17" ht="15.5" x14ac:dyDescent="0.35">
      <c r="A50" s="4" t="s">
        <v>23</v>
      </c>
      <c r="B50" s="12" t="s">
        <v>150</v>
      </c>
      <c r="C50" s="13"/>
      <c r="D50" s="13"/>
      <c r="E50" s="13">
        <v>44778.878472222219</v>
      </c>
      <c r="F50" s="18">
        <v>0.8</v>
      </c>
      <c r="G50" s="12" t="s">
        <v>164</v>
      </c>
      <c r="H50" s="18" t="s">
        <v>746</v>
      </c>
      <c r="I50" s="18" t="s">
        <v>333</v>
      </c>
      <c r="J50" s="13">
        <v>44778.919444444444</v>
      </c>
      <c r="K50" s="32"/>
      <c r="L50" s="14">
        <f t="shared" si="0"/>
        <v>4.0972222224809229E-2</v>
      </c>
      <c r="M50" s="31">
        <f t="shared" si="6"/>
        <v>3.2777777779847382E-2</v>
      </c>
      <c r="N50" s="15" t="str">
        <f>IF(Table2683262[[#This Row],[Fault Type]]="PM",IF(L50&lt;=(D50-C50),"Yes","No"),"")</f>
        <v/>
      </c>
      <c r="O50" s="16" t="str">
        <f t="shared" si="2"/>
        <v/>
      </c>
      <c r="P5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Yes</v>
      </c>
      <c r="Q50" s="17"/>
    </row>
    <row r="51" spans="1:17" ht="15.5" x14ac:dyDescent="0.35">
      <c r="A51" s="4" t="s">
        <v>45</v>
      </c>
      <c r="B51" s="12" t="s">
        <v>150</v>
      </c>
      <c r="C51" s="13"/>
      <c r="D51" s="13"/>
      <c r="E51" s="13">
        <v>44778.912499999999</v>
      </c>
      <c r="F51" s="18">
        <v>3.1</v>
      </c>
      <c r="G51" s="12" t="s">
        <v>164</v>
      </c>
      <c r="H51" s="18" t="s">
        <v>747</v>
      </c>
      <c r="I51" s="18" t="s">
        <v>334</v>
      </c>
      <c r="J51" s="13">
        <v>44779.386805555558</v>
      </c>
      <c r="K51" s="32"/>
      <c r="L51" s="14">
        <f t="shared" si="0"/>
        <v>0.47430555555911269</v>
      </c>
      <c r="M51" s="31">
        <f t="shared" si="6"/>
        <v>1.4703472222332494</v>
      </c>
      <c r="N51" s="15" t="str">
        <f>IF(Table2683262[[#This Row],[Fault Type]]="PM",IF(L51&lt;=(D51-C51),"Yes","No"),"")</f>
        <v/>
      </c>
      <c r="O51" s="16" t="str">
        <f t="shared" si="2"/>
        <v/>
      </c>
      <c r="P5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1" s="17"/>
    </row>
    <row r="52" spans="1:17" ht="15.5" x14ac:dyDescent="0.35">
      <c r="A52" s="4" t="s">
        <v>371</v>
      </c>
      <c r="B52" s="12" t="s">
        <v>150</v>
      </c>
      <c r="C52" s="13"/>
      <c r="D52" s="13"/>
      <c r="E52" s="13">
        <v>44778.924305555556</v>
      </c>
      <c r="F52" s="18">
        <v>2</v>
      </c>
      <c r="G52" s="12" t="s">
        <v>164</v>
      </c>
      <c r="H52" s="18" t="s">
        <v>748</v>
      </c>
      <c r="I52" s="18" t="s">
        <v>334</v>
      </c>
      <c r="J52" s="13">
        <v>44779.519444444442</v>
      </c>
      <c r="K52" s="80"/>
      <c r="L52" s="14">
        <f t="shared" si="0"/>
        <v>0.59513888888614019</v>
      </c>
      <c r="M52" s="31">
        <f t="shared" si="6"/>
        <v>1.1902777777722804</v>
      </c>
      <c r="N52" s="15" t="str">
        <f>IF(Table2683262[[#This Row],[Fault Type]]="PM",IF(L52&lt;=(D52-C52),"Yes","No"),"")</f>
        <v/>
      </c>
      <c r="O52" s="16" t="str">
        <f t="shared" si="2"/>
        <v/>
      </c>
      <c r="P5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2" s="17"/>
    </row>
    <row r="53" spans="1:17" ht="15.5" x14ac:dyDescent="0.35">
      <c r="A53" s="4" t="s">
        <v>51</v>
      </c>
      <c r="B53" s="12" t="s">
        <v>150</v>
      </c>
      <c r="C53" s="13"/>
      <c r="D53" s="13"/>
      <c r="E53" s="13">
        <v>44778.935416666667</v>
      </c>
      <c r="F53" s="18">
        <v>4.0999999999999996</v>
      </c>
      <c r="G53" s="12" t="s">
        <v>164</v>
      </c>
      <c r="H53" s="18" t="s">
        <v>749</v>
      </c>
      <c r="I53" s="18" t="s">
        <v>334</v>
      </c>
      <c r="J53" s="13">
        <v>44779.357638888891</v>
      </c>
      <c r="K53" s="32"/>
      <c r="L53" s="14">
        <f t="shared" si="0"/>
        <v>0.42222222222335404</v>
      </c>
      <c r="M53" s="31">
        <f t="shared" si="6"/>
        <v>1.7311111111157513</v>
      </c>
      <c r="N53" s="15" t="str">
        <f>IF(Table2683262[[#This Row],[Fault Type]]="PM",IF(L53&lt;=(D53-C53),"Yes","No"),"")</f>
        <v/>
      </c>
      <c r="O53" s="16" t="str">
        <f t="shared" si="2"/>
        <v/>
      </c>
      <c r="P5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3" s="17"/>
    </row>
    <row r="54" spans="1:17" ht="15.5" x14ac:dyDescent="0.35">
      <c r="A54" s="4" t="s">
        <v>23</v>
      </c>
      <c r="B54" s="12" t="s">
        <v>150</v>
      </c>
      <c r="C54" s="13"/>
      <c r="D54" s="13"/>
      <c r="E54" s="13">
        <v>44778.938194444447</v>
      </c>
      <c r="F54" s="18">
        <v>0.5</v>
      </c>
      <c r="G54" s="12" t="s">
        <v>164</v>
      </c>
      <c r="H54" s="18" t="s">
        <v>750</v>
      </c>
      <c r="I54" s="18" t="s">
        <v>333</v>
      </c>
      <c r="J54" s="13">
        <v>44779.40625</v>
      </c>
      <c r="K54" s="32"/>
      <c r="L54" s="14">
        <f t="shared" si="0"/>
        <v>0.46805555555329192</v>
      </c>
      <c r="M54" s="31">
        <f t="shared" si="6"/>
        <v>0.23402777777664596</v>
      </c>
      <c r="N54" s="15" t="str">
        <f>IF(Table2683262[[#This Row],[Fault Type]]="PM",IF(L54&lt;=(D54-C54),"Yes","No"),"")</f>
        <v/>
      </c>
      <c r="O54" s="16" t="str">
        <f t="shared" si="2"/>
        <v/>
      </c>
      <c r="P5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4" s="17"/>
    </row>
    <row r="55" spans="1:17" ht="15.5" x14ac:dyDescent="0.35">
      <c r="A55" s="4" t="s">
        <v>101</v>
      </c>
      <c r="B55" s="12" t="s">
        <v>150</v>
      </c>
      <c r="C55" s="13"/>
      <c r="D55" s="13"/>
      <c r="E55" s="13">
        <v>44778.960416666669</v>
      </c>
      <c r="F55" s="18"/>
      <c r="G55" s="12" t="s">
        <v>164</v>
      </c>
      <c r="H55" s="18" t="s">
        <v>751</v>
      </c>
      <c r="I55" s="18" t="s">
        <v>333</v>
      </c>
      <c r="J55" s="13">
        <v>44779.770833333336</v>
      </c>
      <c r="K55" s="80"/>
      <c r="L55" s="14">
        <f t="shared" si="0"/>
        <v>0.81041666666715173</v>
      </c>
      <c r="M55" s="31">
        <f t="shared" si="6"/>
        <v>0</v>
      </c>
      <c r="N55" s="15" t="str">
        <f>IF(Table2683262[[#This Row],[Fault Type]]="PM",IF(L55&lt;=(D55-C55),"Yes","No"),"")</f>
        <v/>
      </c>
      <c r="O55" s="16" t="str">
        <f t="shared" si="2"/>
        <v/>
      </c>
      <c r="P5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5" s="17"/>
    </row>
    <row r="56" spans="1:17" ht="15.5" x14ac:dyDescent="0.35">
      <c r="A56" s="4" t="s">
        <v>195</v>
      </c>
      <c r="B56" s="12" t="s">
        <v>150</v>
      </c>
      <c r="C56" s="13"/>
      <c r="D56" s="13"/>
      <c r="E56" s="13">
        <v>44778.962500000001</v>
      </c>
      <c r="F56" s="18">
        <v>3.2</v>
      </c>
      <c r="G56" s="12" t="s">
        <v>164</v>
      </c>
      <c r="H56" s="18" t="s">
        <v>510</v>
      </c>
      <c r="I56" s="18" t="s">
        <v>334</v>
      </c>
      <c r="J56" s="13">
        <v>44779.304861111108</v>
      </c>
      <c r="K56" s="32"/>
      <c r="L56" s="14">
        <f t="shared" si="0"/>
        <v>0.34236111110658385</v>
      </c>
      <c r="M56" s="31">
        <f t="shared" si="6"/>
        <v>1.0955555555410683</v>
      </c>
      <c r="N56" s="15" t="str">
        <f>IF(Table2683262[[#This Row],[Fault Type]]="PM",IF(L56&lt;=(D56-C56),"Yes","No"),"")</f>
        <v/>
      </c>
      <c r="O56" s="16" t="str">
        <f t="shared" si="2"/>
        <v/>
      </c>
      <c r="P5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No</v>
      </c>
      <c r="Q56" s="17"/>
    </row>
    <row r="57" spans="1:17" ht="15.5" x14ac:dyDescent="0.35">
      <c r="A57" s="4"/>
      <c r="B57" s="12"/>
      <c r="C57" s="13"/>
      <c r="D57" s="13"/>
      <c r="E57" s="13"/>
      <c r="F57" s="18"/>
      <c r="G57" s="12"/>
      <c r="H57" s="18"/>
      <c r="I57" s="18"/>
      <c r="J57" s="13"/>
      <c r="K57" s="32"/>
      <c r="L57" s="14">
        <f t="shared" si="0"/>
        <v>0</v>
      </c>
      <c r="M57" s="31">
        <f t="shared" si="6"/>
        <v>0</v>
      </c>
      <c r="N57" s="15" t="str">
        <f>IF(Table2683262[[#This Row],[Fault Type]]="PM",IF(L57&lt;=(D57-C57),"Yes","No"),"")</f>
        <v/>
      </c>
      <c r="O57" s="16" t="str">
        <f t="shared" si="2"/>
        <v/>
      </c>
      <c r="P5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57" s="17"/>
    </row>
    <row r="58" spans="1:17" ht="15.5" x14ac:dyDescent="0.35">
      <c r="A58" s="4"/>
      <c r="B58" s="12"/>
      <c r="C58" s="13"/>
      <c r="D58" s="13"/>
      <c r="E58" s="13"/>
      <c r="F58" s="18"/>
      <c r="G58" s="12"/>
      <c r="H58" s="18"/>
      <c r="I58" s="18"/>
      <c r="J58" s="13"/>
      <c r="K58" s="32"/>
      <c r="L58" s="14">
        <f t="shared" si="0"/>
        <v>0</v>
      </c>
      <c r="M58" s="31">
        <f t="shared" si="6"/>
        <v>0</v>
      </c>
      <c r="N58" s="15" t="str">
        <f>IF(Table2683262[[#This Row],[Fault Type]]="PM",IF(L58&lt;=(D58-C58),"Yes","No"),"")</f>
        <v/>
      </c>
      <c r="O58" s="16" t="str">
        <f t="shared" si="2"/>
        <v/>
      </c>
      <c r="P5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58" s="17"/>
    </row>
    <row r="59" spans="1:17" ht="15.75" customHeight="1" x14ac:dyDescent="0.35">
      <c r="A59" s="4"/>
      <c r="B59" s="12"/>
      <c r="C59" s="13"/>
      <c r="D59" s="13"/>
      <c r="E59" s="13"/>
      <c r="F59" s="18"/>
      <c r="G59" s="12"/>
      <c r="H59" s="18"/>
      <c r="I59" s="12"/>
      <c r="J59" s="13"/>
      <c r="K59" s="32"/>
      <c r="L59" s="14">
        <f t="shared" si="0"/>
        <v>0</v>
      </c>
      <c r="M59" s="31">
        <f t="shared" si="6"/>
        <v>0</v>
      </c>
      <c r="N59" s="15" t="str">
        <f>IF(Table2683262[[#This Row],[Fault Type]]="PM",IF(L59&lt;=(D59-C59),"Yes","No"),"")</f>
        <v/>
      </c>
      <c r="O59" s="16" t="str">
        <f t="shared" si="2"/>
        <v/>
      </c>
      <c r="P5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59" s="17"/>
    </row>
    <row r="60" spans="1:17" ht="15.5" x14ac:dyDescent="0.35">
      <c r="A60" s="4"/>
      <c r="B60" s="12"/>
      <c r="C60" s="13"/>
      <c r="D60" s="13"/>
      <c r="E60" s="13"/>
      <c r="F60" s="18"/>
      <c r="G60" s="12"/>
      <c r="H60" s="18"/>
      <c r="I60" s="18"/>
      <c r="J60" s="13"/>
      <c r="K60" s="80"/>
      <c r="L60" s="14">
        <f t="shared" si="0"/>
        <v>0</v>
      </c>
      <c r="M60" s="31">
        <f t="shared" si="6"/>
        <v>0</v>
      </c>
      <c r="N60" s="15" t="str">
        <f>IF(Table2683262[[#This Row],[Fault Type]]="PM",IF(L60&lt;=(D60-C60),"Yes","No"),"")</f>
        <v/>
      </c>
      <c r="O60" s="16" t="str">
        <f t="shared" si="2"/>
        <v/>
      </c>
      <c r="P6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0" s="17"/>
    </row>
    <row r="61" spans="1:17" ht="15.5" x14ac:dyDescent="0.35">
      <c r="A61" s="4"/>
      <c r="B61" s="49"/>
      <c r="C61" s="49"/>
      <c r="D61" s="49"/>
      <c r="E61" s="13"/>
      <c r="F61" s="18"/>
      <c r="G61" s="159"/>
      <c r="H61" s="18"/>
      <c r="I61" s="54"/>
      <c r="J61" s="13"/>
      <c r="K61" s="32"/>
      <c r="L61" s="14">
        <f t="shared" si="0"/>
        <v>0</v>
      </c>
      <c r="M61" s="53">
        <f t="shared" si="6"/>
        <v>0</v>
      </c>
      <c r="N61" s="50" t="str">
        <f>IF(Table2683262[[#This Row],[Fault Type]]="PM",IF(L61&lt;=(D61-C61),"Yes","No"),"")</f>
        <v/>
      </c>
      <c r="O61" s="51" t="str">
        <f t="shared" si="2"/>
        <v/>
      </c>
      <c r="P6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row>
    <row r="62" spans="1:17" ht="15.5" x14ac:dyDescent="0.35">
      <c r="A62" s="58"/>
      <c r="B62" s="55"/>
      <c r="C62" s="56"/>
      <c r="D62" s="56"/>
      <c r="E62" s="13"/>
      <c r="F62" s="18"/>
      <c r="G62" s="159"/>
      <c r="H62" s="18"/>
      <c r="I62" s="18"/>
      <c r="J62" s="13"/>
      <c r="K62" s="32"/>
      <c r="L62" s="14">
        <f t="shared" si="0"/>
        <v>0</v>
      </c>
      <c r="M62" s="59">
        <f t="shared" si="6"/>
        <v>0</v>
      </c>
      <c r="N62" s="61" t="str">
        <f>IF(Table2683262[[#This Row],[Fault Type]]="PM",IF(L62&lt;=(D62-C62),"Yes","No"),"")</f>
        <v/>
      </c>
      <c r="O62" s="62" t="str">
        <f t="shared" si="2"/>
        <v/>
      </c>
      <c r="P6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2" s="63"/>
    </row>
    <row r="63" spans="1:17" ht="15.5" x14ac:dyDescent="0.35">
      <c r="A63" s="58"/>
      <c r="B63" s="55"/>
      <c r="C63" s="56"/>
      <c r="D63" s="56"/>
      <c r="E63" s="13"/>
      <c r="F63" s="18"/>
      <c r="G63" s="55"/>
      <c r="H63" s="18"/>
      <c r="I63" s="18"/>
      <c r="J63" s="13"/>
      <c r="K63" s="32"/>
      <c r="L63" s="14">
        <f t="shared" si="0"/>
        <v>0</v>
      </c>
      <c r="M63" s="59">
        <f t="shared" si="6"/>
        <v>0</v>
      </c>
      <c r="N63" s="61" t="str">
        <f>IF(Table2683262[[#This Row],[Fault Type]]="PM",IF(L63&lt;=(D63-C63),"Yes","No"),"")</f>
        <v/>
      </c>
      <c r="O63" s="62" t="str">
        <f t="shared" si="2"/>
        <v/>
      </c>
      <c r="P6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3" s="63"/>
    </row>
    <row r="64" spans="1:17" ht="15.5" x14ac:dyDescent="0.35">
      <c r="A64" s="58"/>
      <c r="B64" s="55"/>
      <c r="C64" s="56"/>
      <c r="D64" s="56"/>
      <c r="E64" s="13"/>
      <c r="F64" s="18"/>
      <c r="G64" s="55"/>
      <c r="H64" s="18"/>
      <c r="I64" s="18"/>
      <c r="J64" s="13"/>
      <c r="K64" s="32"/>
      <c r="L64" s="14">
        <f t="shared" si="0"/>
        <v>0</v>
      </c>
      <c r="M64" s="59">
        <f t="shared" si="6"/>
        <v>0</v>
      </c>
      <c r="N64" s="61" t="str">
        <f>IF(Table2683262[[#This Row],[Fault Type]]="PM",IF(L64&lt;=(D64-C64),"Yes","No"),"")</f>
        <v/>
      </c>
      <c r="O64" s="62" t="str">
        <f t="shared" si="2"/>
        <v/>
      </c>
      <c r="P6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4" s="63"/>
    </row>
    <row r="65" spans="1:17" ht="15.5" x14ac:dyDescent="0.35">
      <c r="A65" s="58"/>
      <c r="B65" s="55"/>
      <c r="C65" s="56"/>
      <c r="D65" s="56"/>
      <c r="E65" s="13"/>
      <c r="F65" s="18"/>
      <c r="G65" s="55"/>
      <c r="H65" s="18"/>
      <c r="I65" s="18"/>
      <c r="J65" s="13"/>
      <c r="K65" s="32"/>
      <c r="L65" s="14">
        <f t="shared" si="0"/>
        <v>0</v>
      </c>
      <c r="M65" s="59">
        <f t="shared" si="6"/>
        <v>0</v>
      </c>
      <c r="N65" s="61" t="str">
        <f>IF(Table2683262[[#This Row],[Fault Type]]="PM",IF(L65&lt;=(D65-C65),"Yes","No"),"")</f>
        <v/>
      </c>
      <c r="O65" s="62" t="str">
        <f t="shared" si="2"/>
        <v/>
      </c>
      <c r="P6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5" s="63"/>
    </row>
    <row r="66" spans="1:17" ht="15.5" x14ac:dyDescent="0.35">
      <c r="A66" s="58"/>
      <c r="B66" s="55"/>
      <c r="C66" s="56"/>
      <c r="D66" s="56"/>
      <c r="E66" s="13"/>
      <c r="F66" s="18"/>
      <c r="G66" s="55"/>
      <c r="H66" s="18"/>
      <c r="I66" s="18"/>
      <c r="J66" s="13"/>
      <c r="K66" s="32"/>
      <c r="L66" s="14">
        <f t="shared" si="0"/>
        <v>0</v>
      </c>
      <c r="M66" s="59">
        <f t="shared" si="6"/>
        <v>0</v>
      </c>
      <c r="N66" s="61" t="str">
        <f>IF(Table2683262[[#This Row],[Fault Type]]="PM",IF(L66&lt;=(D66-C66),"Yes","No"),"")</f>
        <v/>
      </c>
      <c r="O66" s="62" t="str">
        <f t="shared" si="2"/>
        <v/>
      </c>
      <c r="P6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6" s="63"/>
    </row>
    <row r="67" spans="1:17" ht="15.5" x14ac:dyDescent="0.35">
      <c r="A67" s="58"/>
      <c r="B67" s="55"/>
      <c r="C67" s="56"/>
      <c r="D67" s="56"/>
      <c r="E67" s="13"/>
      <c r="F67" s="18"/>
      <c r="G67" s="55"/>
      <c r="H67" s="18"/>
      <c r="I67" s="18"/>
      <c r="J67" s="13"/>
      <c r="K67" s="32"/>
      <c r="L67" s="14">
        <f t="shared" si="0"/>
        <v>0</v>
      </c>
      <c r="M67" s="59">
        <f t="shared" si="6"/>
        <v>0</v>
      </c>
      <c r="N67" s="61" t="str">
        <f>IF(Table2683262[[#This Row],[Fault Type]]="PM",IF(L67&lt;=(D67-C67),"Yes","No"),"")</f>
        <v/>
      </c>
      <c r="O67" s="62" t="str">
        <f t="shared" si="2"/>
        <v/>
      </c>
      <c r="P6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7" s="63"/>
    </row>
    <row r="68" spans="1:17" ht="15.5" x14ac:dyDescent="0.35">
      <c r="A68" s="58"/>
      <c r="B68" s="55"/>
      <c r="C68" s="56"/>
      <c r="D68" s="56"/>
      <c r="E68" s="13"/>
      <c r="F68" s="12"/>
      <c r="G68" s="55"/>
      <c r="H68" s="12"/>
      <c r="I68" s="18"/>
      <c r="J68" s="13"/>
      <c r="K68" s="32"/>
      <c r="L68" s="14">
        <f t="shared" si="0"/>
        <v>0</v>
      </c>
      <c r="M68" s="59">
        <f t="shared" si="6"/>
        <v>0</v>
      </c>
      <c r="N68" s="61" t="str">
        <f>IF(Table2683262[[#This Row],[Fault Type]]="PM",IF(L68&lt;=(D68-C68),"Yes","No"),"")</f>
        <v/>
      </c>
      <c r="O68" s="62" t="str">
        <f t="shared" si="2"/>
        <v/>
      </c>
      <c r="P6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8" s="63"/>
    </row>
    <row r="69" spans="1:17" ht="15.5" x14ac:dyDescent="0.35">
      <c r="A69" s="58"/>
      <c r="B69" s="55"/>
      <c r="C69" s="56"/>
      <c r="D69" s="56"/>
      <c r="E69" s="13"/>
      <c r="F69" s="18"/>
      <c r="G69" s="55"/>
      <c r="H69" s="18"/>
      <c r="I69" s="18"/>
      <c r="J69" s="13"/>
      <c r="K69" s="32"/>
      <c r="L69" s="14">
        <f t="shared" si="0"/>
        <v>0</v>
      </c>
      <c r="M69" s="59">
        <f t="shared" si="6"/>
        <v>0</v>
      </c>
      <c r="N69" s="61" t="str">
        <f>IF(Table2683262[[#This Row],[Fault Type]]="PM",IF(L69&lt;=(D69-C69),"Yes","No"),"")</f>
        <v/>
      </c>
      <c r="O69" s="62" t="str">
        <f t="shared" si="2"/>
        <v/>
      </c>
      <c r="P6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69" s="63"/>
    </row>
    <row r="70" spans="1:17" ht="15.5" x14ac:dyDescent="0.35">
      <c r="A70" s="58"/>
      <c r="B70" s="55"/>
      <c r="C70" s="56"/>
      <c r="D70" s="56"/>
      <c r="E70" s="13"/>
      <c r="F70" s="18"/>
      <c r="G70" s="55"/>
      <c r="H70" s="18"/>
      <c r="I70" s="18"/>
      <c r="J70" s="13"/>
      <c r="K70" s="80"/>
      <c r="L70" s="14">
        <f t="shared" si="0"/>
        <v>0</v>
      </c>
      <c r="M70" s="59">
        <f t="shared" si="6"/>
        <v>0</v>
      </c>
      <c r="N70" s="61" t="str">
        <f>IF(Table2683262[[#This Row],[Fault Type]]="PM",IF(L70&lt;=(D70-C70),"Yes","No"),"")</f>
        <v/>
      </c>
      <c r="O70" s="62" t="str">
        <f t="shared" si="2"/>
        <v/>
      </c>
      <c r="P7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0" s="63"/>
    </row>
    <row r="71" spans="1:17" ht="15.5" x14ac:dyDescent="0.35">
      <c r="A71" s="58"/>
      <c r="B71" s="55"/>
      <c r="C71" s="56"/>
      <c r="D71" s="56"/>
      <c r="E71" s="13"/>
      <c r="F71" s="64"/>
      <c r="G71" s="55"/>
      <c r="H71" s="54"/>
      <c r="I71" s="18"/>
      <c r="J71" s="13"/>
      <c r="K71" s="32"/>
      <c r="L71" s="14">
        <f t="shared" si="0"/>
        <v>0</v>
      </c>
      <c r="M71" s="59">
        <f t="shared" si="6"/>
        <v>0</v>
      </c>
      <c r="N71" s="61" t="str">
        <f>IF(Table2683262[[#This Row],[Fault Type]]="PM",IF(L71&lt;=(D71-C71),"Yes","No"),"")</f>
        <v/>
      </c>
      <c r="O71" s="62" t="str">
        <f t="shared" si="2"/>
        <v/>
      </c>
      <c r="P7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1" s="63"/>
    </row>
    <row r="72" spans="1:17" ht="15.5" x14ac:dyDescent="0.35">
      <c r="A72" s="58"/>
      <c r="B72" s="55"/>
      <c r="C72" s="56"/>
      <c r="D72" s="56"/>
      <c r="E72" s="13"/>
      <c r="F72" s="64"/>
      <c r="G72" s="55"/>
      <c r="H72" s="54"/>
      <c r="I72" s="18"/>
      <c r="J72" s="13"/>
      <c r="K72" s="80"/>
      <c r="L72" s="14">
        <f t="shared" si="0"/>
        <v>0</v>
      </c>
      <c r="M72" s="59">
        <f t="shared" si="6"/>
        <v>0</v>
      </c>
      <c r="N72" s="61" t="str">
        <f>IF(Table2683262[[#This Row],[Fault Type]]="PM",IF(L72&lt;=(D72-C72),"Yes","No"),"")</f>
        <v/>
      </c>
      <c r="O72" s="62" t="str">
        <f t="shared" si="2"/>
        <v/>
      </c>
      <c r="P7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2" s="63"/>
    </row>
    <row r="73" spans="1:17" ht="15.5" x14ac:dyDescent="0.35">
      <c r="A73" s="158"/>
      <c r="B73" s="55"/>
      <c r="C73" s="56"/>
      <c r="D73" s="56"/>
      <c r="E73" s="13"/>
      <c r="F73" s="55"/>
      <c r="G73" s="55"/>
      <c r="H73" s="57"/>
      <c r="I73" s="18"/>
      <c r="J73" s="13"/>
      <c r="K73" s="32"/>
      <c r="L73" s="14">
        <f t="shared" si="0"/>
        <v>0</v>
      </c>
      <c r="M73" s="59">
        <f t="shared" si="6"/>
        <v>0</v>
      </c>
      <c r="N73" s="61" t="str">
        <f>IF(Table2683262[[#This Row],[Fault Type]]="PM",IF(L73&lt;=(D73-C73),"Yes","No"),"")</f>
        <v/>
      </c>
      <c r="O73" s="62" t="str">
        <f t="shared" si="2"/>
        <v/>
      </c>
      <c r="P7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3" s="63"/>
    </row>
    <row r="74" spans="1:17" ht="15.5" x14ac:dyDescent="0.35">
      <c r="A74" s="58"/>
      <c r="B74" s="55"/>
      <c r="C74" s="56"/>
      <c r="D74" s="56"/>
      <c r="E74" s="13"/>
      <c r="F74" s="55"/>
      <c r="G74" s="55"/>
      <c r="H74" s="57"/>
      <c r="I74" s="18"/>
      <c r="J74" s="13"/>
      <c r="K74" s="80"/>
      <c r="L74" s="14">
        <f t="shared" si="0"/>
        <v>0</v>
      </c>
      <c r="M74" s="59">
        <f t="shared" si="6"/>
        <v>0</v>
      </c>
      <c r="N74" s="61" t="str">
        <f>IF(Table2683262[[#This Row],[Fault Type]]="PM",IF(L74&lt;=(D74-C74),"Yes","No"),"")</f>
        <v/>
      </c>
      <c r="O74" s="62" t="str">
        <f t="shared" si="2"/>
        <v/>
      </c>
      <c r="P7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4" s="63"/>
    </row>
    <row r="75" spans="1:17" ht="15.5" x14ac:dyDescent="0.35">
      <c r="A75" s="58"/>
      <c r="B75" s="55"/>
      <c r="C75" s="56"/>
      <c r="D75" s="56"/>
      <c r="E75" s="13"/>
      <c r="F75" s="55"/>
      <c r="G75" s="55"/>
      <c r="H75" s="57"/>
      <c r="I75" s="18"/>
      <c r="J75" s="13"/>
      <c r="K75" s="32"/>
      <c r="L75" s="14">
        <f t="shared" si="0"/>
        <v>0</v>
      </c>
      <c r="M75" s="59">
        <f t="shared" si="6"/>
        <v>0</v>
      </c>
      <c r="N75" s="61" t="str">
        <f>IF(Table2683262[[#This Row],[Fault Type]]="PM",IF(L75&lt;=(D75-C75),"Yes","No"),"")</f>
        <v/>
      </c>
      <c r="O75" s="62" t="str">
        <f t="shared" si="2"/>
        <v/>
      </c>
      <c r="P7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5" s="63"/>
    </row>
    <row r="76" spans="1:17" ht="15.5" x14ac:dyDescent="0.35">
      <c r="A76" s="58"/>
      <c r="B76" s="55"/>
      <c r="C76" s="56"/>
      <c r="D76" s="56"/>
      <c r="E76" s="13"/>
      <c r="F76" s="55"/>
      <c r="G76" s="55"/>
      <c r="H76" s="57"/>
      <c r="I76" s="18"/>
      <c r="J76" s="13"/>
      <c r="K76" s="32"/>
      <c r="L76" s="14">
        <f t="shared" si="0"/>
        <v>0</v>
      </c>
      <c r="M76" s="59">
        <f t="shared" si="6"/>
        <v>0</v>
      </c>
      <c r="N76" s="61" t="str">
        <f>IF(Table2683262[[#This Row],[Fault Type]]="PM",IF(L76&lt;=(D76-C76),"Yes","No"),"")</f>
        <v/>
      </c>
      <c r="O76" s="62" t="str">
        <f t="shared" si="2"/>
        <v/>
      </c>
      <c r="P7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6" s="63"/>
    </row>
    <row r="77" spans="1:17" ht="15.5" x14ac:dyDescent="0.35">
      <c r="A77" s="58"/>
      <c r="B77" s="55"/>
      <c r="C77" s="56"/>
      <c r="D77" s="56"/>
      <c r="E77" s="13"/>
      <c r="F77" s="55"/>
      <c r="G77" s="55"/>
      <c r="H77" s="57"/>
      <c r="I77" s="18"/>
      <c r="J77" s="13"/>
      <c r="K77" s="83"/>
      <c r="L77" s="14">
        <f t="shared" si="0"/>
        <v>0</v>
      </c>
      <c r="M77" s="59">
        <f t="shared" si="6"/>
        <v>0</v>
      </c>
      <c r="N77" s="61" t="str">
        <f>IF(Table2683262[[#This Row],[Fault Type]]="PM",IF(L77&lt;=(D77-C77),"Yes","No"),"")</f>
        <v/>
      </c>
      <c r="O77" s="62" t="str">
        <f t="shared" si="2"/>
        <v/>
      </c>
      <c r="P7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7" s="63"/>
    </row>
    <row r="78" spans="1:17" ht="15.5" x14ac:dyDescent="0.35">
      <c r="A78" s="58"/>
      <c r="B78" s="55"/>
      <c r="C78" s="56"/>
      <c r="D78" s="56"/>
      <c r="E78" s="13"/>
      <c r="F78" s="55"/>
      <c r="G78" s="55"/>
      <c r="H78" s="57"/>
      <c r="I78" s="18"/>
      <c r="J78" s="13"/>
      <c r="K78" s="83"/>
      <c r="L78" s="14">
        <f t="shared" si="0"/>
        <v>0</v>
      </c>
      <c r="M78" s="59">
        <f t="shared" si="6"/>
        <v>0</v>
      </c>
      <c r="N78" s="61" t="str">
        <f>IF(Table2683262[[#This Row],[Fault Type]]="PM",IF(L78&lt;=(D78-C78),"Yes","No"),"")</f>
        <v/>
      </c>
      <c r="O78" s="62" t="str">
        <f t="shared" si="2"/>
        <v/>
      </c>
      <c r="P7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8" s="63"/>
    </row>
    <row r="79" spans="1:17" ht="15.5" x14ac:dyDescent="0.35">
      <c r="A79" s="58"/>
      <c r="B79" s="55"/>
      <c r="C79" s="56"/>
      <c r="D79" s="56"/>
      <c r="E79" s="13"/>
      <c r="F79" s="55"/>
      <c r="G79" s="55"/>
      <c r="H79" s="57"/>
      <c r="I79" s="18"/>
      <c r="J79" s="13"/>
      <c r="K79" s="83"/>
      <c r="L79" s="14">
        <f t="shared" si="0"/>
        <v>0</v>
      </c>
      <c r="M79" s="59">
        <f t="shared" si="6"/>
        <v>0</v>
      </c>
      <c r="N79" s="61" t="str">
        <f>IF(Table2683262[[#This Row],[Fault Type]]="PM",IF(L79&lt;=(D79-C79),"Yes","No"),"")</f>
        <v/>
      </c>
      <c r="O79" s="62" t="str">
        <f t="shared" si="2"/>
        <v/>
      </c>
      <c r="P7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79" s="63"/>
    </row>
    <row r="80" spans="1:17" ht="15.5" x14ac:dyDescent="0.35">
      <c r="A80" s="58"/>
      <c r="B80" s="55"/>
      <c r="C80" s="56"/>
      <c r="D80" s="56"/>
      <c r="E80" s="13"/>
      <c r="F80" s="55"/>
      <c r="G80" s="55"/>
      <c r="H80" s="57"/>
      <c r="I80" s="18"/>
      <c r="J80" s="13"/>
      <c r="K80" s="83"/>
      <c r="L80" s="14">
        <f t="shared" ref="L80:L93" si="7">J80-E80</f>
        <v>0</v>
      </c>
      <c r="M80" s="59">
        <f t="shared" si="6"/>
        <v>0</v>
      </c>
      <c r="N80" s="61" t="str">
        <f>IF(Table2683262[[#This Row],[Fault Type]]="PM",IF(L80&lt;=(D80-C80),"Yes","No"),"")</f>
        <v/>
      </c>
      <c r="O80" s="62" t="str">
        <f t="shared" ref="O80:O93" si="8">IF(N80="No",(L80-(D80-C80)),"")</f>
        <v/>
      </c>
      <c r="P8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0" s="63"/>
    </row>
    <row r="81" spans="1:17" ht="15.5" x14ac:dyDescent="0.35">
      <c r="A81" s="58"/>
      <c r="B81" s="55"/>
      <c r="C81" s="56"/>
      <c r="D81" s="56"/>
      <c r="E81" s="13"/>
      <c r="F81" s="55"/>
      <c r="G81" s="55"/>
      <c r="H81" s="57"/>
      <c r="I81" s="18"/>
      <c r="J81" s="13"/>
      <c r="K81" s="83"/>
      <c r="L81" s="14">
        <f t="shared" si="7"/>
        <v>0</v>
      </c>
      <c r="M81" s="59">
        <f t="shared" si="6"/>
        <v>0</v>
      </c>
      <c r="N81" s="61" t="str">
        <f>IF(Table2683262[[#This Row],[Fault Type]]="PM",IF(L81&lt;=(D81-C81),"Yes","No"),"")</f>
        <v/>
      </c>
      <c r="O81" s="62" t="str">
        <f t="shared" si="8"/>
        <v/>
      </c>
      <c r="P8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1" s="63"/>
    </row>
    <row r="82" spans="1:17" ht="15.5" x14ac:dyDescent="0.35">
      <c r="A82" s="58"/>
      <c r="B82" s="55"/>
      <c r="C82" s="56"/>
      <c r="D82" s="56"/>
      <c r="E82" s="13"/>
      <c r="F82" s="55"/>
      <c r="G82" s="55"/>
      <c r="H82" s="57"/>
      <c r="I82" s="18"/>
      <c r="J82" s="13"/>
      <c r="K82" s="83"/>
      <c r="L82" s="14">
        <f t="shared" si="7"/>
        <v>0</v>
      </c>
      <c r="M82" s="59">
        <f t="shared" si="6"/>
        <v>0</v>
      </c>
      <c r="N82" s="61" t="str">
        <f>IF(Table2683262[[#This Row],[Fault Type]]="PM",IF(L82&lt;=(D82-C82),"Yes","No"),"")</f>
        <v/>
      </c>
      <c r="O82" s="62" t="str">
        <f t="shared" si="8"/>
        <v/>
      </c>
      <c r="P8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2" s="63"/>
    </row>
    <row r="83" spans="1:17" ht="15.5" x14ac:dyDescent="0.35">
      <c r="A83" s="58"/>
      <c r="B83" s="55"/>
      <c r="C83" s="56"/>
      <c r="D83" s="56"/>
      <c r="E83" s="13"/>
      <c r="F83" s="55"/>
      <c r="G83" s="55"/>
      <c r="H83" s="57"/>
      <c r="I83" s="18"/>
      <c r="J83" s="13"/>
      <c r="K83" s="83"/>
      <c r="L83" s="14">
        <f t="shared" si="7"/>
        <v>0</v>
      </c>
      <c r="M83" s="59">
        <f t="shared" si="6"/>
        <v>0</v>
      </c>
      <c r="N83" s="61" t="str">
        <f>IF(Table2683262[[#This Row],[Fault Type]]="PM",IF(L83&lt;=(D83-C83),"Yes","No"),"")</f>
        <v/>
      </c>
      <c r="O83" s="62" t="str">
        <f t="shared" si="8"/>
        <v/>
      </c>
      <c r="P8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3" s="63"/>
    </row>
    <row r="84" spans="1:17" ht="15.5" x14ac:dyDescent="0.35">
      <c r="A84" s="58"/>
      <c r="B84" s="55"/>
      <c r="C84" s="56"/>
      <c r="D84" s="56"/>
      <c r="E84" s="13"/>
      <c r="F84" s="55"/>
      <c r="G84" s="55"/>
      <c r="H84" s="57"/>
      <c r="I84" s="18"/>
      <c r="J84" s="13"/>
      <c r="K84" s="83"/>
      <c r="L84" s="14">
        <f t="shared" si="7"/>
        <v>0</v>
      </c>
      <c r="M84" s="59">
        <f t="shared" si="6"/>
        <v>0</v>
      </c>
      <c r="N84" s="61" t="str">
        <f>IF(Table2683262[[#This Row],[Fault Type]]="PM",IF(L84&lt;=(D84-C84),"Yes","No"),"")</f>
        <v/>
      </c>
      <c r="O84" s="62" t="str">
        <f t="shared" si="8"/>
        <v/>
      </c>
      <c r="P8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4" s="63"/>
    </row>
    <row r="85" spans="1:17" ht="15.5" x14ac:dyDescent="0.35">
      <c r="A85" s="58"/>
      <c r="B85" s="55"/>
      <c r="C85" s="56"/>
      <c r="D85" s="56"/>
      <c r="E85" s="13"/>
      <c r="F85" s="55"/>
      <c r="G85" s="55"/>
      <c r="H85" s="57"/>
      <c r="I85" s="18"/>
      <c r="J85" s="13"/>
      <c r="K85" s="83"/>
      <c r="L85" s="14">
        <f t="shared" si="7"/>
        <v>0</v>
      </c>
      <c r="M85" s="59">
        <f t="shared" si="6"/>
        <v>0</v>
      </c>
      <c r="N85" s="61" t="str">
        <f>IF(Table2683262[[#This Row],[Fault Type]]="PM",IF(L85&lt;=(D85-C85),"Yes","No"),"")</f>
        <v/>
      </c>
      <c r="O85" s="62" t="str">
        <f t="shared" si="8"/>
        <v/>
      </c>
      <c r="P8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5" s="63"/>
    </row>
    <row r="86" spans="1:17" ht="15.5" x14ac:dyDescent="0.35">
      <c r="A86" s="58"/>
      <c r="B86" s="55"/>
      <c r="C86" s="56"/>
      <c r="D86" s="56"/>
      <c r="E86" s="13"/>
      <c r="F86" s="55"/>
      <c r="G86" s="55"/>
      <c r="H86" s="57"/>
      <c r="I86" s="18"/>
      <c r="J86" s="13"/>
      <c r="K86" s="83"/>
      <c r="L86" s="14">
        <f t="shared" si="7"/>
        <v>0</v>
      </c>
      <c r="M86" s="59">
        <f t="shared" si="6"/>
        <v>0</v>
      </c>
      <c r="N86" s="61" t="str">
        <f>IF(Table2683262[[#This Row],[Fault Type]]="PM",IF(L86&lt;=(D86-C86),"Yes","No"),"")</f>
        <v/>
      </c>
      <c r="O86" s="62" t="str">
        <f t="shared" si="8"/>
        <v/>
      </c>
      <c r="P8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6" s="63"/>
    </row>
    <row r="87" spans="1:17" ht="15.5" x14ac:dyDescent="0.35">
      <c r="A87" s="58"/>
      <c r="B87" s="55"/>
      <c r="C87" s="56"/>
      <c r="D87" s="56"/>
      <c r="E87" s="13"/>
      <c r="F87" s="55"/>
      <c r="G87" s="55"/>
      <c r="H87" s="57"/>
      <c r="I87" s="18"/>
      <c r="J87" s="13"/>
      <c r="K87" s="83"/>
      <c r="L87" s="14">
        <f t="shared" si="7"/>
        <v>0</v>
      </c>
      <c r="M87" s="59">
        <f t="shared" si="6"/>
        <v>0</v>
      </c>
      <c r="N87" s="61" t="str">
        <f>IF(Table2683262[[#This Row],[Fault Type]]="PM",IF(L87&lt;=(D87-C87),"Yes","No"),"")</f>
        <v/>
      </c>
      <c r="O87" s="62" t="str">
        <f t="shared" si="8"/>
        <v/>
      </c>
      <c r="P8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7" s="63"/>
    </row>
    <row r="88" spans="1:17" ht="15.5" x14ac:dyDescent="0.35">
      <c r="A88" s="58"/>
      <c r="B88" s="55"/>
      <c r="C88" s="56"/>
      <c r="D88" s="56"/>
      <c r="E88" s="13"/>
      <c r="F88" s="55"/>
      <c r="G88" s="55"/>
      <c r="H88" s="57"/>
      <c r="I88" s="18"/>
      <c r="J88" s="13"/>
      <c r="K88" s="83"/>
      <c r="L88" s="14">
        <f t="shared" si="7"/>
        <v>0</v>
      </c>
      <c r="M88" s="59">
        <f t="shared" si="6"/>
        <v>0</v>
      </c>
      <c r="N88" s="61" t="str">
        <f>IF(Table2683262[[#This Row],[Fault Type]]="PM",IF(L88&lt;=(D88-C88),"Yes","No"),"")</f>
        <v/>
      </c>
      <c r="O88" s="62" t="str">
        <f t="shared" si="8"/>
        <v/>
      </c>
      <c r="P8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8" s="63"/>
    </row>
    <row r="89" spans="1:17" ht="15.5" x14ac:dyDescent="0.35">
      <c r="A89" s="58"/>
      <c r="B89" s="55"/>
      <c r="C89" s="56"/>
      <c r="D89" s="56"/>
      <c r="E89" s="13"/>
      <c r="F89" s="55"/>
      <c r="G89" s="55"/>
      <c r="H89" s="57"/>
      <c r="I89" s="18"/>
      <c r="J89" s="13"/>
      <c r="K89" s="83"/>
      <c r="L89" s="14">
        <f t="shared" si="7"/>
        <v>0</v>
      </c>
      <c r="M89" s="59">
        <f t="shared" si="6"/>
        <v>0</v>
      </c>
      <c r="N89" s="61" t="str">
        <f>IF(Table2683262[[#This Row],[Fault Type]]="PM",IF(L89&lt;=(D89-C89),"Yes","No"),"")</f>
        <v/>
      </c>
      <c r="O89" s="62" t="str">
        <f t="shared" si="8"/>
        <v/>
      </c>
      <c r="P8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89" s="63"/>
    </row>
    <row r="90" spans="1:17" ht="15.5" x14ac:dyDescent="0.35">
      <c r="A90" s="58"/>
      <c r="B90" s="55"/>
      <c r="C90" s="56"/>
      <c r="D90" s="56"/>
      <c r="E90" s="13"/>
      <c r="F90" s="55"/>
      <c r="G90" s="55"/>
      <c r="H90" s="57"/>
      <c r="I90" s="18"/>
      <c r="J90" s="13"/>
      <c r="K90" s="83"/>
      <c r="L90" s="14">
        <f t="shared" si="7"/>
        <v>0</v>
      </c>
      <c r="M90" s="59">
        <f t="shared" si="6"/>
        <v>0</v>
      </c>
      <c r="N90" s="61" t="str">
        <f>IF(Table2683262[[#This Row],[Fault Type]]="PM",IF(L90&lt;=(D90-C90),"Yes","No"),"")</f>
        <v/>
      </c>
      <c r="O90" s="62" t="str">
        <f t="shared" si="8"/>
        <v/>
      </c>
      <c r="P9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0" s="63"/>
    </row>
    <row r="91" spans="1:17" ht="15.5" x14ac:dyDescent="0.35">
      <c r="A91" s="58"/>
      <c r="B91" s="55"/>
      <c r="C91" s="56"/>
      <c r="D91" s="56"/>
      <c r="E91" s="13"/>
      <c r="F91" s="55"/>
      <c r="G91" s="55"/>
      <c r="H91" s="57"/>
      <c r="I91" s="18"/>
      <c r="J91" s="13"/>
      <c r="K91" s="83"/>
      <c r="L91" s="14">
        <f t="shared" si="7"/>
        <v>0</v>
      </c>
      <c r="M91" s="59">
        <f t="shared" si="6"/>
        <v>0</v>
      </c>
      <c r="N91" s="61" t="str">
        <f>IF(Table2683262[[#This Row],[Fault Type]]="PM",IF(L91&lt;=(D91-C91),"Yes","No"),"")</f>
        <v/>
      </c>
      <c r="O91" s="62" t="str">
        <f t="shared" si="8"/>
        <v/>
      </c>
      <c r="P9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1" s="63"/>
    </row>
    <row r="92" spans="1:17" ht="15.5" x14ac:dyDescent="0.35">
      <c r="A92" s="58"/>
      <c r="B92" s="55"/>
      <c r="C92" s="56"/>
      <c r="D92" s="56"/>
      <c r="E92" s="13"/>
      <c r="F92" s="55"/>
      <c r="G92" s="55"/>
      <c r="H92" s="57"/>
      <c r="I92" s="18"/>
      <c r="J92" s="13"/>
      <c r="K92" s="83"/>
      <c r="L92" s="14">
        <f t="shared" si="7"/>
        <v>0</v>
      </c>
      <c r="M92" s="59">
        <f t="shared" si="6"/>
        <v>0</v>
      </c>
      <c r="N92" s="61" t="str">
        <f>IF(Table2683262[[#This Row],[Fault Type]]="PM",IF(L92&lt;=(D92-C92),"Yes","No"),"")</f>
        <v/>
      </c>
      <c r="O92" s="62" t="str">
        <f t="shared" si="8"/>
        <v/>
      </c>
      <c r="P9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2" s="63"/>
    </row>
    <row r="93" spans="1:17" ht="15.5" x14ac:dyDescent="0.35">
      <c r="A93" s="58"/>
      <c r="B93" s="55"/>
      <c r="C93" s="56"/>
      <c r="D93" s="56"/>
      <c r="E93" s="13"/>
      <c r="F93" s="55"/>
      <c r="G93" s="55"/>
      <c r="H93" s="57"/>
      <c r="I93" s="18"/>
      <c r="J93" s="13"/>
      <c r="K93" s="83"/>
      <c r="L93" s="14">
        <f t="shared" si="7"/>
        <v>0</v>
      </c>
      <c r="M93" s="59">
        <f t="shared" si="6"/>
        <v>0</v>
      </c>
      <c r="N93" s="61" t="str">
        <f>IF(Table2683262[[#This Row],[Fault Type]]="PM",IF(L93&lt;=(D93-C93),"Yes","No"),"")</f>
        <v/>
      </c>
      <c r="O93" s="62" t="str">
        <f t="shared" si="8"/>
        <v/>
      </c>
      <c r="P9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3" s="63"/>
    </row>
    <row r="94" spans="1:17" ht="15.5" x14ac:dyDescent="0.35">
      <c r="A94" s="92"/>
      <c r="B94" s="93"/>
      <c r="C94" s="94"/>
      <c r="D94" s="94"/>
      <c r="E94" s="13"/>
      <c r="F94" s="55"/>
      <c r="G94" s="93"/>
      <c r="H94" s="57"/>
      <c r="I94" s="95"/>
      <c r="J94" s="13"/>
      <c r="K94" s="83"/>
      <c r="L94" s="96">
        <f t="shared" ref="L94:L106" si="9">J94-E94</f>
        <v>0</v>
      </c>
      <c r="M94" s="97">
        <f t="shared" ref="M94:M106" si="10">L94*F94</f>
        <v>0</v>
      </c>
      <c r="N94" s="98" t="str">
        <f>IF(Table2683262[[#This Row],[Fault Type]]="PM",IF(L94&lt;=(D94-C94),"Yes","No"),"")</f>
        <v/>
      </c>
      <c r="O94" s="99" t="str">
        <f t="shared" ref="O94:O106" si="11">IF(N94="No",(L94-(D94-C94)),"")</f>
        <v/>
      </c>
      <c r="P9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4" s="91"/>
    </row>
    <row r="95" spans="1:17" ht="15.5" x14ac:dyDescent="0.35">
      <c r="A95" s="92"/>
      <c r="B95" s="93"/>
      <c r="C95" s="94"/>
      <c r="D95" s="94"/>
      <c r="E95" s="13"/>
      <c r="F95" s="55"/>
      <c r="G95" s="93"/>
      <c r="H95" s="57"/>
      <c r="I95" s="95"/>
      <c r="J95" s="13"/>
      <c r="K95" s="83"/>
      <c r="L95" s="96">
        <f t="shared" si="9"/>
        <v>0</v>
      </c>
      <c r="M95" s="97">
        <f t="shared" si="10"/>
        <v>0</v>
      </c>
      <c r="N95" s="98" t="str">
        <f>IF(Table2683262[[#This Row],[Fault Type]]="PM",IF(L95&lt;=(D95-C95),"Yes","No"),"")</f>
        <v/>
      </c>
      <c r="O95" s="99" t="str">
        <f t="shared" si="11"/>
        <v/>
      </c>
      <c r="P9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5" s="91"/>
    </row>
    <row r="96" spans="1:17" ht="15.5" x14ac:dyDescent="0.35">
      <c r="A96" s="92"/>
      <c r="B96" s="93"/>
      <c r="C96" s="94"/>
      <c r="D96" s="94"/>
      <c r="E96" s="13"/>
      <c r="F96" s="55"/>
      <c r="G96" s="93"/>
      <c r="H96" s="57"/>
      <c r="I96" s="95"/>
      <c r="J96" s="13"/>
      <c r="K96" s="83"/>
      <c r="L96" s="96">
        <f t="shared" si="9"/>
        <v>0</v>
      </c>
      <c r="M96" s="97">
        <f t="shared" si="10"/>
        <v>0</v>
      </c>
      <c r="N96" s="98" t="str">
        <f>IF(Table2683262[[#This Row],[Fault Type]]="PM",IF(L96&lt;=(D96-C96),"Yes","No"),"")</f>
        <v/>
      </c>
      <c r="O96" s="99" t="str">
        <f t="shared" si="11"/>
        <v/>
      </c>
      <c r="P9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6" s="91"/>
    </row>
    <row r="97" spans="1:17" ht="15.5" x14ac:dyDescent="0.35">
      <c r="A97" s="92"/>
      <c r="B97" s="93"/>
      <c r="C97" s="94"/>
      <c r="D97" s="94"/>
      <c r="E97" s="13"/>
      <c r="F97" s="55"/>
      <c r="G97" s="93"/>
      <c r="H97" s="57"/>
      <c r="I97" s="95"/>
      <c r="J97" s="13"/>
      <c r="K97" s="83"/>
      <c r="L97" s="96">
        <f t="shared" si="9"/>
        <v>0</v>
      </c>
      <c r="M97" s="97">
        <f t="shared" si="10"/>
        <v>0</v>
      </c>
      <c r="N97" s="98" t="str">
        <f>IF(Table2683262[[#This Row],[Fault Type]]="PM",IF(L97&lt;=(D97-C97),"Yes","No"),"")</f>
        <v/>
      </c>
      <c r="O97" s="99" t="str">
        <f t="shared" si="11"/>
        <v/>
      </c>
      <c r="P97"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7" s="91"/>
    </row>
    <row r="98" spans="1:17" ht="15.5" x14ac:dyDescent="0.35">
      <c r="A98" s="92"/>
      <c r="B98" s="93"/>
      <c r="C98" s="94"/>
      <c r="D98" s="94"/>
      <c r="E98" s="13"/>
      <c r="F98" s="55"/>
      <c r="G98" s="93"/>
      <c r="H98" s="57"/>
      <c r="I98" s="95"/>
      <c r="J98" s="13"/>
      <c r="K98" s="83"/>
      <c r="L98" s="96">
        <f t="shared" si="9"/>
        <v>0</v>
      </c>
      <c r="M98" s="97">
        <f t="shared" si="10"/>
        <v>0</v>
      </c>
      <c r="N98" s="98" t="str">
        <f>IF(Table2683262[[#This Row],[Fault Type]]="PM",IF(L98&lt;=(D98-C98),"Yes","No"),"")</f>
        <v/>
      </c>
      <c r="O98" s="99" t="str">
        <f t="shared" si="11"/>
        <v/>
      </c>
      <c r="P98"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8" s="91"/>
    </row>
    <row r="99" spans="1:17" ht="15.5" x14ac:dyDescent="0.35">
      <c r="A99" s="92"/>
      <c r="B99" s="93"/>
      <c r="C99" s="94"/>
      <c r="D99" s="94"/>
      <c r="E99" s="13"/>
      <c r="F99" s="55"/>
      <c r="G99" s="93"/>
      <c r="H99" s="18"/>
      <c r="I99" s="95"/>
      <c r="J99" s="13"/>
      <c r="K99" s="83"/>
      <c r="L99" s="96">
        <f t="shared" si="9"/>
        <v>0</v>
      </c>
      <c r="M99" s="97">
        <f t="shared" si="10"/>
        <v>0</v>
      </c>
      <c r="N99" s="98" t="str">
        <f>IF(Table2683262[[#This Row],[Fault Type]]="PM",IF(L99&lt;=(D99-C99),"Yes","No"),"")</f>
        <v/>
      </c>
      <c r="O99" s="99" t="str">
        <f t="shared" si="11"/>
        <v/>
      </c>
      <c r="P99"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99" s="91"/>
    </row>
    <row r="100" spans="1:17" ht="15.5" x14ac:dyDescent="0.35">
      <c r="A100" s="92"/>
      <c r="B100" s="93"/>
      <c r="C100" s="94"/>
      <c r="D100" s="94"/>
      <c r="E100" s="13"/>
      <c r="F100" s="55"/>
      <c r="G100" s="93"/>
      <c r="H100" s="57"/>
      <c r="I100" s="95"/>
      <c r="J100" s="13"/>
      <c r="K100" s="83"/>
      <c r="L100" s="96">
        <f t="shared" si="9"/>
        <v>0</v>
      </c>
      <c r="M100" s="97">
        <f t="shared" si="10"/>
        <v>0</v>
      </c>
      <c r="N100" s="98" t="str">
        <f>IF(Table2683262[[#This Row],[Fault Type]]="PM",IF(L100&lt;=(D100-C100),"Yes","No"),"")</f>
        <v/>
      </c>
      <c r="O100" s="99" t="str">
        <f t="shared" si="11"/>
        <v/>
      </c>
      <c r="P100"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0" s="91"/>
    </row>
    <row r="101" spans="1:17" ht="15.5" x14ac:dyDescent="0.35">
      <c r="A101" s="92"/>
      <c r="B101" s="93"/>
      <c r="C101" s="94"/>
      <c r="D101" s="94"/>
      <c r="E101" s="13"/>
      <c r="F101" s="55"/>
      <c r="G101" s="93"/>
      <c r="H101" s="57"/>
      <c r="I101" s="95"/>
      <c r="J101" s="13"/>
      <c r="K101" s="83"/>
      <c r="L101" s="96">
        <f t="shared" si="9"/>
        <v>0</v>
      </c>
      <c r="M101" s="97">
        <f t="shared" si="10"/>
        <v>0</v>
      </c>
      <c r="N101" s="98" t="str">
        <f>IF(Table2683262[[#This Row],[Fault Type]]="PM",IF(L101&lt;=(D101-C101),"Yes","No"),"")</f>
        <v/>
      </c>
      <c r="O101" s="99" t="str">
        <f t="shared" si="11"/>
        <v/>
      </c>
      <c r="P101"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1" s="91"/>
    </row>
    <row r="102" spans="1:17" ht="15.5" x14ac:dyDescent="0.35">
      <c r="A102" s="92"/>
      <c r="B102" s="93"/>
      <c r="C102" s="94"/>
      <c r="D102" s="94"/>
      <c r="E102" s="13"/>
      <c r="F102" s="55"/>
      <c r="G102" s="93"/>
      <c r="H102" s="57"/>
      <c r="I102" s="95"/>
      <c r="J102" s="13"/>
      <c r="K102" s="83"/>
      <c r="L102" s="96">
        <f t="shared" si="9"/>
        <v>0</v>
      </c>
      <c r="M102" s="97">
        <f t="shared" si="10"/>
        <v>0</v>
      </c>
      <c r="N102" s="98" t="str">
        <f>IF(Table2683262[[#This Row],[Fault Type]]="PM",IF(L102&lt;=(D102-C102),"Yes","No"),"")</f>
        <v/>
      </c>
      <c r="O102" s="99" t="str">
        <f t="shared" si="11"/>
        <v/>
      </c>
      <c r="P102"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2" s="91"/>
    </row>
    <row r="103" spans="1:17" ht="15.5" x14ac:dyDescent="0.35">
      <c r="A103" s="92"/>
      <c r="B103" s="93"/>
      <c r="C103" s="94"/>
      <c r="D103" s="94"/>
      <c r="E103" s="13"/>
      <c r="F103" s="55"/>
      <c r="G103" s="93"/>
      <c r="H103" s="57"/>
      <c r="I103" s="95"/>
      <c r="J103" s="13"/>
      <c r="K103" s="83"/>
      <c r="L103" s="96">
        <f t="shared" si="9"/>
        <v>0</v>
      </c>
      <c r="M103" s="97">
        <f t="shared" si="10"/>
        <v>0</v>
      </c>
      <c r="N103" s="98" t="str">
        <f>IF(Table2683262[[#This Row],[Fault Type]]="PM",IF(L103&lt;=(D103-C103),"Yes","No"),"")</f>
        <v/>
      </c>
      <c r="O103" s="99" t="str">
        <f t="shared" si="11"/>
        <v/>
      </c>
      <c r="P103"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3" s="91"/>
    </row>
    <row r="104" spans="1:17" ht="15.5" x14ac:dyDescent="0.35">
      <c r="A104" s="92"/>
      <c r="B104" s="93"/>
      <c r="C104" s="94"/>
      <c r="D104" s="94"/>
      <c r="E104" s="13"/>
      <c r="F104" s="55"/>
      <c r="G104" s="93"/>
      <c r="H104" s="57"/>
      <c r="I104" s="95"/>
      <c r="J104" s="13"/>
      <c r="K104" s="83"/>
      <c r="L104" s="96">
        <f t="shared" si="9"/>
        <v>0</v>
      </c>
      <c r="M104" s="97">
        <f t="shared" si="10"/>
        <v>0</v>
      </c>
      <c r="N104" s="98" t="str">
        <f>IF(Table2683262[[#This Row],[Fault Type]]="PM",IF(L104&lt;=(D104-C104),"Yes","No"),"")</f>
        <v/>
      </c>
      <c r="O104" s="99" t="str">
        <f t="shared" si="11"/>
        <v/>
      </c>
      <c r="P104"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4" s="91"/>
    </row>
    <row r="105" spans="1:17" ht="15.5" x14ac:dyDescent="0.35">
      <c r="A105" s="92"/>
      <c r="B105" s="93"/>
      <c r="C105" s="94"/>
      <c r="D105" s="94"/>
      <c r="E105" s="13"/>
      <c r="F105" s="55"/>
      <c r="G105" s="93"/>
      <c r="H105" s="57"/>
      <c r="I105" s="95"/>
      <c r="J105" s="13"/>
      <c r="K105" s="83"/>
      <c r="L105" s="96">
        <f t="shared" si="9"/>
        <v>0</v>
      </c>
      <c r="M105" s="97">
        <f t="shared" si="10"/>
        <v>0</v>
      </c>
      <c r="N105" s="98" t="str">
        <f>IF(Table2683262[[#This Row],[Fault Type]]="PM",IF(L105&lt;=(D105-C105),"Yes","No"),"")</f>
        <v/>
      </c>
      <c r="O105" s="99" t="str">
        <f t="shared" si="11"/>
        <v/>
      </c>
      <c r="P105"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5" s="91"/>
    </row>
    <row r="106" spans="1:17" ht="15.5" x14ac:dyDescent="0.35">
      <c r="A106" s="92"/>
      <c r="B106" s="93"/>
      <c r="C106" s="94"/>
      <c r="D106" s="94"/>
      <c r="E106" s="13"/>
      <c r="F106" s="55"/>
      <c r="G106" s="93"/>
      <c r="H106" s="57"/>
      <c r="I106" s="95"/>
      <c r="J106" s="13"/>
      <c r="K106" s="83"/>
      <c r="L106" s="96">
        <f t="shared" si="9"/>
        <v>0</v>
      </c>
      <c r="M106" s="97">
        <f t="shared" si="10"/>
        <v>0</v>
      </c>
      <c r="N106" s="98" t="str">
        <f>IF(Table2683262[[#This Row],[Fault Type]]="PM",IF(L106&lt;=(D106-C106),"Yes","No"),"")</f>
        <v/>
      </c>
      <c r="O106" s="99" t="str">
        <f t="shared" si="11"/>
        <v/>
      </c>
      <c r="P106" s="30" t="str">
        <f>IF(AND(Table2683262[[#This Row],[Name of Feeder]]&lt;&gt;"",OR(Table2683262[[#This Row],[Fault Type]]="TL",Table2683262[[#This Row],[Fault Type]]="TS",Table2683262[[#This Row],[Fault Type]]="UF",Table2683262[[#This Row],[Fault Type]]="SE")),(IF(AND(VLOOKUP(Table2683262[[#This Row],[Name of Feeder]],Main!D:E,2,0)="URBAN",ISNUMBER(SEARCH("33KV",Table2683262[[#This Row],[Name of Feeder]]))),IF(AND(Table2683262[[#This Row],[Outage Duration]]&gt;0,Table2683262[[#This Row],[Outage Duration]]&lt;=0.25),"Yes","No"),IF(AND(VLOOKUP(Table2683262[[#This Row],[Name of Feeder]],Main!D:E,2,0)="RURAL",ISNUMBER(SEARCH("33KV",Table2683262[[#This Row],[Name of Feeder]]))),IF(AND(Table2683262[[#This Row],[Outage Duration]]&gt;0,Table2683262[[#This Row],[Outage Duration]]&lt;=0.33),"Yes","No"),IF(AND(VLOOKUP(Table2683262[[#This Row],[Name of Feeder]],Main!D:E,2,0)="RURAL",ISNUMBER(SEARCH("11KV",Table2683262[[#This Row],[Name of Feeder]]))),IF(AND(Table2683262[[#This Row],[Outage Duration]]&gt;0,Table2683262[[#This Row],[Outage Duration]]&lt;=0.17),"Yes","No"),IF(AND(VLOOKUP(Table2683262[[#This Row],[Name of Feeder]],Main!D:E,2,0)="URBAN",ISNUMBER(SEARCH("11KV",Table2683262[[#This Row],[Name of Feeder]]))),IF(AND(Table2683262[[#This Row],[Outage Duration]]&gt;0,Table2683262[[#This Row],[Outage Duration]]&lt;=0.17),"Yes","No"),""))))),"")</f>
        <v/>
      </c>
      <c r="Q106" s="9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Main!$F$226:$F$228</xm:f>
          </x14:formula1>
          <xm:sqref>I2:I106</xm:sqref>
        </x14:dataValidation>
        <x14:dataValidation type="list" allowBlank="1" showInputMessage="1" showErrorMessage="1" xr:uid="{00000000-0002-0000-0800-000001000000}">
          <x14:formula1>
            <xm:f>Main!$D$2:$D$196</xm:f>
          </x14:formula1>
          <xm:sqref>A2:A106</xm:sqref>
        </x14:dataValidation>
        <x14:dataValidation type="list" allowBlank="1" showInputMessage="1" showErrorMessage="1" xr:uid="{00000000-0002-0000-0800-000002000000}">
          <x14:formula1>
            <xm:f>Main!F$222:F$225</xm:f>
          </x14:formula1>
          <xm:sqref>G2:G106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Ranking Region</vt:lpstr>
      <vt:lpstr>Ranking TSP</vt:lpstr>
      <vt:lpstr>Main</vt:lpstr>
      <vt:lpstr>Supply Hours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2022-08-12T13:44:14Z</dcterms:modified>
</cp:coreProperties>
</file>