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7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9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0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1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nidades compartidas\Practicas_Inst2\1_Vapor\Guias_tecnica-herramientas_calculo\"/>
    </mc:Choice>
  </mc:AlternateContent>
  <xr:revisionPtr revIDLastSave="0" documentId="13_ncr:1_{96785DB0-EF4F-416E-9732-9DAB18FE1A6E}" xr6:coauthVersionLast="47" xr6:coauthVersionMax="47" xr10:uidLastSave="{00000000-0000-0000-0000-000000000000}"/>
  <workbookProtection workbookPassword="D96D" lockStructure="1"/>
  <bookViews>
    <workbookView showSheetTabs="0" xWindow="-108" yWindow="-108" windowWidth="23256" windowHeight="12456" activeTab="2" xr2:uid="{00000000-000D-0000-FFFF-FFFF00000000}"/>
  </bookViews>
  <sheets>
    <sheet name="MENU" sheetId="7" r:id="rId1"/>
    <sheet name="L caudales masicos" sheetId="3" r:id="rId2"/>
    <sheet name="L caudales volumetricos" sheetId="6" r:id="rId3"/>
    <sheet name="Hoja2" sheetId="2" state="hidden" r:id="rId4"/>
    <sheet name="D caudales masicos" sheetId="9" r:id="rId5"/>
    <sheet name="D caudales volumetricos" sheetId="11" r:id="rId6"/>
    <sheet name="P energia del vapor" sheetId="12" r:id="rId7"/>
    <sheet name="Q energia del vapor" sheetId="13" r:id="rId8"/>
    <sheet name="CD vapor flash" sheetId="19" r:id="rId9"/>
    <sheet name="CD agua caliente" sheetId="15" r:id="rId10"/>
    <sheet name="Hoja1" sheetId="14" state="hidden" r:id="rId11"/>
    <sheet name="listas de datos" sheetId="20" state="hidden" r:id="rId12"/>
    <sheet name="PCTaislam" sheetId="21" r:id="rId13"/>
    <sheet name="vapor flash" sheetId="22" state="hidden" r:id="rId14"/>
  </sheets>
  <functionGroups builtInGroupCount="19"/>
  <definedNames>
    <definedName name="_xlnm.Print_Area" localSheetId="0">MENU!$B$2:$M$29</definedName>
    <definedName name="material">Hoja2!$A$3:$A$21</definedName>
    <definedName name="materiales">'listas de datos'!$A$4:$A$20</definedName>
    <definedName name="metales">'listas de datos'!$A$25:$A$30</definedName>
    <definedName name="radiacion">'listas de datos'!$G$4:$G$11</definedName>
    <definedName name="Z_D98A763E_76BD_41D4_9C80_3FA824238B88_.wvu.Cols" localSheetId="2" hidden="1">'L caudales volumetricos'!$J:$M</definedName>
    <definedName name="Z_EDFC430D_488A_4FFB_9C2C_D8B6766E5C20_.wvu.Cols" localSheetId="2" hidden="1">'L caudales volumetricos'!$J:$M</definedName>
    <definedName name="Z_EDFC430D_488A_4FFB_9C2C_D8B6766E5C20_.wvu.PrintArea" localSheetId="2" hidden="1">'L caudales volumetricos'!$B$2:$H$24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2" l="1"/>
  <c r="B2" i="22"/>
  <c r="F24" i="11"/>
  <c r="F10" i="11"/>
  <c r="D5" i="21"/>
  <c r="D23" i="21" s="1"/>
  <c r="D4" i="21"/>
  <c r="D3" i="21"/>
  <c r="E20" i="21"/>
  <c r="D13" i="21"/>
  <c r="D14" i="21" s="1"/>
  <c r="K9" i="21"/>
  <c r="M6" i="21"/>
  <c r="M5" i="21"/>
  <c r="F10" i="19"/>
  <c r="F26" i="19"/>
  <c r="D7" i="19"/>
  <c r="D8" i="19" s="1"/>
  <c r="D3" i="19"/>
  <c r="F23" i="15"/>
  <c r="F10" i="15"/>
  <c r="D7" i="15"/>
  <c r="D8" i="15" s="1"/>
  <c r="D3" i="15"/>
  <c r="D19" i="9"/>
  <c r="D18" i="11"/>
  <c r="F24" i="9"/>
  <c r="F10" i="9"/>
  <c r="D7" i="11"/>
  <c r="D8" i="11" s="1"/>
  <c r="D3" i="11"/>
  <c r="D18" i="6"/>
  <c r="D7" i="9"/>
  <c r="D8" i="9" s="1"/>
  <c r="D3" i="9"/>
  <c r="D7" i="6"/>
  <c r="D8" i="6" s="1"/>
  <c r="D3" i="6"/>
  <c r="D4" i="6" s="1"/>
  <c r="D7" i="3"/>
  <c r="D8" i="3" s="1"/>
  <c r="D19" i="3"/>
  <c r="D3" i="3"/>
  <c r="D4" i="3" s="1"/>
  <c r="D20" i="6"/>
  <c r="D12" i="11"/>
  <c r="D10" i="13"/>
  <c r="B3" i="14"/>
  <c r="D12" i="15"/>
  <c r="D12" i="9"/>
  <c r="D11" i="13"/>
  <c r="B1" i="14"/>
  <c r="D10" i="12"/>
  <c r="D11" i="12"/>
  <c r="D5" i="12"/>
  <c r="D5" i="13"/>
  <c r="B8" i="22"/>
  <c r="D15" i="19"/>
  <c r="D12" i="19"/>
  <c r="B5" i="22"/>
  <c r="D12" i="6"/>
  <c r="D12" i="3"/>
  <c r="L7" i="21" l="1"/>
  <c r="M7" i="21"/>
  <c r="L11" i="21"/>
  <c r="L6" i="21"/>
  <c r="L12" i="21"/>
  <c r="N12" i="21" s="1"/>
  <c r="M8" i="21"/>
  <c r="L8" i="21"/>
  <c r="L5" i="21"/>
  <c r="H20" i="3"/>
  <c r="H20" i="9"/>
  <c r="B2" i="14"/>
  <c r="D25" i="19"/>
  <c r="H20" i="6"/>
  <c r="B9" i="22"/>
  <c r="H20" i="11"/>
  <c r="B4" i="14"/>
  <c r="D6" i="12"/>
  <c r="D6" i="13"/>
  <c r="D14" i="15"/>
  <c r="D13" i="15"/>
  <c r="D14" i="11"/>
  <c r="D13" i="9"/>
  <c r="D13" i="11"/>
  <c r="D14" i="9"/>
  <c r="B7" i="22"/>
  <c r="B6" i="22"/>
  <c r="D14" i="19"/>
  <c r="B10" i="22"/>
  <c r="D16" i="19"/>
  <c r="D13" i="6"/>
  <c r="D14" i="6"/>
  <c r="D13" i="3"/>
  <c r="D14" i="3"/>
  <c r="B11" i="22" l="1"/>
  <c r="D17" i="19"/>
  <c r="B13" i="22"/>
  <c r="B16" i="22" s="1"/>
  <c r="N11" i="21"/>
  <c r="D21" i="21" s="1"/>
  <c r="D22" i="21" s="1"/>
  <c r="D24" i="21" s="1"/>
  <c r="D20" i="21"/>
  <c r="D15" i="15"/>
  <c r="D19" i="6"/>
  <c r="D13" i="13"/>
  <c r="D14" i="13" s="1"/>
  <c r="D13" i="12"/>
  <c r="D15" i="12" s="1"/>
  <c r="D17" i="3"/>
  <c r="D15" i="9"/>
  <c r="D15" i="3"/>
  <c r="D15" i="11"/>
  <c r="D15" i="6"/>
  <c r="D21" i="6" s="1"/>
  <c r="D19" i="11"/>
  <c r="D23" i="11"/>
  <c r="F25" i="11" s="1"/>
  <c r="D23" i="9"/>
  <c r="D17" i="9"/>
  <c r="D17" i="15"/>
  <c r="D22" i="15"/>
  <c r="D5" i="11"/>
  <c r="D22" i="6"/>
  <c r="G12" i="19" l="1"/>
  <c r="D21" i="19" s="1"/>
  <c r="D19" i="19" s="1"/>
  <c r="F27" i="19" s="1"/>
  <c r="D21" i="3"/>
  <c r="D26" i="21"/>
  <c r="F17" i="21" s="1"/>
  <c r="D25" i="21"/>
  <c r="D20" i="11"/>
  <c r="F20" i="11" s="1"/>
  <c r="D4" i="11"/>
  <c r="D23" i="6"/>
  <c r="D24" i="6" s="1"/>
  <c r="F20" i="6" s="1"/>
  <c r="D21" i="11"/>
  <c r="D20" i="3"/>
  <c r="F24" i="15"/>
  <c r="F25" i="9"/>
  <c r="B19" i="22"/>
  <c r="B17" i="22"/>
  <c r="B20" i="22" s="1"/>
  <c r="D5" i="15"/>
  <c r="D22" i="11"/>
  <c r="D5" i="9"/>
  <c r="D5" i="19"/>
  <c r="D22" i="3"/>
  <c r="D23" i="3" l="1"/>
  <c r="D24" i="3" s="1"/>
  <c r="F20" i="3" s="1"/>
  <c r="D4" i="19"/>
  <c r="D22" i="19"/>
  <c r="F22" i="19" s="1"/>
  <c r="D23" i="19"/>
  <c r="D4" i="15"/>
  <c r="D20" i="15"/>
  <c r="D19" i="15"/>
  <c r="F19" i="15" s="1"/>
  <c r="D4" i="9"/>
  <c r="D20" i="9"/>
  <c r="F20" i="9" s="1"/>
  <c r="D21" i="9"/>
  <c r="B21" i="22"/>
  <c r="B22" i="22" s="1"/>
  <c r="G14" i="19" s="1"/>
  <c r="D21" i="15"/>
  <c r="D22" i="9"/>
  <c r="D24" i="19"/>
  <c r="B23" i="22" l="1"/>
  <c r="G13" i="19" s="1"/>
</calcChain>
</file>

<file path=xl/sharedStrings.xml><?xml version="1.0" encoding="utf-8"?>
<sst xmlns="http://schemas.openxmlformats.org/spreadsheetml/2006/main" count="696" uniqueCount="246">
  <si>
    <t>e</t>
  </si>
  <si>
    <t>D</t>
  </si>
  <si>
    <t>R</t>
  </si>
  <si>
    <t>vidrio</t>
  </si>
  <si>
    <t>acero laminado nuevo</t>
  </si>
  <si>
    <t>acero laminado oxidado</t>
  </si>
  <si>
    <t>acero laminado con incrustaciones</t>
  </si>
  <si>
    <t>acero asfaltado</t>
  </si>
  <si>
    <t>acero soldado nuevo</t>
  </si>
  <si>
    <t>acero soldado oxidado</t>
  </si>
  <si>
    <t>hierro galvanizado</t>
  </si>
  <si>
    <t>fibrocemento</t>
  </si>
  <si>
    <t>mm</t>
  </si>
  <si>
    <t>rugosidad absoluta</t>
  </si>
  <si>
    <t>rugosidad relativa</t>
  </si>
  <si>
    <t>diametro interior</t>
  </si>
  <si>
    <t>densidad</t>
  </si>
  <si>
    <t>PERDIDA DE CARGA</t>
  </si>
  <si>
    <t>kg/m³</t>
  </si>
  <si>
    <t>m³/h</t>
  </si>
  <si>
    <t>m</t>
  </si>
  <si>
    <t>velocidad</t>
  </si>
  <si>
    <t>v</t>
  </si>
  <si>
    <t>Q</t>
  </si>
  <si>
    <t>u</t>
  </si>
  <si>
    <t>cSt</t>
  </si>
  <si>
    <t>m/s</t>
  </si>
  <si>
    <t>aluminio</t>
  </si>
  <si>
    <t>temperatura</t>
  </si>
  <si>
    <t>P</t>
  </si>
  <si>
    <t>T</t>
  </si>
  <si>
    <t>barg</t>
  </si>
  <si>
    <t>°C</t>
  </si>
  <si>
    <t>caudal masico</t>
  </si>
  <si>
    <t>kg/h</t>
  </si>
  <si>
    <t>factor de fricción</t>
  </si>
  <si>
    <t>caudal volumétrico</t>
  </si>
  <si>
    <t>viscosidad cinemática</t>
  </si>
  <si>
    <t>viscosidad dinámica</t>
  </si>
  <si>
    <t>temperatura saturación</t>
  </si>
  <si>
    <t>presion manométrica</t>
  </si>
  <si>
    <t>número de Reinolds</t>
  </si>
  <si>
    <r>
      <t>introducción manual de rugosidad</t>
    </r>
    <r>
      <rPr>
        <sz val="11"/>
        <color indexed="8"/>
        <rFont val="Calibri"/>
        <family val="2"/>
      </rPr>
      <t xml:space="preserve"> &gt;&gt;</t>
    </r>
  </si>
  <si>
    <t>latón industrial</t>
  </si>
  <si>
    <t>cobre o latón estirado</t>
  </si>
  <si>
    <t>fundición corriente nueva</t>
  </si>
  <si>
    <t>fundición corriente oxidada</t>
  </si>
  <si>
    <t>fundición asfaltada</t>
  </si>
  <si>
    <t>plásticos</t>
  </si>
  <si>
    <t>Vescape</t>
  </si>
  <si>
    <t>Vsatseco</t>
  </si>
  <si>
    <t>Vsathumedo</t>
  </si>
  <si>
    <t>Vsobrec</t>
  </si>
  <si>
    <t>L</t>
  </si>
  <si>
    <t>h</t>
  </si>
  <si>
    <t xml:space="preserve"> PROPIEDADES DE LA TUBERIA</t>
  </si>
  <si>
    <t>PROPIEDADES DEL VAPOR</t>
  </si>
  <si>
    <t>INOX standard</t>
  </si>
  <si>
    <t>INOX acabado sanitario</t>
  </si>
  <si>
    <t>caudal masico corregido</t>
  </si>
  <si>
    <t>Cálculo de pérdidas de carga para flujo de vapor saturado o recalentado en un tramo de tubería de diámetro uniforme</t>
  </si>
  <si>
    <t>Resueltas según industrial standard IAPWS-IF97</t>
  </si>
  <si>
    <t>Resueltas mediante ecuaciones de Darcy-Weisbach y White-Colebrook</t>
  </si>
  <si>
    <t>No corregir de condensacion</t>
  </si>
  <si>
    <t>longitud equivalente de accesorios</t>
  </si>
  <si>
    <t>longitud equivalente total</t>
  </si>
  <si>
    <t>Manual</t>
  </si>
  <si>
    <t>caudal volumétrico corregido</t>
  </si>
  <si>
    <t>longitud tuberia recta</t>
  </si>
  <si>
    <t>PROPIEDADES DE TRANSPORTE</t>
  </si>
  <si>
    <t>CALCULO DE LA PERDIDA DE CARGA</t>
  </si>
  <si>
    <t>CALCULO DEL DIAMETRO</t>
  </si>
  <si>
    <t>PROGRAMA DE CALCULO DE LAS TUBERIAS DE TRANSPORTE EN REDES DE VAPOR</t>
  </si>
  <si>
    <t>PCTvapor v1.0</t>
  </si>
  <si>
    <r>
      <t>L</t>
    </r>
    <r>
      <rPr>
        <sz val="10"/>
        <color indexed="8"/>
        <rFont val="Century Gothic"/>
        <family val="2"/>
      </rPr>
      <t>a</t>
    </r>
  </si>
  <si>
    <r>
      <t>L</t>
    </r>
    <r>
      <rPr>
        <sz val="10"/>
        <color indexed="8"/>
        <rFont val="Century Gothic"/>
        <family val="2"/>
      </rPr>
      <t>e</t>
    </r>
  </si>
  <si>
    <r>
      <t>T</t>
    </r>
    <r>
      <rPr>
        <sz val="10"/>
        <color indexed="8"/>
        <rFont val="Century Gothic"/>
        <family val="2"/>
      </rPr>
      <t>s</t>
    </r>
  </si>
  <si>
    <r>
      <t>Q</t>
    </r>
    <r>
      <rPr>
        <sz val="10"/>
        <color indexed="8"/>
        <rFont val="Century Gothic"/>
        <family val="2"/>
      </rPr>
      <t>m</t>
    </r>
  </si>
  <si>
    <r>
      <t>Q</t>
    </r>
    <r>
      <rPr>
        <sz val="10"/>
        <color indexed="8"/>
        <rFont val="Century Gothic"/>
        <family val="2"/>
      </rPr>
      <t>mc</t>
    </r>
  </si>
  <si>
    <r>
      <t>f</t>
    </r>
    <r>
      <rPr>
        <sz val="10"/>
        <color indexed="8"/>
        <rFont val="Century Gothic"/>
        <family val="2"/>
      </rPr>
      <t>c</t>
    </r>
  </si>
  <si>
    <r>
      <t>Q</t>
    </r>
    <r>
      <rPr>
        <sz val="10"/>
        <color indexed="8"/>
        <rFont val="Century Gothic"/>
        <family val="2"/>
      </rPr>
      <t>c</t>
    </r>
  </si>
  <si>
    <t>r</t>
  </si>
  <si>
    <t>PERDIDA DE CARGA MAX. ADMISIBLE</t>
  </si>
  <si>
    <t>cP (mPa)</t>
  </si>
  <si>
    <t>mcv</t>
  </si>
  <si>
    <t>CALCULO ENERGETICO DEL VAPOR</t>
  </si>
  <si>
    <t>Cálculo del diametro minimo uniforme de una tuberia para flujo de vapor saturado o recalentado</t>
  </si>
  <si>
    <t>PROPIEDADES DEL CONDENSADO</t>
  </si>
  <si>
    <t>kWh/kg</t>
  </si>
  <si>
    <t>entalpia del vapor</t>
  </si>
  <si>
    <t>entalpia del liquido condensado</t>
  </si>
  <si>
    <t>APROVECHAMIENTO ENERGETICO</t>
  </si>
  <si>
    <t>SALTO ENTALPICO</t>
  </si>
  <si>
    <t>caudal de vapor</t>
  </si>
  <si>
    <t>potencia</t>
  </si>
  <si>
    <t>kW</t>
  </si>
  <si>
    <t>cP</t>
  </si>
  <si>
    <t>n</t>
  </si>
  <si>
    <t>ve</t>
  </si>
  <si>
    <t>m³/kg</t>
  </si>
  <si>
    <t>tª</t>
  </si>
  <si>
    <t>Cálculo de aprovechamiento energetico para flujo de vapor saturado o recalentado en un transfer energetico</t>
  </si>
  <si>
    <t>W</t>
  </si>
  <si>
    <t>presion manométrica en cabeza</t>
  </si>
  <si>
    <t>temperatura media del tramo</t>
  </si>
  <si>
    <t>temperatura saturación media</t>
  </si>
  <si>
    <t>densidad media</t>
  </si>
  <si>
    <t>viscosidad dinámica media</t>
  </si>
  <si>
    <t>viscosidad cinemática media</t>
  </si>
  <si>
    <t>caudal volumetrico corregido</t>
  </si>
  <si>
    <r>
      <t>Q</t>
    </r>
    <r>
      <rPr>
        <sz val="10"/>
        <color indexed="8"/>
        <rFont val="Century Gothic"/>
        <family val="2"/>
      </rPr>
      <t>vc</t>
    </r>
  </si>
  <si>
    <r>
      <t>Q</t>
    </r>
    <r>
      <rPr>
        <sz val="10"/>
        <color indexed="8"/>
        <rFont val="Century Gothic"/>
        <family val="2"/>
      </rPr>
      <t>v</t>
    </r>
  </si>
  <si>
    <t xml:space="preserve">caudal masico </t>
  </si>
  <si>
    <t>Cálculo del diametro minimo uniforme de una tuberia para flujo de agua</t>
  </si>
  <si>
    <t>PROPIEDADES DEL AGUA</t>
  </si>
  <si>
    <t>RED CONDENSADOS</t>
  </si>
  <si>
    <t>agua</t>
  </si>
  <si>
    <t>Tª saturación linea condensados</t>
  </si>
  <si>
    <t>presion condensado linea condensados</t>
  </si>
  <si>
    <t>presion condensado en la linea de vapor</t>
  </si>
  <si>
    <t>Tª condensado en la linea de vapor</t>
  </si>
  <si>
    <t>% masico de vapor flash</t>
  </si>
  <si>
    <t>% en volumen de vapor flash</t>
  </si>
  <si>
    <t>% en volumen de agua cond.</t>
  </si>
  <si>
    <t>densidad vapor flash</t>
  </si>
  <si>
    <t>viscosidad dinámica vapor flash</t>
  </si>
  <si>
    <t>viscosidad cinemática vapor flash</t>
  </si>
  <si>
    <t>Tª saturación linea de vapor</t>
  </si>
  <si>
    <t>COMPOSICION LINEA CONDENSADOS</t>
  </si>
  <si>
    <t>caudal masico condensado</t>
  </si>
  <si>
    <t>caudal masico vapor flash</t>
  </si>
  <si>
    <t>caudal volumétrico vapor flash</t>
  </si>
  <si>
    <t>LISTADO DE MATERIALES AISLANTES</t>
  </si>
  <si>
    <t>COEFICIENTES DE RADIACION TERMICA</t>
  </si>
  <si>
    <t>Descripción</t>
  </si>
  <si>
    <t>conduct. Term</t>
  </si>
  <si>
    <t>calor esp.</t>
  </si>
  <si>
    <t>Descripcion</t>
  </si>
  <si>
    <t>C</t>
  </si>
  <si>
    <t>W/m·°C</t>
  </si>
  <si>
    <t>J/kg·°C</t>
  </si>
  <si>
    <r>
      <t>W/m²·°C</t>
    </r>
    <r>
      <rPr>
        <vertAlign val="superscript"/>
        <sz val="11"/>
        <color indexed="8"/>
        <rFont val="Calibri"/>
        <family val="2"/>
      </rPr>
      <t>4</t>
    </r>
  </si>
  <si>
    <t>ENTRADA MANUAL</t>
  </si>
  <si>
    <t>Arcilla expandida dens 300</t>
  </si>
  <si>
    <t>aluminio brillante</t>
  </si>
  <si>
    <t>Arcilla expandida dens 450</t>
  </si>
  <si>
    <t>aluminio oxidado</t>
  </si>
  <si>
    <t>Fibra de vidrio. Tipo I</t>
  </si>
  <si>
    <t>chapa de metal galvanizado, limpio</t>
  </si>
  <si>
    <t>Fibra de vidrio. Tipo II</t>
  </si>
  <si>
    <t>chapa de metal galvanizado, sucio</t>
  </si>
  <si>
    <t>Fibra de vidrio. Tipo III</t>
  </si>
  <si>
    <t>acero austenítico</t>
  </si>
  <si>
    <t>Fibra de vidrio. Tipo IV</t>
  </si>
  <si>
    <t>plancha de aluminio-zinc</t>
  </si>
  <si>
    <t>Fibra de vidrio. Tipo V</t>
  </si>
  <si>
    <t>superficies no metálicas</t>
  </si>
  <si>
    <t>Fibra de vidrio. Tipo VI</t>
  </si>
  <si>
    <t>Lana mineral. Tipo I</t>
  </si>
  <si>
    <t>Lana mineral. Tipo II</t>
  </si>
  <si>
    <t>Lana mineral. Tipo lIl</t>
  </si>
  <si>
    <t>Lana mineral. Tipo IV</t>
  </si>
  <si>
    <t>Lana mineral. Tipo V</t>
  </si>
  <si>
    <t>Perlita expandida</t>
  </si>
  <si>
    <t>Vermiculita expandida</t>
  </si>
  <si>
    <t>Vidrio celular</t>
  </si>
  <si>
    <t>Fundición y acero</t>
  </si>
  <si>
    <t>Cobre</t>
  </si>
  <si>
    <t>Bronce</t>
  </si>
  <si>
    <t>Aluminio</t>
  </si>
  <si>
    <t>Chapa de acero galvanizado</t>
  </si>
  <si>
    <t>PROPIEDADES DE TUBO Y AISLANTE</t>
  </si>
  <si>
    <t>conductividad termica del tubo</t>
  </si>
  <si>
    <t>conductividad termica del aislante</t>
  </si>
  <si>
    <t>LAMINAR</t>
  </si>
  <si>
    <t>TURBULENTO</t>
  </si>
  <si>
    <t>coeficiente de radiación superficie exterior</t>
  </si>
  <si>
    <t>interior horizontal</t>
  </si>
  <si>
    <t>SITUACION DE LA TUBERIA</t>
  </si>
  <si>
    <t>interior vertical</t>
  </si>
  <si>
    <t>posicion tuberia</t>
  </si>
  <si>
    <t>exterior vertical</t>
  </si>
  <si>
    <t>situacion tuberia</t>
  </si>
  <si>
    <t>interior</t>
  </si>
  <si>
    <t>exterior horizontal</t>
  </si>
  <si>
    <t>velocidad del aire</t>
  </si>
  <si>
    <t>diametro exterior tubo</t>
  </si>
  <si>
    <t>m³·°C</t>
  </si>
  <si>
    <t>espesor aislante</t>
  </si>
  <si>
    <t>exterior</t>
  </si>
  <si>
    <t>m²/s</t>
  </si>
  <si>
    <t>diametro interior aislante</t>
  </si>
  <si>
    <t>diametro exterior aislante</t>
  </si>
  <si>
    <t>TEMPERATURAS DE TRABAJO</t>
  </si>
  <si>
    <t>temperatura interior tubo</t>
  </si>
  <si>
    <t>temperatura exterior aislante estimada</t>
  </si>
  <si>
    <t>temperatura ambiente</t>
  </si>
  <si>
    <t>TRANSFERENCIA TERMICA</t>
  </si>
  <si>
    <t>indice de tipo de flujo</t>
  </si>
  <si>
    <t>tipo de flujo</t>
  </si>
  <si>
    <t>componente convectiva</t>
  </si>
  <si>
    <t>W/m²·°C</t>
  </si>
  <si>
    <t>componente radiante</t>
  </si>
  <si>
    <t>componente exterior total</t>
  </si>
  <si>
    <t>densidad lineal de flujo de calor</t>
  </si>
  <si>
    <t>W/m</t>
  </si>
  <si>
    <t>temperatura pared exterior calculada</t>
  </si>
  <si>
    <t>Cr</t>
  </si>
  <si>
    <t>hcv</t>
  </si>
  <si>
    <t>hr</t>
  </si>
  <si>
    <t>he</t>
  </si>
  <si>
    <t>qi</t>
  </si>
  <si>
    <t>Te</t>
  </si>
  <si>
    <t>GEOMETRIA DE LA TUBERIA Y AISLANTE</t>
  </si>
  <si>
    <t>PCTaislam – Cálculo de la Transferencia Termica de una Tuberia Aislada</t>
  </si>
  <si>
    <r>
      <t>e/</t>
    </r>
    <r>
      <rPr>
        <sz val="10"/>
        <color indexed="8"/>
        <rFont val="Century Gothic"/>
        <family val="2"/>
      </rPr>
      <t>D</t>
    </r>
  </si>
  <si>
    <t>introducción manual de rugosidad &gt;&gt;</t>
  </si>
  <si>
    <r>
      <t>P</t>
    </r>
    <r>
      <rPr>
        <sz val="10"/>
        <color indexed="8"/>
        <rFont val="Century Gothic"/>
        <family val="2"/>
      </rPr>
      <t>v</t>
    </r>
  </si>
  <si>
    <r>
      <t>T</t>
    </r>
    <r>
      <rPr>
        <sz val="10"/>
        <color indexed="8"/>
        <rFont val="Century Gothic"/>
        <family val="2"/>
      </rPr>
      <t>v</t>
    </r>
  </si>
  <si>
    <r>
      <t>h</t>
    </r>
    <r>
      <rPr>
        <sz val="10"/>
        <color indexed="8"/>
        <rFont val="Century Gothic"/>
        <family val="2"/>
      </rPr>
      <t>v</t>
    </r>
  </si>
  <si>
    <r>
      <t>T</t>
    </r>
    <r>
      <rPr>
        <sz val="10"/>
        <color indexed="8"/>
        <rFont val="Century Gothic"/>
        <family val="2"/>
      </rPr>
      <t>c</t>
    </r>
  </si>
  <si>
    <r>
      <t>h</t>
    </r>
    <r>
      <rPr>
        <sz val="10"/>
        <color indexed="8"/>
        <rFont val="Century Gothic"/>
        <family val="2"/>
      </rPr>
      <t>c</t>
    </r>
  </si>
  <si>
    <r>
      <rPr>
        <sz val="10"/>
        <color indexed="8"/>
        <rFont val="Symbol"/>
        <family val="1"/>
        <charset val="2"/>
      </rPr>
      <t>D</t>
    </r>
    <r>
      <rPr>
        <sz val="10"/>
        <color indexed="8"/>
        <rFont val="Century Gothic"/>
        <family val="2"/>
      </rPr>
      <t>h</t>
    </r>
  </si>
  <si>
    <r>
      <t>P</t>
    </r>
    <r>
      <rPr>
        <sz val="10"/>
        <color indexed="8"/>
        <rFont val="Century Gothic"/>
        <family val="2"/>
      </rPr>
      <t>c</t>
    </r>
  </si>
  <si>
    <r>
      <t>Q</t>
    </r>
    <r>
      <rPr>
        <sz val="10"/>
        <color indexed="8"/>
        <rFont val="Century Gothic"/>
        <family val="2"/>
      </rPr>
      <t>vf</t>
    </r>
  </si>
  <si>
    <r>
      <t>Q</t>
    </r>
    <r>
      <rPr>
        <sz val="10"/>
        <color indexed="8"/>
        <rFont val="Century Gothic"/>
        <family val="2"/>
      </rPr>
      <t>mvf</t>
    </r>
  </si>
  <si>
    <r>
      <t>W/m²·°C</t>
    </r>
    <r>
      <rPr>
        <vertAlign val="superscript"/>
        <sz val="10"/>
        <color indexed="55"/>
        <rFont val="Century Gothic"/>
        <family val="2"/>
      </rPr>
      <t>4</t>
    </r>
  </si>
  <si>
    <t>presion red vapor</t>
  </si>
  <si>
    <t>presion red condensados</t>
  </si>
  <si>
    <t>CALCULO VAPOR FLASH</t>
  </si>
  <si>
    <t>entalpia condensado en la red de vapor</t>
  </si>
  <si>
    <t>entalpia condensado en la red de condensados</t>
  </si>
  <si>
    <t>entalpia vapor en la red de condensados</t>
  </si>
  <si>
    <t>% en peso de vapor flash</t>
  </si>
  <si>
    <t>densidad del vapor flash</t>
  </si>
  <si>
    <t>vapor</t>
  </si>
  <si>
    <t>kg/kg</t>
  </si>
  <si>
    <t>composicion masica red de condensados</t>
  </si>
  <si>
    <t>volumen especifico vapor flash</t>
  </si>
  <si>
    <t>densidad del condensado</t>
  </si>
  <si>
    <t>volumen especifico condensado</t>
  </si>
  <si>
    <t>composicion volumetrica red de condensados</t>
  </si>
  <si>
    <t>Cálculo del diametro minimo uniforme de una tuberia para flujo de condensados de vapor sin eliminación de vapor flash</t>
  </si>
  <si>
    <t>Desarrollo: Diseño Energético Actual S.L. © 2010</t>
  </si>
  <si>
    <t>Aproximacion automatica</t>
  </si>
  <si>
    <t>vertical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</si>
</sst>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0000"/>
    <numFmt numFmtId="165" formatCode="0.000000000"/>
    <numFmt numFmtId="166" formatCode="0.000000"/>
    <numFmt numFmtId="167" formatCode="0.00000"/>
    <numFmt numFmtId="168" formatCode="0.0000"/>
    <numFmt numFmtId="169" formatCode="0.000"/>
    <numFmt numFmtId="170" formatCode="0.0"/>
    <numFmt numFmtId="171" formatCode="#,##0.0"/>
    <numFmt numFmtId="172" formatCode="#,##0.000000"/>
    <numFmt numFmtId="173" formatCode="&quot;presión media del tramo &quot;\ 0.00"/>
    <numFmt numFmtId="174" formatCode="&quot;presión en cola &quot;\ 0.00\ &quot;barg&quot;"/>
  </numFmts>
  <fonts count="3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Century Gothic"/>
      <family val="2"/>
    </font>
    <font>
      <vertAlign val="superscript"/>
      <sz val="11"/>
      <color indexed="8"/>
      <name val="Calibri"/>
      <family val="2"/>
    </font>
    <font>
      <sz val="10"/>
      <name val="Century Gothic"/>
      <family val="2"/>
    </font>
    <font>
      <sz val="10"/>
      <color indexed="8"/>
      <name val="Symbol"/>
      <family val="1"/>
      <charset val="2"/>
    </font>
    <font>
      <vertAlign val="superscript"/>
      <sz val="10"/>
      <color indexed="55"/>
      <name val="Century Gothic"/>
      <family val="2"/>
    </font>
    <font>
      <sz val="11"/>
      <color theme="1"/>
      <name val="Calibri"/>
      <family val="2"/>
      <scheme val="minor"/>
    </font>
    <font>
      <b/>
      <sz val="22"/>
      <color theme="1"/>
      <name val="Symbol"/>
      <family val="1"/>
      <charset val="2"/>
    </font>
    <font>
      <sz val="11"/>
      <color theme="1"/>
      <name val="Century Gothic"/>
      <family val="2"/>
    </font>
    <font>
      <sz val="10"/>
      <color theme="1"/>
      <name val="Century Gothic"/>
      <family val="2"/>
    </font>
    <font>
      <i/>
      <sz val="10"/>
      <color theme="1"/>
      <name val="Century Gothic"/>
      <family val="2"/>
    </font>
    <font>
      <b/>
      <i/>
      <u/>
      <sz val="10"/>
      <color rgb="FF0070C0"/>
      <name val="Century Gothic"/>
      <family val="2"/>
    </font>
    <font>
      <sz val="10"/>
      <color theme="0"/>
      <name val="Century Gothic"/>
      <family val="2"/>
    </font>
    <font>
      <sz val="10"/>
      <color theme="1" tint="0.34998626667073579"/>
      <name val="Century Gothic"/>
      <family val="2"/>
    </font>
    <font>
      <sz val="10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b/>
      <sz val="10"/>
      <color theme="4"/>
      <name val="Century Gothic"/>
      <family val="2"/>
    </font>
    <font>
      <sz val="14"/>
      <color theme="1"/>
      <name val="Century Gothic"/>
      <family val="2"/>
    </font>
    <font>
      <sz val="10"/>
      <color theme="1"/>
      <name val="Symbol"/>
      <family val="1"/>
      <charset val="2"/>
    </font>
    <font>
      <sz val="10"/>
      <color theme="0" tint="-0.499984740745262"/>
      <name val="Century Gothic"/>
      <family val="2"/>
    </font>
    <font>
      <b/>
      <sz val="10"/>
      <color theme="5"/>
      <name val="Century Gothic"/>
      <family val="2"/>
    </font>
    <font>
      <b/>
      <sz val="12"/>
      <color theme="1"/>
      <name val="Century Gothic"/>
      <family val="2"/>
    </font>
    <font>
      <i/>
      <sz val="8"/>
      <color theme="1"/>
      <name val="Century Gothic"/>
      <family val="2"/>
    </font>
    <font>
      <b/>
      <i/>
      <u/>
      <sz val="8"/>
      <color rgb="FF0070C0"/>
      <name val="Century Gothic"/>
      <family val="2"/>
    </font>
    <font>
      <b/>
      <i/>
      <u val="double"/>
      <sz val="8"/>
      <color rgb="FFFF0000"/>
      <name val="Century Gothic"/>
      <family val="2"/>
    </font>
    <font>
      <sz val="10"/>
      <color theme="0" tint="-0.34998626667073579"/>
      <name val="Century Gothic"/>
      <family val="2"/>
    </font>
    <font>
      <sz val="10"/>
      <color theme="0" tint="-0.14999847407452621"/>
      <name val="Century Gothic"/>
      <family val="2"/>
    </font>
    <font>
      <sz val="10"/>
      <color theme="5"/>
      <name val="Century Gothic"/>
      <family val="2"/>
    </font>
    <font>
      <b/>
      <sz val="10"/>
      <color rgb="FFC00000"/>
      <name val="Century Gothic"/>
      <family val="2"/>
    </font>
    <font>
      <sz val="8"/>
      <color theme="1"/>
      <name val="Century Gothic"/>
      <family val="2"/>
    </font>
    <font>
      <b/>
      <i/>
      <sz val="11"/>
      <color rgb="FFFFC000"/>
      <name val="Century Gothic"/>
      <family val="2"/>
    </font>
    <font>
      <i/>
      <sz val="11"/>
      <color rgb="FFFFC000"/>
      <name val="Century Gothic"/>
      <family val="2"/>
    </font>
    <font>
      <sz val="8"/>
      <color theme="1"/>
      <name val="Calibri"/>
      <family val="2"/>
      <scheme val="minor"/>
    </font>
    <font>
      <b/>
      <sz val="6"/>
      <color theme="0" tint="-0.499984740745262"/>
      <name val="Century Gothic"/>
      <family val="2"/>
    </font>
    <font>
      <i/>
      <sz val="8"/>
      <color theme="0" tint="-0.499984740745262"/>
      <name val="Century Gothic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95">
    <xf numFmtId="0" fontId="0" fillId="0" borderId="0" xfId="0"/>
    <xf numFmtId="0" fontId="8" fillId="2" borderId="0" xfId="0" applyFont="1" applyFill="1" applyAlignment="1">
      <alignment horizontal="center"/>
    </xf>
    <xf numFmtId="0" fontId="9" fillId="0" borderId="0" xfId="0" applyFont="1" applyProtection="1">
      <protection hidden="1"/>
    </xf>
    <xf numFmtId="0" fontId="10" fillId="3" borderId="0" xfId="0" applyFont="1" applyFill="1" applyProtection="1">
      <protection hidden="1"/>
    </xf>
    <xf numFmtId="0" fontId="10" fillId="0" borderId="0" xfId="0" applyFont="1" applyProtection="1">
      <protection hidden="1"/>
    </xf>
    <xf numFmtId="0" fontId="11" fillId="3" borderId="0" xfId="0" applyFont="1" applyFill="1" applyProtection="1">
      <protection hidden="1"/>
    </xf>
    <xf numFmtId="0" fontId="12" fillId="0" borderId="0" xfId="0" applyFont="1" applyAlignment="1" applyProtection="1">
      <alignment vertical="center"/>
      <protection hidden="1"/>
    </xf>
    <xf numFmtId="0" fontId="13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15" fillId="4" borderId="0" xfId="0" applyFont="1" applyFill="1" applyProtection="1">
      <protection hidden="1"/>
    </xf>
    <xf numFmtId="0" fontId="15" fillId="0" borderId="0" xfId="0" applyFont="1" applyProtection="1">
      <protection hidden="1"/>
    </xf>
    <xf numFmtId="0" fontId="10" fillId="5" borderId="0" xfId="0" applyFont="1" applyFill="1" applyProtection="1">
      <protection locked="0"/>
    </xf>
    <xf numFmtId="0" fontId="16" fillId="0" borderId="0" xfId="0" applyFont="1"/>
    <xf numFmtId="0" fontId="0" fillId="0" borderId="0" xfId="0" applyAlignment="1">
      <alignment horizontal="right"/>
    </xf>
    <xf numFmtId="0" fontId="0" fillId="5" borderId="0" xfId="0" applyFill="1"/>
    <xf numFmtId="0" fontId="10" fillId="0" borderId="0" xfId="0" applyFont="1"/>
    <xf numFmtId="0" fontId="0" fillId="0" borderId="0" xfId="0" applyAlignment="1">
      <alignment horizontal="center"/>
    </xf>
    <xf numFmtId="11" fontId="0" fillId="0" borderId="0" xfId="0" applyNumberFormat="1"/>
    <xf numFmtId="0" fontId="17" fillId="0" borderId="0" xfId="0" applyFont="1"/>
    <xf numFmtId="0" fontId="18" fillId="3" borderId="0" xfId="0" applyFont="1" applyFill="1"/>
    <xf numFmtId="0" fontId="10" fillId="4" borderId="0" xfId="0" applyFont="1" applyFill="1"/>
    <xf numFmtId="0" fontId="17" fillId="4" borderId="0" xfId="0" applyFont="1" applyFill="1"/>
    <xf numFmtId="0" fontId="10" fillId="4" borderId="0" xfId="0" applyFont="1" applyFill="1" applyProtection="1">
      <protection hidden="1"/>
    </xf>
    <xf numFmtId="0" fontId="10" fillId="3" borderId="0" xfId="0" applyFont="1" applyFill="1" applyAlignment="1" applyProtection="1">
      <alignment vertical="top"/>
      <protection hidden="1"/>
    </xf>
    <xf numFmtId="0" fontId="19" fillId="0" borderId="0" xfId="0" applyFont="1" applyProtection="1">
      <protection hidden="1"/>
    </xf>
    <xf numFmtId="0" fontId="20" fillId="0" borderId="0" xfId="0" applyFont="1" applyProtection="1">
      <protection hidden="1"/>
    </xf>
    <xf numFmtId="165" fontId="20" fillId="0" borderId="0" xfId="0" applyNumberFormat="1" applyFont="1" applyProtection="1">
      <protection hidden="1"/>
    </xf>
    <xf numFmtId="3" fontId="21" fillId="0" borderId="0" xfId="0" applyNumberFormat="1" applyFont="1" applyProtection="1">
      <protection hidden="1"/>
    </xf>
    <xf numFmtId="3" fontId="10" fillId="5" borderId="0" xfId="0" applyNumberFormat="1" applyFont="1" applyFill="1" applyProtection="1">
      <protection locked="0"/>
    </xf>
    <xf numFmtId="3" fontId="20" fillId="0" borderId="0" xfId="0" applyNumberFormat="1" applyFont="1" applyProtection="1">
      <protection hidden="1"/>
    </xf>
    <xf numFmtId="173" fontId="20" fillId="0" borderId="0" xfId="0" applyNumberFormat="1" applyFont="1" applyAlignment="1" applyProtection="1">
      <alignment horizontal="right"/>
      <protection hidden="1"/>
    </xf>
    <xf numFmtId="2" fontId="20" fillId="0" borderId="0" xfId="0" applyNumberFormat="1" applyFont="1" applyProtection="1">
      <protection hidden="1"/>
    </xf>
    <xf numFmtId="166" fontId="20" fillId="0" borderId="0" xfId="0" applyNumberFormat="1" applyFont="1" applyProtection="1">
      <protection hidden="1"/>
    </xf>
    <xf numFmtId="4" fontId="20" fillId="0" borderId="0" xfId="0" applyNumberFormat="1" applyFont="1" applyProtection="1">
      <protection hidden="1"/>
    </xf>
    <xf numFmtId="4" fontId="10" fillId="5" borderId="0" xfId="0" applyNumberFormat="1" applyFont="1" applyFill="1" applyProtection="1">
      <protection locked="0"/>
    </xf>
    <xf numFmtId="11" fontId="20" fillId="0" borderId="0" xfId="0" applyNumberFormat="1" applyFont="1" applyProtection="1">
      <protection hidden="1"/>
    </xf>
    <xf numFmtId="2" fontId="4" fillId="5" borderId="0" xfId="0" applyNumberFormat="1" applyFont="1" applyFill="1" applyProtection="1">
      <protection locked="0"/>
    </xf>
    <xf numFmtId="0" fontId="4" fillId="0" borderId="0" xfId="0" applyFont="1" applyProtection="1">
      <protection hidden="1"/>
    </xf>
    <xf numFmtId="174" fontId="20" fillId="0" borderId="0" xfId="0" applyNumberFormat="1" applyFont="1" applyAlignment="1" applyProtection="1">
      <alignment horizontal="right"/>
      <protection hidden="1"/>
    </xf>
    <xf numFmtId="2" fontId="14" fillId="4" borderId="0" xfId="0" applyNumberFormat="1" applyFont="1" applyFill="1" applyProtection="1">
      <protection hidden="1"/>
    </xf>
    <xf numFmtId="0" fontId="22" fillId="3" borderId="0" xfId="0" applyFont="1" applyFill="1" applyProtection="1">
      <protection hidden="1"/>
    </xf>
    <xf numFmtId="4" fontId="4" fillId="5" borderId="0" xfId="0" applyNumberFormat="1" applyFont="1" applyFill="1" applyProtection="1">
      <protection locked="0"/>
    </xf>
    <xf numFmtId="170" fontId="20" fillId="0" borderId="0" xfId="0" applyNumberFormat="1" applyFont="1" applyProtection="1">
      <protection hidden="1"/>
    </xf>
    <xf numFmtId="2" fontId="21" fillId="0" borderId="0" xfId="0" applyNumberFormat="1" applyFont="1" applyProtection="1">
      <protection hidden="1"/>
    </xf>
    <xf numFmtId="0" fontId="23" fillId="3" borderId="0" xfId="0" applyFont="1" applyFill="1" applyProtection="1">
      <protection hidden="1"/>
    </xf>
    <xf numFmtId="0" fontId="24" fillId="0" borderId="0" xfId="0" applyFont="1" applyAlignment="1" applyProtection="1">
      <alignment vertical="center"/>
      <protection hidden="1"/>
    </xf>
    <xf numFmtId="164" fontId="20" fillId="0" borderId="0" xfId="0" applyNumberFormat="1" applyFont="1" applyProtection="1">
      <protection hidden="1"/>
    </xf>
    <xf numFmtId="0" fontId="25" fillId="6" borderId="0" xfId="0" applyFont="1" applyFill="1" applyAlignment="1" applyProtection="1">
      <alignment horizontal="right" vertical="center"/>
      <protection hidden="1"/>
    </xf>
    <xf numFmtId="172" fontId="20" fillId="0" borderId="0" xfId="0" applyNumberFormat="1" applyFont="1" applyProtection="1">
      <protection hidden="1"/>
    </xf>
    <xf numFmtId="171" fontId="10" fillId="5" borderId="0" xfId="0" applyNumberFormat="1" applyFont="1" applyFill="1" applyProtection="1">
      <protection locked="0"/>
    </xf>
    <xf numFmtId="171" fontId="20" fillId="0" borderId="0" xfId="0" applyNumberFormat="1" applyFont="1" applyProtection="1">
      <protection hidden="1"/>
    </xf>
    <xf numFmtId="10" fontId="20" fillId="0" borderId="0" xfId="1" applyNumberFormat="1" applyFont="1" applyProtection="1">
      <protection hidden="1"/>
    </xf>
    <xf numFmtId="2" fontId="10" fillId="0" borderId="0" xfId="0" applyNumberFormat="1" applyFont="1" applyProtection="1">
      <protection hidden="1"/>
    </xf>
    <xf numFmtId="0" fontId="10" fillId="3" borderId="0" xfId="0" applyFont="1" applyFill="1"/>
    <xf numFmtId="0" fontId="17" fillId="3" borderId="0" xfId="0" applyFont="1" applyFill="1"/>
    <xf numFmtId="0" fontId="26" fillId="0" borderId="0" xfId="0" applyFont="1"/>
    <xf numFmtId="0" fontId="17" fillId="5" borderId="0" xfId="0" applyFont="1" applyFill="1" applyProtection="1">
      <protection locked="0"/>
    </xf>
    <xf numFmtId="0" fontId="10" fillId="5" borderId="0" xfId="0" applyFont="1" applyFill="1" applyAlignment="1" applyProtection="1">
      <alignment horizontal="right"/>
      <protection locked="0"/>
    </xf>
    <xf numFmtId="2" fontId="26" fillId="0" borderId="0" xfId="0" applyNumberFormat="1" applyFont="1"/>
    <xf numFmtId="11" fontId="26" fillId="0" borderId="0" xfId="0" applyNumberFormat="1" applyFont="1"/>
    <xf numFmtId="0" fontId="26" fillId="0" borderId="0" xfId="0" applyFont="1" applyAlignment="1">
      <alignment horizontal="left"/>
    </xf>
    <xf numFmtId="11" fontId="10" fillId="5" borderId="0" xfId="0" applyNumberFormat="1" applyFont="1" applyFill="1" applyAlignment="1" applyProtection="1">
      <alignment horizontal="right"/>
      <protection locked="0"/>
    </xf>
    <xf numFmtId="0" fontId="10" fillId="0" borderId="0" xfId="0" applyFont="1" applyAlignment="1">
      <alignment horizontal="left"/>
    </xf>
    <xf numFmtId="2" fontId="10" fillId="4" borderId="0" xfId="0" applyNumberFormat="1" applyFont="1" applyFill="1"/>
    <xf numFmtId="0" fontId="26" fillId="3" borderId="0" xfId="0" applyFont="1" applyFill="1"/>
    <xf numFmtId="2" fontId="10" fillId="5" borderId="0" xfId="0" applyNumberFormat="1" applyFont="1" applyFill="1" applyProtection="1">
      <protection locked="0"/>
    </xf>
    <xf numFmtId="0" fontId="27" fillId="0" borderId="0" xfId="0" applyFont="1"/>
    <xf numFmtId="169" fontId="10" fillId="4" borderId="0" xfId="0" applyNumberFormat="1" applyFont="1" applyFill="1"/>
    <xf numFmtId="170" fontId="10" fillId="5" borderId="0" xfId="0" applyNumberFormat="1" applyFont="1" applyFill="1" applyProtection="1">
      <protection locked="0"/>
    </xf>
    <xf numFmtId="0" fontId="28" fillId="0" borderId="0" xfId="0" applyFont="1" applyAlignment="1">
      <alignment horizontal="left"/>
    </xf>
    <xf numFmtId="169" fontId="26" fillId="0" borderId="0" xfId="0" applyNumberFormat="1" applyFont="1"/>
    <xf numFmtId="2" fontId="10" fillId="0" borderId="0" xfId="0" applyNumberFormat="1" applyFont="1"/>
    <xf numFmtId="2" fontId="26" fillId="0" borderId="0" xfId="0" applyNumberFormat="1" applyFont="1" applyAlignment="1">
      <alignment horizontal="right"/>
    </xf>
    <xf numFmtId="170" fontId="29" fillId="0" borderId="0" xfId="0" applyNumberFormat="1" applyFont="1"/>
    <xf numFmtId="170" fontId="26" fillId="0" borderId="0" xfId="0" applyNumberFormat="1" applyFont="1"/>
    <xf numFmtId="0" fontId="22" fillId="3" borderId="0" xfId="0" applyFont="1" applyFill="1"/>
    <xf numFmtId="0" fontId="18" fillId="3" borderId="0" xfId="0" applyFont="1" applyFill="1" applyProtection="1">
      <protection hidden="1"/>
    </xf>
    <xf numFmtId="0" fontId="30" fillId="3" borderId="0" xfId="0" applyFont="1" applyFill="1" applyProtection="1">
      <protection hidden="1"/>
    </xf>
    <xf numFmtId="0" fontId="9" fillId="7" borderId="0" xfId="0" applyFont="1" applyFill="1" applyProtection="1">
      <protection hidden="1"/>
    </xf>
    <xf numFmtId="0" fontId="9" fillId="0" borderId="0" xfId="0" applyFont="1" applyAlignment="1" applyProtection="1">
      <alignment vertical="top"/>
      <protection hidden="1"/>
    </xf>
    <xf numFmtId="0" fontId="31" fillId="0" borderId="0" xfId="0" applyFont="1" applyAlignment="1" applyProtection="1">
      <alignment horizontal="left"/>
      <protection hidden="1"/>
    </xf>
    <xf numFmtId="0" fontId="31" fillId="0" borderId="0" xfId="0" applyFont="1" applyAlignment="1" applyProtection="1">
      <alignment horizontal="left" vertical="top"/>
      <protection hidden="1"/>
    </xf>
    <xf numFmtId="0" fontId="32" fillId="0" borderId="0" xfId="0" applyFont="1" applyProtection="1">
      <protection hidden="1"/>
    </xf>
    <xf numFmtId="0" fontId="30" fillId="7" borderId="0" xfId="0" applyFont="1" applyFill="1" applyProtection="1">
      <protection hidden="1"/>
    </xf>
    <xf numFmtId="0" fontId="30" fillId="0" borderId="0" xfId="0" applyFont="1" applyProtection="1">
      <protection hidden="1"/>
    </xf>
    <xf numFmtId="0" fontId="33" fillId="7" borderId="0" xfId="0" applyFont="1" applyFill="1" applyProtection="1">
      <protection hidden="1"/>
    </xf>
    <xf numFmtId="0" fontId="33" fillId="0" borderId="0" xfId="0" applyFont="1" applyProtection="1">
      <protection hidden="1"/>
    </xf>
    <xf numFmtId="166" fontId="0" fillId="0" borderId="0" xfId="0" applyNumberFormat="1"/>
    <xf numFmtId="10" fontId="7" fillId="0" borderId="0" xfId="1" applyNumberFormat="1" applyFont="1"/>
    <xf numFmtId="168" fontId="0" fillId="0" borderId="0" xfId="0" applyNumberFormat="1"/>
    <xf numFmtId="167" fontId="7" fillId="0" borderId="0" xfId="1" applyNumberFormat="1" applyFont="1"/>
    <xf numFmtId="167" fontId="0" fillId="0" borderId="0" xfId="0" applyNumberFormat="1"/>
    <xf numFmtId="0" fontId="34" fillId="0" borderId="0" xfId="0" applyFont="1" applyAlignment="1" applyProtection="1">
      <alignment horizontal="right"/>
      <protection hidden="1"/>
    </xf>
    <xf numFmtId="0" fontId="35" fillId="3" borderId="0" xfId="0" applyFont="1" applyFill="1" applyAlignment="1" applyProtection="1">
      <alignment horizontal="left"/>
      <protection hidden="1"/>
    </xf>
    <xf numFmtId="0" fontId="8" fillId="2" borderId="0" xfId="0" applyFont="1" applyFill="1" applyAlignment="1">
      <alignment horizontal="center"/>
    </xf>
  </cellXfs>
  <cellStyles count="2">
    <cellStyle name="Normal" xfId="0" builtinId="0"/>
    <cellStyle name="Porcentaje" xfId="1" builtinId="5"/>
  </cellStyles>
  <dxfs count="2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theme="0" tint="-0.14996795556505021"/>
        </patternFill>
      </fill>
    </dxf>
    <dxf>
      <font>
        <color rgb="FF00B0F0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theme="0" tint="-0.14996795556505021"/>
        </patternFill>
      </fill>
    </dxf>
    <dxf>
      <font>
        <color rgb="FF00B0F0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theme="0" tint="-0.14996795556505021"/>
        </patternFill>
      </fill>
    </dxf>
    <dxf>
      <font>
        <color rgb="FF00B0F0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theme="0" tint="-0.14996795556505021"/>
        </patternFill>
      </fill>
    </dxf>
    <dxf>
      <font>
        <color rgb="FF00B0F0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theme="0" tint="-0.14996795556505021"/>
        </patternFill>
      </fill>
    </dxf>
    <dxf>
      <font>
        <color rgb="FF00B0F0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theme="0" tint="-0.14996795556505021"/>
        </patternFill>
      </fill>
    </dxf>
    <dxf>
      <font>
        <color rgb="FF00B0F0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theme="0" tint="-0.14996795556505021"/>
        </patternFill>
      </fill>
    </dxf>
    <dxf>
      <font>
        <color rgb="FF00B0F0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theme="0" tint="-0.14996795556505021"/>
        </patternFill>
      </fill>
    </dxf>
    <dxf>
      <font>
        <color rgb="FF00B0F0"/>
      </font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133350</xdr:colOff>
      <xdr:row>21</xdr:row>
      <xdr:rowOff>76200</xdr:rowOff>
    </xdr:from>
    <xdr:to>
      <xdr:col>12</xdr:col>
      <xdr:colOff>466725</xdr:colOff>
      <xdr:row>26</xdr:row>
      <xdr:rowOff>104775</xdr:rowOff>
    </xdr:to>
    <xdr:pic>
      <xdr:nvPicPr>
        <xdr:cNvPr id="5685" name="2 Imagen" descr="logo eren.jpg">
          <a:extLst>
            <a:ext uri="{FF2B5EF4-FFF2-40B4-BE49-F238E27FC236}">
              <a16:creationId xmlns:a16="http://schemas.microsoft.com/office/drawing/2014/main" id="{00000000-0008-0000-0000-0000351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19875" y="3781425"/>
          <a:ext cx="18573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5</xdr:row>
          <xdr:rowOff>28575</xdr:rowOff>
        </xdr:from>
        <xdr:to>
          <xdr:col>7</xdr:col>
          <xdr:colOff>19050</xdr:colOff>
          <xdr:row>7</xdr:row>
          <xdr:rowOff>9525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7</xdr:row>
          <xdr:rowOff>28575</xdr:rowOff>
        </xdr:from>
        <xdr:to>
          <xdr:col>7</xdr:col>
          <xdr:colOff>19050</xdr:colOff>
          <xdr:row>9</xdr:row>
          <xdr:rowOff>9525</xdr:rowOff>
        </xdr:to>
        <xdr:sp macro="" textlink="">
          <xdr:nvSpPr>
            <xdr:cNvPr id="5123" name="CommandButton2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11</xdr:row>
          <xdr:rowOff>28575</xdr:rowOff>
        </xdr:from>
        <xdr:to>
          <xdr:col>7</xdr:col>
          <xdr:colOff>19050</xdr:colOff>
          <xdr:row>13</xdr:row>
          <xdr:rowOff>9525</xdr:rowOff>
        </xdr:to>
        <xdr:sp macro="" textlink="">
          <xdr:nvSpPr>
            <xdr:cNvPr id="5138" name="CommandButton3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0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13</xdr:row>
          <xdr:rowOff>28575</xdr:rowOff>
        </xdr:from>
        <xdr:to>
          <xdr:col>7</xdr:col>
          <xdr:colOff>19050</xdr:colOff>
          <xdr:row>15</xdr:row>
          <xdr:rowOff>9525</xdr:rowOff>
        </xdr:to>
        <xdr:sp macro="" textlink="">
          <xdr:nvSpPr>
            <xdr:cNvPr id="5139" name="CommandButton4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0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17</xdr:row>
          <xdr:rowOff>9525</xdr:rowOff>
        </xdr:from>
        <xdr:to>
          <xdr:col>7</xdr:col>
          <xdr:colOff>19050</xdr:colOff>
          <xdr:row>18</xdr:row>
          <xdr:rowOff>123825</xdr:rowOff>
        </xdr:to>
        <xdr:sp macro="" textlink="">
          <xdr:nvSpPr>
            <xdr:cNvPr id="5152" name="CommandButton5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0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19</xdr:row>
          <xdr:rowOff>9525</xdr:rowOff>
        </xdr:from>
        <xdr:to>
          <xdr:col>7</xdr:col>
          <xdr:colOff>19050</xdr:colOff>
          <xdr:row>20</xdr:row>
          <xdr:rowOff>123825</xdr:rowOff>
        </xdr:to>
        <xdr:sp macro="" textlink="">
          <xdr:nvSpPr>
            <xdr:cNvPr id="5153" name="CommandButton6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0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23</xdr:row>
          <xdr:rowOff>9525</xdr:rowOff>
        </xdr:from>
        <xdr:to>
          <xdr:col>7</xdr:col>
          <xdr:colOff>9525</xdr:colOff>
          <xdr:row>24</xdr:row>
          <xdr:rowOff>123825</xdr:rowOff>
        </xdr:to>
        <xdr:sp macro="" textlink="">
          <xdr:nvSpPr>
            <xdr:cNvPr id="5370" name="CommandButton7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0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25</xdr:row>
          <xdr:rowOff>9525</xdr:rowOff>
        </xdr:from>
        <xdr:to>
          <xdr:col>7</xdr:col>
          <xdr:colOff>9525</xdr:colOff>
          <xdr:row>26</xdr:row>
          <xdr:rowOff>123825</xdr:rowOff>
        </xdr:to>
        <xdr:sp macro="" textlink="">
          <xdr:nvSpPr>
            <xdr:cNvPr id="5375" name="CommandButton8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0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571500</xdr:colOff>
          <xdr:row>23</xdr:row>
          <xdr:rowOff>57150</xdr:rowOff>
        </xdr:from>
        <xdr:to>
          <xdr:col>9</xdr:col>
          <xdr:colOff>371475</xdr:colOff>
          <xdr:row>26</xdr:row>
          <xdr:rowOff>76200</xdr:rowOff>
        </xdr:to>
        <xdr:sp macro="" textlink="">
          <xdr:nvSpPr>
            <xdr:cNvPr id="5608" name="CommandButton9" hidden="1">
              <a:extLst>
                <a:ext uri="{63B3BB69-23CF-44E3-9099-C40C66FF867C}">
                  <a14:compatExt spid="_x0000_s5608"/>
                </a:ext>
                <a:ext uri="{FF2B5EF4-FFF2-40B4-BE49-F238E27FC236}">
                  <a16:creationId xmlns:a16="http://schemas.microsoft.com/office/drawing/2014/main" id="{00000000-0008-0000-0000-0000E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19050</xdr:colOff>
      <xdr:row>0</xdr:row>
      <xdr:rowOff>19050</xdr:rowOff>
    </xdr:from>
    <xdr:to>
      <xdr:col>6</xdr:col>
      <xdr:colOff>681990</xdr:colOff>
      <xdr:row>0</xdr:row>
      <xdr:rowOff>339090</xdr:rowOff>
    </xdr:to>
    <xdr:pic>
      <xdr:nvPicPr>
        <xdr:cNvPr id="3739" name="2 Imagen" descr="logo eren.jpg">
          <a:extLst>
            <a:ext uri="{FF2B5EF4-FFF2-40B4-BE49-F238E27FC236}">
              <a16:creationId xmlns:a16="http://schemas.microsoft.com/office/drawing/2014/main" id="{00000000-0008-0000-0100-00009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19050"/>
          <a:ext cx="6477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20</xdr:row>
          <xdr:rowOff>123825</xdr:rowOff>
        </xdr:from>
        <xdr:to>
          <xdr:col>7</xdr:col>
          <xdr:colOff>304800</xdr:colOff>
          <xdr:row>23</xdr:row>
          <xdr:rowOff>41910</xdr:rowOff>
        </xdr:to>
        <xdr:sp macro="" textlink="">
          <xdr:nvSpPr>
            <xdr:cNvPr id="3163" name="CommandButton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1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19050</xdr:colOff>
      <xdr:row>0</xdr:row>
      <xdr:rowOff>19050</xdr:rowOff>
    </xdr:from>
    <xdr:to>
      <xdr:col>6</xdr:col>
      <xdr:colOff>681990</xdr:colOff>
      <xdr:row>0</xdr:row>
      <xdr:rowOff>339090</xdr:rowOff>
    </xdr:to>
    <xdr:pic>
      <xdr:nvPicPr>
        <xdr:cNvPr id="4676" name="2 Imagen" descr="logo eren.jpg">
          <a:extLst>
            <a:ext uri="{FF2B5EF4-FFF2-40B4-BE49-F238E27FC236}">
              <a16:creationId xmlns:a16="http://schemas.microsoft.com/office/drawing/2014/main" id="{00000000-0008-0000-0200-00004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91350" y="19050"/>
          <a:ext cx="6477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20</xdr:row>
          <xdr:rowOff>133350</xdr:rowOff>
        </xdr:from>
        <xdr:to>
          <xdr:col>7</xdr:col>
          <xdr:colOff>339090</xdr:colOff>
          <xdr:row>23</xdr:row>
          <xdr:rowOff>72390</xdr:rowOff>
        </xdr:to>
        <xdr:sp macro="" textlink="">
          <xdr:nvSpPr>
            <xdr:cNvPr id="4116" name="CommandButton1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2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400049</xdr:colOff>
      <xdr:row>0</xdr:row>
      <xdr:rowOff>0</xdr:rowOff>
    </xdr:from>
    <xdr:to>
      <xdr:col>13</xdr:col>
      <xdr:colOff>82620</xdr:colOff>
      <xdr:row>18</xdr:row>
      <xdr:rowOff>66675</xdr:rowOff>
    </xdr:to>
    <xdr:pic>
      <xdr:nvPicPr>
        <xdr:cNvPr id="2" name="Picture 11" descr="moody-rugo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accent2">
              <a:tint val="45000"/>
              <a:satMod val="400000"/>
            </a:schemeClr>
          </a:duotone>
        </a:blip>
        <a:srcRect t="32381" r="2405" b="15623"/>
        <a:stretch>
          <a:fillRect/>
        </a:stretch>
      </xdr:blipFill>
      <xdr:spPr bwMode="auto">
        <a:xfrm>
          <a:off x="4048124" y="0"/>
          <a:ext cx="7302571" cy="3733800"/>
        </a:xfrm>
        <a:prstGeom prst="rect">
          <a:avLst/>
        </a:prstGeom>
        <a:noFill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19050</xdr:colOff>
      <xdr:row>0</xdr:row>
      <xdr:rowOff>9525</xdr:rowOff>
    </xdr:from>
    <xdr:to>
      <xdr:col>6</xdr:col>
      <xdr:colOff>666750</xdr:colOff>
      <xdr:row>0</xdr:row>
      <xdr:rowOff>323850</xdr:rowOff>
    </xdr:to>
    <xdr:pic>
      <xdr:nvPicPr>
        <xdr:cNvPr id="8680" name="2 Imagen" descr="logo eren.jpg">
          <a:extLst>
            <a:ext uri="{FF2B5EF4-FFF2-40B4-BE49-F238E27FC236}">
              <a16:creationId xmlns:a16="http://schemas.microsoft.com/office/drawing/2014/main" id="{00000000-0008-0000-0400-0000E82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00875" y="9525"/>
          <a:ext cx="6477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20</xdr:row>
          <xdr:rowOff>133350</xdr:rowOff>
        </xdr:from>
        <xdr:to>
          <xdr:col>7</xdr:col>
          <xdr:colOff>114300</xdr:colOff>
          <xdr:row>23</xdr:row>
          <xdr:rowOff>57150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19050</xdr:colOff>
      <xdr:row>0</xdr:row>
      <xdr:rowOff>19050</xdr:rowOff>
    </xdr:from>
    <xdr:to>
      <xdr:col>6</xdr:col>
      <xdr:colOff>666750</xdr:colOff>
      <xdr:row>0</xdr:row>
      <xdr:rowOff>333375</xdr:rowOff>
    </xdr:to>
    <xdr:pic>
      <xdr:nvPicPr>
        <xdr:cNvPr id="9542" name="2 Imagen" descr="logo eren.jpg">
          <a:extLst>
            <a:ext uri="{FF2B5EF4-FFF2-40B4-BE49-F238E27FC236}">
              <a16:creationId xmlns:a16="http://schemas.microsoft.com/office/drawing/2014/main" id="{00000000-0008-0000-0500-0000462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0" y="19050"/>
          <a:ext cx="6477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257175</xdr:colOff>
          <xdr:row>20</xdr:row>
          <xdr:rowOff>104775</xdr:rowOff>
        </xdr:from>
        <xdr:to>
          <xdr:col>7</xdr:col>
          <xdr:colOff>247650</xdr:colOff>
          <xdr:row>23</xdr:row>
          <xdr:rowOff>28575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76200</xdr:colOff>
      <xdr:row>0</xdr:row>
      <xdr:rowOff>19050</xdr:rowOff>
    </xdr:from>
    <xdr:to>
      <xdr:col>6</xdr:col>
      <xdr:colOff>723900</xdr:colOff>
      <xdr:row>0</xdr:row>
      <xdr:rowOff>333375</xdr:rowOff>
    </xdr:to>
    <xdr:pic>
      <xdr:nvPicPr>
        <xdr:cNvPr id="10554" name="2 Imagen" descr="logo eren.jpg">
          <a:extLst>
            <a:ext uri="{FF2B5EF4-FFF2-40B4-BE49-F238E27FC236}">
              <a16:creationId xmlns:a16="http://schemas.microsoft.com/office/drawing/2014/main" id="{00000000-0008-0000-0600-00003A2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62675" y="19050"/>
          <a:ext cx="6477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257175</xdr:colOff>
          <xdr:row>13</xdr:row>
          <xdr:rowOff>0</xdr:rowOff>
        </xdr:from>
        <xdr:to>
          <xdr:col>7</xdr:col>
          <xdr:colOff>47625</xdr:colOff>
          <xdr:row>15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923925</xdr:colOff>
      <xdr:row>0</xdr:row>
      <xdr:rowOff>19050</xdr:rowOff>
    </xdr:from>
    <xdr:to>
      <xdr:col>7</xdr:col>
      <xdr:colOff>209550</xdr:colOff>
      <xdr:row>0</xdr:row>
      <xdr:rowOff>333375</xdr:rowOff>
    </xdr:to>
    <xdr:pic>
      <xdr:nvPicPr>
        <xdr:cNvPr id="11574" name="2 Imagen" descr="logo eren.jpg">
          <a:extLst>
            <a:ext uri="{FF2B5EF4-FFF2-40B4-BE49-F238E27FC236}">
              <a16:creationId xmlns:a16="http://schemas.microsoft.com/office/drawing/2014/main" id="{00000000-0008-0000-0700-0000362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62675" y="19050"/>
          <a:ext cx="6477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771525</xdr:colOff>
          <xdr:row>12</xdr:row>
          <xdr:rowOff>123825</xdr:rowOff>
        </xdr:from>
        <xdr:to>
          <xdr:col>7</xdr:col>
          <xdr:colOff>180975</xdr:colOff>
          <xdr:row>15</xdr:row>
          <xdr:rowOff>47625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19050</xdr:colOff>
      <xdr:row>0</xdr:row>
      <xdr:rowOff>19050</xdr:rowOff>
    </xdr:from>
    <xdr:to>
      <xdr:col>6</xdr:col>
      <xdr:colOff>666750</xdr:colOff>
      <xdr:row>0</xdr:row>
      <xdr:rowOff>333375</xdr:rowOff>
    </xdr:to>
    <xdr:pic>
      <xdr:nvPicPr>
        <xdr:cNvPr id="16515" name="2 Imagen" descr="logo eren.jpg">
          <a:extLst>
            <a:ext uri="{FF2B5EF4-FFF2-40B4-BE49-F238E27FC236}">
              <a16:creationId xmlns:a16="http://schemas.microsoft.com/office/drawing/2014/main" id="{00000000-0008-0000-0800-0000834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9050"/>
          <a:ext cx="6477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22</xdr:row>
          <xdr:rowOff>95250</xdr:rowOff>
        </xdr:from>
        <xdr:to>
          <xdr:col>7</xdr:col>
          <xdr:colOff>219075</xdr:colOff>
          <xdr:row>25</xdr:row>
          <xdr:rowOff>19050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19050</xdr:rowOff>
    </xdr:from>
    <xdr:to>
      <xdr:col>6</xdr:col>
      <xdr:colOff>714375</xdr:colOff>
      <xdr:row>0</xdr:row>
      <xdr:rowOff>323850</xdr:rowOff>
    </xdr:to>
    <xdr:pic>
      <xdr:nvPicPr>
        <xdr:cNvPr id="12460" name="2 Imagen" descr="logo eren.jpg">
          <a:extLst>
            <a:ext uri="{FF2B5EF4-FFF2-40B4-BE49-F238E27FC236}">
              <a16:creationId xmlns:a16="http://schemas.microsoft.com/office/drawing/2014/main" id="{00000000-0008-0000-0900-0000AC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72325" y="19050"/>
          <a:ext cx="6477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19</xdr:row>
          <xdr:rowOff>114300</xdr:rowOff>
        </xdr:from>
        <xdr:to>
          <xdr:col>7</xdr:col>
          <xdr:colOff>323850</xdr:colOff>
          <xdr:row>22</xdr:row>
          <xdr:rowOff>38100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2390775</xdr:colOff>
      <xdr:row>0</xdr:row>
      <xdr:rowOff>19050</xdr:rowOff>
    </xdr:from>
    <xdr:to>
      <xdr:col>6</xdr:col>
      <xdr:colOff>647700</xdr:colOff>
      <xdr:row>1</xdr:row>
      <xdr:rowOff>0</xdr:rowOff>
    </xdr:to>
    <xdr:pic>
      <xdr:nvPicPr>
        <xdr:cNvPr id="17511" name="2 Imagen" descr="logo eren.jpg">
          <a:extLst>
            <a:ext uri="{FF2B5EF4-FFF2-40B4-BE49-F238E27FC236}">
              <a16:creationId xmlns:a16="http://schemas.microsoft.com/office/drawing/2014/main" id="{00000000-0008-0000-0C00-000067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9050"/>
          <a:ext cx="6477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22</xdr:row>
          <xdr:rowOff>104775</xdr:rowOff>
        </xdr:from>
        <xdr:to>
          <xdr:col>9</xdr:col>
          <xdr:colOff>19050</xdr:colOff>
          <xdr:row>25</xdr:row>
          <xdr:rowOff>161925</xdr:rowOff>
        </xdr:to>
        <xdr:sp macro="" textlink="">
          <xdr:nvSpPr>
            <xdr:cNvPr id="17412" name="CommandButton1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C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5.xml"/><Relationship Id="rId18" Type="http://schemas.openxmlformats.org/officeDocument/2006/relationships/image" Target="../media/image8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5.emf"/><Relationship Id="rId17" Type="http://schemas.openxmlformats.org/officeDocument/2006/relationships/control" Target="../activeX/activeX7.xml"/><Relationship Id="rId2" Type="http://schemas.openxmlformats.org/officeDocument/2006/relationships/drawing" Target="../drawings/drawing1.x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10" Type="http://schemas.openxmlformats.org/officeDocument/2006/relationships/image" Target="../media/image4.emf"/><Relationship Id="rId19" Type="http://schemas.openxmlformats.org/officeDocument/2006/relationships/control" Target="../activeX/activeX8.xml"/><Relationship Id="rId4" Type="http://schemas.openxmlformats.org/officeDocument/2006/relationships/image" Target="../media/image1.png"/><Relationship Id="rId9" Type="http://schemas.openxmlformats.org/officeDocument/2006/relationships/control" Target="../activeX/activeX3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1.emf"/><Relationship Id="rId4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1.emf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1.emf"/><Relationship Id="rId4" Type="http://schemas.openxmlformats.org/officeDocument/2006/relationships/control" Target="../activeX/activeX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1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1.emf"/><Relationship Id="rId4" Type="http://schemas.openxmlformats.org/officeDocument/2006/relationships/control" Target="../activeX/activeX1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1.emf"/><Relationship Id="rId4" Type="http://schemas.openxmlformats.org/officeDocument/2006/relationships/control" Target="../activeX/activeX1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4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447"/>
  <sheetViews>
    <sheetView showGridLines="0" showRowColHeaders="0" topLeftCell="A2" zoomScaleNormal="100" workbookViewId="0">
      <selection activeCell="O25" sqref="O25"/>
    </sheetView>
  </sheetViews>
  <sheetFormatPr baseColWidth="10" defaultColWidth="11.42578125" defaultRowHeight="11.25" x14ac:dyDescent="0.2"/>
  <cols>
    <col min="1" max="1" width="3.7109375" style="85" customWidth="1"/>
    <col min="2" max="2" width="11.42578125" style="86" customWidth="1"/>
    <col min="3" max="3" width="2.140625" style="86" customWidth="1"/>
    <col min="4" max="12" width="11.42578125" style="86"/>
    <col min="13" max="13" width="8.5703125" style="85" customWidth="1"/>
    <col min="14" max="14" width="3.7109375" style="85" customWidth="1"/>
    <col min="15" max="32" width="11.42578125" style="85"/>
    <col min="33" max="16384" width="11.42578125" style="86"/>
  </cols>
  <sheetData>
    <row r="1" spans="1:32" s="84" customFormat="1" ht="13.5" x14ac:dyDescent="0.3">
      <c r="A1" s="83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</row>
    <row r="2" spans="1:32" s="2" customFormat="1" ht="16.5" x14ac:dyDescent="0.3">
      <c r="A2" s="78"/>
      <c r="B2" s="79"/>
      <c r="C2" s="80" t="s">
        <v>72</v>
      </c>
      <c r="D2" s="80"/>
      <c r="E2" s="80"/>
      <c r="F2" s="80"/>
      <c r="G2" s="80"/>
      <c r="H2" s="80"/>
      <c r="I2" s="80"/>
      <c r="J2" s="80"/>
      <c r="K2" s="81"/>
      <c r="L2" s="79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</row>
    <row r="3" spans="1:32" s="2" customFormat="1" ht="16.5" x14ac:dyDescent="0.3">
      <c r="A3" s="78"/>
      <c r="C3" s="82" t="s">
        <v>73</v>
      </c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</row>
    <row r="4" spans="1:32" s="84" customFormat="1" ht="13.5" x14ac:dyDescent="0.3">
      <c r="A4" s="83"/>
      <c r="N4" s="83"/>
      <c r="O4" s="83"/>
      <c r="P4" s="83"/>
      <c r="Q4" s="83"/>
      <c r="R4" s="83"/>
      <c r="S4" s="83"/>
      <c r="T4" s="83"/>
      <c r="U4" s="83"/>
      <c r="V4" s="83"/>
      <c r="W4" s="83"/>
      <c r="X4" s="83"/>
      <c r="Y4" s="83"/>
      <c r="Z4" s="83"/>
      <c r="AA4" s="83"/>
      <c r="AB4" s="83"/>
      <c r="AC4" s="83"/>
      <c r="AD4" s="83"/>
      <c r="AE4" s="83"/>
      <c r="AF4" s="83"/>
    </row>
    <row r="5" spans="1:32" s="84" customFormat="1" ht="13.5" x14ac:dyDescent="0.3">
      <c r="A5" s="83"/>
      <c r="C5" s="77"/>
      <c r="D5" s="93" t="s">
        <v>70</v>
      </c>
      <c r="E5" s="93"/>
      <c r="F5" s="93"/>
      <c r="G5" s="93"/>
      <c r="N5" s="83"/>
      <c r="O5" s="83"/>
      <c r="P5" s="83"/>
      <c r="Q5" s="83"/>
      <c r="R5" s="83"/>
      <c r="S5" s="83"/>
      <c r="T5" s="83"/>
      <c r="U5" s="83"/>
      <c r="V5" s="83"/>
      <c r="W5" s="83"/>
      <c r="X5" s="83"/>
      <c r="Y5" s="83"/>
      <c r="Z5" s="83"/>
      <c r="AA5" s="83"/>
      <c r="AB5" s="83"/>
      <c r="AC5" s="83"/>
      <c r="AD5" s="83"/>
      <c r="AE5" s="83"/>
      <c r="AF5" s="83"/>
    </row>
    <row r="6" spans="1:32" s="84" customFormat="1" ht="13.5" x14ac:dyDescent="0.3">
      <c r="A6" s="83"/>
      <c r="C6" s="77"/>
      <c r="N6" s="83"/>
      <c r="O6" s="83"/>
      <c r="P6" s="83"/>
      <c r="Q6" s="83"/>
      <c r="R6" s="83"/>
      <c r="S6" s="83"/>
      <c r="T6" s="83"/>
      <c r="U6" s="83"/>
      <c r="V6" s="83"/>
      <c r="W6" s="83"/>
      <c r="X6" s="83"/>
      <c r="Y6" s="83"/>
      <c r="Z6" s="83"/>
      <c r="AA6" s="83"/>
      <c r="AB6" s="83"/>
      <c r="AC6" s="83"/>
      <c r="AD6" s="83"/>
      <c r="AE6" s="83"/>
      <c r="AF6" s="83"/>
    </row>
    <row r="7" spans="1:32" s="84" customFormat="1" ht="13.5" x14ac:dyDescent="0.3">
      <c r="A7" s="83"/>
      <c r="C7" s="77"/>
      <c r="N7" s="83"/>
      <c r="O7" s="83"/>
      <c r="P7" s="83"/>
      <c r="Q7" s="83"/>
      <c r="R7" s="83"/>
      <c r="S7" s="83"/>
      <c r="T7" s="83"/>
      <c r="U7" s="83"/>
      <c r="V7" s="83"/>
      <c r="W7" s="83"/>
      <c r="X7" s="83"/>
      <c r="Y7" s="83"/>
      <c r="Z7" s="83"/>
      <c r="AA7" s="83"/>
      <c r="AB7" s="83"/>
      <c r="AC7" s="83"/>
      <c r="AD7" s="83"/>
      <c r="AE7" s="83"/>
      <c r="AF7" s="83"/>
    </row>
    <row r="8" spans="1:32" s="84" customFormat="1" ht="13.5" x14ac:dyDescent="0.3">
      <c r="A8" s="83"/>
      <c r="C8" s="77"/>
      <c r="N8" s="83"/>
      <c r="O8" s="83"/>
      <c r="P8" s="83"/>
      <c r="Q8" s="83"/>
      <c r="R8" s="83"/>
      <c r="S8" s="83"/>
      <c r="T8" s="83"/>
      <c r="U8" s="83"/>
      <c r="V8" s="83"/>
      <c r="W8" s="83"/>
      <c r="X8" s="83"/>
      <c r="Y8" s="83"/>
      <c r="Z8" s="83"/>
      <c r="AA8" s="83"/>
      <c r="AB8" s="83"/>
      <c r="AC8" s="83"/>
      <c r="AD8" s="83"/>
      <c r="AE8" s="83"/>
      <c r="AF8" s="83"/>
    </row>
    <row r="9" spans="1:32" s="84" customFormat="1" ht="13.5" x14ac:dyDescent="0.3">
      <c r="A9" s="83"/>
      <c r="C9" s="77"/>
      <c r="N9" s="83"/>
      <c r="O9" s="83"/>
      <c r="P9" s="83"/>
      <c r="Q9" s="83"/>
      <c r="R9" s="83"/>
      <c r="S9" s="83"/>
      <c r="T9" s="83"/>
      <c r="U9" s="83"/>
      <c r="V9" s="83"/>
      <c r="W9" s="83"/>
      <c r="X9" s="83"/>
      <c r="Y9" s="83"/>
      <c r="Z9" s="83"/>
      <c r="AA9" s="83"/>
      <c r="AB9" s="83"/>
      <c r="AC9" s="83"/>
      <c r="AD9" s="83"/>
      <c r="AE9" s="83"/>
      <c r="AF9" s="83"/>
    </row>
    <row r="10" spans="1:32" s="84" customFormat="1" ht="13.5" x14ac:dyDescent="0.3">
      <c r="A10" s="83"/>
      <c r="N10" s="83"/>
      <c r="O10" s="83"/>
      <c r="P10" s="83"/>
      <c r="Q10" s="83"/>
      <c r="R10" s="83"/>
      <c r="S10" s="83"/>
      <c r="T10" s="83"/>
      <c r="U10" s="83"/>
      <c r="V10" s="83"/>
      <c r="W10" s="83"/>
      <c r="X10" s="83"/>
      <c r="Y10" s="83"/>
      <c r="Z10" s="83"/>
      <c r="AA10" s="83"/>
      <c r="AB10" s="83"/>
      <c r="AC10" s="83"/>
      <c r="AD10" s="83"/>
      <c r="AE10" s="83"/>
      <c r="AF10" s="83"/>
    </row>
    <row r="11" spans="1:32" s="84" customFormat="1" ht="13.5" x14ac:dyDescent="0.3">
      <c r="A11" s="83"/>
      <c r="C11" s="77"/>
      <c r="D11" s="93" t="s">
        <v>71</v>
      </c>
      <c r="E11" s="93"/>
      <c r="F11" s="93"/>
      <c r="G11" s="93"/>
      <c r="N11" s="83"/>
      <c r="O11" s="83"/>
      <c r="P11" s="83"/>
      <c r="Q11" s="83"/>
      <c r="R11" s="83"/>
      <c r="S11" s="83"/>
      <c r="T11" s="83"/>
      <c r="U11" s="83"/>
      <c r="V11" s="83"/>
      <c r="W11" s="83"/>
      <c r="X11" s="83"/>
      <c r="Y11" s="83"/>
      <c r="Z11" s="83"/>
      <c r="AA11" s="83"/>
      <c r="AB11" s="83"/>
      <c r="AC11" s="83"/>
      <c r="AD11" s="83"/>
      <c r="AE11" s="83"/>
      <c r="AF11" s="83"/>
    </row>
    <row r="12" spans="1:32" s="84" customFormat="1" ht="13.5" x14ac:dyDescent="0.3">
      <c r="A12" s="83"/>
      <c r="C12" s="77"/>
      <c r="N12" s="83"/>
      <c r="O12" s="83"/>
      <c r="P12" s="83"/>
      <c r="Q12" s="83"/>
      <c r="R12" s="83"/>
      <c r="S12" s="83"/>
      <c r="T12" s="83"/>
      <c r="U12" s="83"/>
      <c r="V12" s="83"/>
      <c r="W12" s="83"/>
      <c r="X12" s="83"/>
      <c r="Y12" s="83"/>
      <c r="Z12" s="83"/>
      <c r="AA12" s="83"/>
      <c r="AB12" s="83"/>
      <c r="AC12" s="83"/>
      <c r="AD12" s="83"/>
      <c r="AE12" s="83"/>
      <c r="AF12" s="83"/>
    </row>
    <row r="13" spans="1:32" s="84" customFormat="1" ht="13.5" x14ac:dyDescent="0.3">
      <c r="A13" s="83"/>
      <c r="C13" s="77"/>
      <c r="N13" s="83"/>
      <c r="O13" s="83"/>
      <c r="P13" s="83"/>
      <c r="Q13" s="83"/>
      <c r="R13" s="83"/>
      <c r="S13" s="83"/>
      <c r="T13" s="83"/>
      <c r="U13" s="83"/>
      <c r="V13" s="83"/>
      <c r="W13" s="83"/>
      <c r="X13" s="83"/>
      <c r="Y13" s="83"/>
      <c r="Z13" s="83"/>
      <c r="AA13" s="83"/>
      <c r="AB13" s="83"/>
      <c r="AC13" s="83"/>
      <c r="AD13" s="83"/>
      <c r="AE13" s="83"/>
      <c r="AF13" s="83"/>
    </row>
    <row r="14" spans="1:32" s="84" customFormat="1" ht="13.5" x14ac:dyDescent="0.3">
      <c r="A14" s="83"/>
      <c r="C14" s="77"/>
      <c r="N14" s="83"/>
      <c r="O14" s="83"/>
      <c r="P14" s="83"/>
      <c r="Q14" s="83"/>
      <c r="R14" s="83"/>
      <c r="S14" s="83"/>
      <c r="T14" s="83"/>
      <c r="U14" s="83"/>
      <c r="V14" s="83"/>
      <c r="W14" s="83"/>
      <c r="X14" s="83"/>
      <c r="Y14" s="83"/>
      <c r="Z14" s="83"/>
      <c r="AA14" s="83"/>
      <c r="AB14" s="83"/>
      <c r="AC14" s="83"/>
      <c r="AD14" s="83"/>
      <c r="AE14" s="83"/>
      <c r="AF14" s="83"/>
    </row>
    <row r="15" spans="1:32" s="84" customFormat="1" ht="13.5" x14ac:dyDescent="0.3">
      <c r="A15" s="83"/>
      <c r="C15" s="77"/>
      <c r="N15" s="83"/>
      <c r="O15" s="83"/>
      <c r="P15" s="83"/>
      <c r="Q15" s="83"/>
      <c r="R15" s="83"/>
      <c r="S15" s="83"/>
      <c r="T15" s="83"/>
      <c r="U15" s="8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</row>
    <row r="16" spans="1:32" s="84" customFormat="1" ht="15.75" customHeight="1" x14ac:dyDescent="0.3">
      <c r="A16" s="83"/>
      <c r="N16" s="83"/>
      <c r="O16" s="83"/>
      <c r="P16" s="83"/>
      <c r="Q16" s="83"/>
      <c r="R16" s="83"/>
      <c r="S16" s="83"/>
      <c r="T16" s="83"/>
      <c r="U16" s="83"/>
      <c r="V16" s="83"/>
      <c r="W16" s="83"/>
      <c r="X16" s="83"/>
      <c r="Y16" s="83"/>
      <c r="Z16" s="83"/>
      <c r="AA16" s="83"/>
      <c r="AB16" s="83"/>
      <c r="AC16" s="83"/>
      <c r="AD16" s="83"/>
      <c r="AE16" s="83"/>
      <c r="AF16" s="83"/>
    </row>
    <row r="17" spans="1:32" s="84" customFormat="1" ht="13.5" x14ac:dyDescent="0.3">
      <c r="A17" s="83"/>
      <c r="C17" s="77"/>
      <c r="D17" s="93" t="s">
        <v>115</v>
      </c>
      <c r="E17" s="93"/>
      <c r="F17" s="93"/>
      <c r="G17" s="93"/>
      <c r="N17" s="83"/>
      <c r="O17" s="83"/>
      <c r="P17" s="83"/>
      <c r="Q17" s="83"/>
      <c r="R17" s="83"/>
      <c r="S17" s="83"/>
      <c r="T17" s="83"/>
      <c r="U17" s="83"/>
      <c r="V17" s="83"/>
      <c r="W17" s="83"/>
      <c r="X17" s="83"/>
      <c r="Y17" s="83"/>
      <c r="Z17" s="83"/>
      <c r="AA17" s="83"/>
      <c r="AB17" s="83"/>
      <c r="AC17" s="83"/>
      <c r="AD17" s="83"/>
      <c r="AE17" s="83"/>
      <c r="AF17" s="83"/>
    </row>
    <row r="18" spans="1:32" s="84" customFormat="1" ht="13.5" x14ac:dyDescent="0.3">
      <c r="A18" s="83"/>
      <c r="C18" s="77"/>
      <c r="N18" s="83"/>
      <c r="O18" s="83"/>
      <c r="P18" s="83"/>
      <c r="Q18" s="83"/>
      <c r="R18" s="83"/>
      <c r="S18" s="83"/>
      <c r="T18" s="83"/>
      <c r="U18" s="83"/>
      <c r="V18" s="83"/>
      <c r="W18" s="83"/>
      <c r="X18" s="83"/>
      <c r="Y18" s="83"/>
      <c r="Z18" s="83"/>
      <c r="AA18" s="83"/>
      <c r="AB18" s="83"/>
      <c r="AC18" s="83"/>
      <c r="AD18" s="83"/>
      <c r="AE18" s="83"/>
      <c r="AF18" s="83"/>
    </row>
    <row r="19" spans="1:32" s="84" customFormat="1" ht="13.5" x14ac:dyDescent="0.3">
      <c r="A19" s="83"/>
      <c r="C19" s="77"/>
      <c r="N19" s="83"/>
      <c r="O19" s="83"/>
      <c r="P19" s="83"/>
      <c r="Q19" s="83"/>
      <c r="R19" s="83"/>
      <c r="S19" s="83"/>
      <c r="T19" s="83"/>
      <c r="U19" s="83"/>
      <c r="V19" s="83"/>
      <c r="W19" s="83"/>
      <c r="X19" s="83"/>
      <c r="Y19" s="83"/>
      <c r="Z19" s="83"/>
      <c r="AA19" s="83"/>
      <c r="AB19" s="83"/>
      <c r="AC19" s="83"/>
      <c r="AD19" s="83"/>
      <c r="AE19" s="83"/>
      <c r="AF19" s="83"/>
    </row>
    <row r="20" spans="1:32" s="84" customFormat="1" ht="13.5" x14ac:dyDescent="0.3">
      <c r="A20" s="83"/>
      <c r="C20" s="77"/>
      <c r="N20" s="83"/>
      <c r="O20" s="83"/>
      <c r="P20" s="83"/>
      <c r="Q20" s="83"/>
      <c r="R20" s="83"/>
      <c r="S20" s="83"/>
      <c r="T20" s="83"/>
      <c r="U20" s="83"/>
      <c r="V20" s="83"/>
      <c r="W20" s="83"/>
      <c r="X20" s="83"/>
      <c r="Y20" s="83"/>
      <c r="Z20" s="83"/>
      <c r="AA20" s="83"/>
      <c r="AB20" s="83"/>
      <c r="AC20" s="83"/>
      <c r="AD20" s="83"/>
      <c r="AE20" s="83"/>
      <c r="AF20" s="83"/>
    </row>
    <row r="21" spans="1:32" s="84" customFormat="1" ht="13.5" x14ac:dyDescent="0.3">
      <c r="A21" s="83"/>
      <c r="C21" s="77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  <c r="AF21" s="83"/>
    </row>
    <row r="22" spans="1:32" s="84" customFormat="1" ht="13.5" x14ac:dyDescent="0.3">
      <c r="A22" s="83"/>
      <c r="N22" s="83"/>
      <c r="O22" s="83"/>
      <c r="P22" s="83"/>
      <c r="Q22" s="83"/>
      <c r="R22" s="83"/>
      <c r="S22" s="83"/>
      <c r="T22" s="83"/>
      <c r="U22" s="83"/>
      <c r="V22" s="83"/>
      <c r="W22" s="83"/>
      <c r="X22" s="83"/>
      <c r="Y22" s="83"/>
      <c r="Z22" s="83"/>
      <c r="AA22" s="83"/>
      <c r="AB22" s="83"/>
      <c r="AC22" s="83"/>
      <c r="AD22" s="83"/>
      <c r="AE22" s="83"/>
      <c r="AF22" s="83"/>
    </row>
    <row r="23" spans="1:32" s="84" customFormat="1" ht="13.5" x14ac:dyDescent="0.3">
      <c r="A23" s="83"/>
      <c r="C23" s="77"/>
      <c r="D23" s="93" t="s">
        <v>85</v>
      </c>
      <c r="E23" s="93"/>
      <c r="F23" s="93"/>
      <c r="G23" s="93"/>
      <c r="N23" s="83"/>
      <c r="O23" s="83"/>
      <c r="P23" s="83"/>
      <c r="Q23" s="83"/>
      <c r="R23" s="83"/>
      <c r="S23" s="83"/>
      <c r="T23" s="83"/>
      <c r="U23" s="83"/>
      <c r="V23" s="83"/>
      <c r="W23" s="83"/>
      <c r="X23" s="83"/>
      <c r="Y23" s="83"/>
      <c r="Z23" s="83"/>
      <c r="AA23" s="83"/>
      <c r="AB23" s="83"/>
      <c r="AC23" s="83"/>
      <c r="AD23" s="83"/>
      <c r="AE23" s="83"/>
      <c r="AF23" s="83"/>
    </row>
    <row r="24" spans="1:32" s="84" customFormat="1" ht="13.5" x14ac:dyDescent="0.3">
      <c r="A24" s="83"/>
      <c r="C24" s="77"/>
      <c r="N24" s="83"/>
      <c r="O24" s="83"/>
      <c r="P24" s="83"/>
      <c r="Q24" s="83"/>
      <c r="R24" s="83"/>
      <c r="S24" s="83"/>
      <c r="T24" s="83"/>
      <c r="U24" s="83"/>
      <c r="V24" s="83"/>
      <c r="W24" s="83"/>
      <c r="X24" s="83"/>
      <c r="Y24" s="83"/>
      <c r="Z24" s="83"/>
      <c r="AA24" s="83"/>
      <c r="AB24" s="83"/>
      <c r="AC24" s="83"/>
      <c r="AD24" s="83"/>
      <c r="AE24" s="83"/>
      <c r="AF24" s="83"/>
    </row>
    <row r="25" spans="1:32" s="84" customFormat="1" ht="13.5" x14ac:dyDescent="0.3">
      <c r="A25" s="83"/>
      <c r="C25" s="77"/>
      <c r="N25" s="83"/>
      <c r="O25" s="83"/>
      <c r="P25" s="83"/>
      <c r="Q25" s="83"/>
      <c r="R25" s="83"/>
      <c r="S25" s="83"/>
      <c r="T25" s="83"/>
      <c r="U25" s="83"/>
      <c r="V25" s="83"/>
      <c r="W25" s="83"/>
      <c r="X25" s="83"/>
      <c r="Y25" s="83"/>
      <c r="Z25" s="83"/>
      <c r="AA25" s="83"/>
      <c r="AB25" s="83"/>
      <c r="AC25" s="83"/>
      <c r="AD25" s="83"/>
      <c r="AE25" s="83"/>
      <c r="AF25" s="83"/>
    </row>
    <row r="26" spans="1:32" s="84" customFormat="1" ht="13.5" x14ac:dyDescent="0.3">
      <c r="A26" s="83"/>
      <c r="C26" s="77"/>
      <c r="L26" s="92"/>
      <c r="N26" s="83"/>
      <c r="O26" s="83"/>
      <c r="P26" s="83"/>
      <c r="Q26" s="83"/>
      <c r="R26" s="83"/>
      <c r="S26" s="83"/>
      <c r="T26" s="83"/>
      <c r="U26" s="83"/>
      <c r="V26" s="83"/>
      <c r="W26" s="83"/>
      <c r="X26" s="83"/>
      <c r="Y26" s="83"/>
      <c r="Z26" s="83"/>
      <c r="AA26" s="83"/>
      <c r="AB26" s="83"/>
      <c r="AC26" s="83"/>
      <c r="AD26" s="83"/>
      <c r="AE26" s="83"/>
      <c r="AF26" s="83"/>
    </row>
    <row r="27" spans="1:32" s="84" customFormat="1" ht="13.5" x14ac:dyDescent="0.3">
      <c r="A27" s="83"/>
      <c r="C27" s="77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</row>
    <row r="28" spans="1:32" s="84" customFormat="1" ht="13.5" x14ac:dyDescent="0.3">
      <c r="A28" s="83"/>
      <c r="L28" s="92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</row>
    <row r="29" spans="1:32" s="84" customFormat="1" ht="13.5" x14ac:dyDescent="0.3">
      <c r="A29" s="83"/>
      <c r="M29" s="92" t="s">
        <v>243</v>
      </c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  <c r="AE29" s="83"/>
      <c r="AF29" s="83"/>
    </row>
    <row r="30" spans="1:32" s="85" customFormat="1" x14ac:dyDescent="0.2"/>
    <row r="31" spans="1:32" s="85" customFormat="1" x14ac:dyDescent="0.2"/>
    <row r="32" spans="1:32" s="85" customFormat="1" x14ac:dyDescent="0.2"/>
    <row r="33" s="85" customFormat="1" x14ac:dyDescent="0.2"/>
    <row r="34" s="85" customFormat="1" x14ac:dyDescent="0.2"/>
    <row r="35" s="85" customFormat="1" x14ac:dyDescent="0.2"/>
    <row r="36" s="85" customFormat="1" x14ac:dyDescent="0.2"/>
    <row r="37" s="85" customFormat="1" x14ac:dyDescent="0.2"/>
    <row r="38" s="85" customFormat="1" x14ac:dyDescent="0.2"/>
    <row r="39" s="85" customFormat="1" x14ac:dyDescent="0.2"/>
    <row r="40" s="85" customFormat="1" x14ac:dyDescent="0.2"/>
    <row r="41" s="85" customFormat="1" x14ac:dyDescent="0.2"/>
    <row r="42" s="85" customFormat="1" x14ac:dyDescent="0.2"/>
    <row r="43" s="85" customFormat="1" x14ac:dyDescent="0.2"/>
    <row r="44" s="85" customFormat="1" x14ac:dyDescent="0.2"/>
    <row r="45" s="85" customFormat="1" x14ac:dyDescent="0.2"/>
    <row r="46" s="85" customFormat="1" x14ac:dyDescent="0.2"/>
    <row r="47" s="85" customFormat="1" x14ac:dyDescent="0.2"/>
    <row r="48" s="85" customFormat="1" x14ac:dyDescent="0.2"/>
    <row r="49" s="85" customFormat="1" x14ac:dyDescent="0.2"/>
    <row r="50" s="85" customFormat="1" x14ac:dyDescent="0.2"/>
    <row r="51" s="85" customFormat="1" x14ac:dyDescent="0.2"/>
    <row r="52" s="85" customFormat="1" x14ac:dyDescent="0.2"/>
    <row r="53" s="85" customFormat="1" x14ac:dyDescent="0.2"/>
    <row r="54" s="85" customFormat="1" x14ac:dyDescent="0.2"/>
    <row r="55" s="85" customFormat="1" x14ac:dyDescent="0.2"/>
    <row r="56" s="85" customFormat="1" x14ac:dyDescent="0.2"/>
    <row r="57" s="85" customFormat="1" x14ac:dyDescent="0.2"/>
    <row r="58" s="85" customFormat="1" x14ac:dyDescent="0.2"/>
    <row r="59" s="85" customFormat="1" x14ac:dyDescent="0.2"/>
    <row r="60" s="85" customFormat="1" x14ac:dyDescent="0.2"/>
    <row r="61" s="85" customFormat="1" x14ac:dyDescent="0.2"/>
    <row r="62" s="85" customFormat="1" x14ac:dyDescent="0.2"/>
    <row r="63" s="85" customFormat="1" x14ac:dyDescent="0.2"/>
    <row r="64" s="85" customFormat="1" x14ac:dyDescent="0.2"/>
    <row r="65" s="85" customFormat="1" x14ac:dyDescent="0.2"/>
    <row r="66" s="85" customFormat="1" x14ac:dyDescent="0.2"/>
    <row r="67" s="85" customFormat="1" x14ac:dyDescent="0.2"/>
    <row r="68" s="85" customFormat="1" x14ac:dyDescent="0.2"/>
    <row r="69" s="85" customFormat="1" x14ac:dyDescent="0.2"/>
    <row r="70" s="85" customFormat="1" x14ac:dyDescent="0.2"/>
    <row r="71" s="85" customFormat="1" x14ac:dyDescent="0.2"/>
    <row r="72" s="85" customFormat="1" x14ac:dyDescent="0.2"/>
    <row r="73" s="85" customFormat="1" x14ac:dyDescent="0.2"/>
    <row r="74" s="85" customFormat="1" x14ac:dyDescent="0.2"/>
    <row r="75" s="85" customFormat="1" x14ac:dyDescent="0.2"/>
    <row r="76" s="85" customFormat="1" x14ac:dyDescent="0.2"/>
    <row r="77" s="85" customFormat="1" x14ac:dyDescent="0.2"/>
    <row r="78" s="85" customFormat="1" x14ac:dyDescent="0.2"/>
    <row r="79" s="85" customFormat="1" x14ac:dyDescent="0.2"/>
    <row r="80" s="85" customFormat="1" x14ac:dyDescent="0.2"/>
    <row r="81" s="85" customFormat="1" x14ac:dyDescent="0.2"/>
    <row r="82" s="85" customFormat="1" x14ac:dyDescent="0.2"/>
    <row r="83" s="85" customFormat="1" x14ac:dyDescent="0.2"/>
    <row r="84" s="85" customFormat="1" x14ac:dyDescent="0.2"/>
    <row r="85" s="85" customFormat="1" x14ac:dyDescent="0.2"/>
    <row r="86" s="85" customFormat="1" x14ac:dyDescent="0.2"/>
    <row r="87" s="85" customFormat="1" x14ac:dyDescent="0.2"/>
    <row r="88" s="85" customFormat="1" x14ac:dyDescent="0.2"/>
    <row r="89" s="85" customFormat="1" x14ac:dyDescent="0.2"/>
    <row r="90" s="85" customFormat="1" x14ac:dyDescent="0.2"/>
    <row r="91" s="85" customFormat="1" x14ac:dyDescent="0.2"/>
    <row r="92" s="85" customFormat="1" x14ac:dyDescent="0.2"/>
    <row r="93" s="85" customFormat="1" x14ac:dyDescent="0.2"/>
    <row r="94" s="85" customFormat="1" x14ac:dyDescent="0.2"/>
    <row r="95" s="85" customFormat="1" x14ac:dyDescent="0.2"/>
    <row r="96" s="85" customFormat="1" x14ac:dyDescent="0.2"/>
    <row r="97" s="85" customFormat="1" x14ac:dyDescent="0.2"/>
    <row r="98" s="85" customFormat="1" x14ac:dyDescent="0.2"/>
    <row r="99" s="85" customFormat="1" x14ac:dyDescent="0.2"/>
    <row r="100" s="85" customFormat="1" x14ac:dyDescent="0.2"/>
    <row r="101" s="85" customFormat="1" x14ac:dyDescent="0.2"/>
    <row r="102" s="85" customFormat="1" x14ac:dyDescent="0.2"/>
    <row r="103" s="85" customFormat="1" x14ac:dyDescent="0.2"/>
    <row r="104" s="85" customFormat="1" x14ac:dyDescent="0.2"/>
    <row r="105" s="85" customFormat="1" x14ac:dyDescent="0.2"/>
    <row r="106" s="85" customFormat="1" x14ac:dyDescent="0.2"/>
    <row r="107" s="85" customFormat="1" x14ac:dyDescent="0.2"/>
    <row r="108" s="85" customFormat="1" x14ac:dyDescent="0.2"/>
    <row r="109" s="85" customFormat="1" x14ac:dyDescent="0.2"/>
    <row r="110" s="85" customFormat="1" x14ac:dyDescent="0.2"/>
    <row r="111" s="85" customFormat="1" x14ac:dyDescent="0.2"/>
    <row r="112" s="85" customFormat="1" x14ac:dyDescent="0.2"/>
    <row r="113" s="85" customFormat="1" x14ac:dyDescent="0.2"/>
    <row r="114" s="85" customFormat="1" x14ac:dyDescent="0.2"/>
    <row r="115" s="85" customFormat="1" x14ac:dyDescent="0.2"/>
    <row r="116" s="85" customFormat="1" x14ac:dyDescent="0.2"/>
    <row r="117" s="85" customFormat="1" x14ac:dyDescent="0.2"/>
    <row r="118" s="85" customFormat="1" x14ac:dyDescent="0.2"/>
    <row r="119" s="85" customFormat="1" x14ac:dyDescent="0.2"/>
    <row r="120" s="85" customFormat="1" x14ac:dyDescent="0.2"/>
    <row r="121" s="85" customFormat="1" x14ac:dyDescent="0.2"/>
    <row r="122" s="85" customFormat="1" x14ac:dyDescent="0.2"/>
    <row r="123" s="85" customFormat="1" x14ac:dyDescent="0.2"/>
    <row r="124" s="85" customFormat="1" x14ac:dyDescent="0.2"/>
    <row r="125" s="85" customFormat="1" x14ac:dyDescent="0.2"/>
    <row r="126" s="85" customFormat="1" x14ac:dyDescent="0.2"/>
    <row r="127" s="85" customFormat="1" x14ac:dyDescent="0.2"/>
    <row r="128" s="85" customFormat="1" x14ac:dyDescent="0.2"/>
    <row r="129" s="85" customFormat="1" x14ac:dyDescent="0.2"/>
    <row r="130" s="85" customFormat="1" x14ac:dyDescent="0.2"/>
    <row r="131" s="85" customFormat="1" x14ac:dyDescent="0.2"/>
    <row r="132" s="85" customFormat="1" x14ac:dyDescent="0.2"/>
    <row r="133" s="85" customFormat="1" x14ac:dyDescent="0.2"/>
    <row r="134" s="85" customFormat="1" x14ac:dyDescent="0.2"/>
    <row r="135" s="85" customFormat="1" x14ac:dyDescent="0.2"/>
    <row r="136" s="85" customFormat="1" x14ac:dyDescent="0.2"/>
    <row r="137" s="85" customFormat="1" x14ac:dyDescent="0.2"/>
    <row r="138" s="85" customFormat="1" x14ac:dyDescent="0.2"/>
    <row r="139" s="85" customFormat="1" x14ac:dyDescent="0.2"/>
    <row r="140" s="85" customFormat="1" x14ac:dyDescent="0.2"/>
    <row r="141" s="85" customFormat="1" x14ac:dyDescent="0.2"/>
    <row r="142" s="85" customFormat="1" x14ac:dyDescent="0.2"/>
    <row r="143" s="85" customFormat="1" x14ac:dyDescent="0.2"/>
    <row r="144" s="85" customFormat="1" x14ac:dyDescent="0.2"/>
    <row r="145" s="85" customFormat="1" x14ac:dyDescent="0.2"/>
    <row r="146" s="85" customFormat="1" x14ac:dyDescent="0.2"/>
    <row r="147" s="85" customFormat="1" x14ac:dyDescent="0.2"/>
    <row r="148" s="85" customFormat="1" x14ac:dyDescent="0.2"/>
    <row r="149" s="85" customFormat="1" x14ac:dyDescent="0.2"/>
    <row r="150" s="85" customFormat="1" x14ac:dyDescent="0.2"/>
    <row r="151" s="85" customFormat="1" x14ac:dyDescent="0.2"/>
    <row r="152" s="85" customFormat="1" x14ac:dyDescent="0.2"/>
    <row r="153" s="85" customFormat="1" x14ac:dyDescent="0.2"/>
    <row r="154" s="85" customFormat="1" x14ac:dyDescent="0.2"/>
    <row r="155" s="85" customFormat="1" x14ac:dyDescent="0.2"/>
    <row r="156" s="85" customFormat="1" x14ac:dyDescent="0.2"/>
    <row r="157" s="85" customFormat="1" x14ac:dyDescent="0.2"/>
    <row r="158" s="85" customFormat="1" x14ac:dyDescent="0.2"/>
    <row r="159" s="85" customFormat="1" x14ac:dyDescent="0.2"/>
    <row r="160" s="85" customFormat="1" x14ac:dyDescent="0.2"/>
    <row r="161" s="85" customFormat="1" x14ac:dyDescent="0.2"/>
    <row r="162" s="85" customFormat="1" x14ac:dyDescent="0.2"/>
    <row r="163" s="85" customFormat="1" x14ac:dyDescent="0.2"/>
    <row r="164" s="85" customFormat="1" x14ac:dyDescent="0.2"/>
    <row r="165" s="85" customFormat="1" x14ac:dyDescent="0.2"/>
    <row r="166" s="85" customFormat="1" x14ac:dyDescent="0.2"/>
    <row r="167" s="85" customFormat="1" x14ac:dyDescent="0.2"/>
    <row r="168" s="85" customFormat="1" x14ac:dyDescent="0.2"/>
    <row r="169" s="85" customFormat="1" x14ac:dyDescent="0.2"/>
    <row r="170" s="85" customFormat="1" x14ac:dyDescent="0.2"/>
    <row r="171" s="85" customFormat="1" x14ac:dyDescent="0.2"/>
    <row r="172" s="85" customFormat="1" x14ac:dyDescent="0.2"/>
    <row r="173" s="85" customFormat="1" x14ac:dyDescent="0.2"/>
    <row r="174" s="85" customFormat="1" x14ac:dyDescent="0.2"/>
    <row r="175" s="85" customFormat="1" x14ac:dyDescent="0.2"/>
    <row r="176" s="85" customFormat="1" x14ac:dyDescent="0.2"/>
    <row r="177" s="85" customFormat="1" x14ac:dyDescent="0.2"/>
    <row r="178" s="85" customFormat="1" x14ac:dyDescent="0.2"/>
    <row r="179" s="85" customFormat="1" x14ac:dyDescent="0.2"/>
    <row r="180" s="85" customFormat="1" x14ac:dyDescent="0.2"/>
    <row r="181" s="85" customFormat="1" x14ac:dyDescent="0.2"/>
    <row r="182" s="85" customFormat="1" x14ac:dyDescent="0.2"/>
    <row r="183" s="85" customFormat="1" x14ac:dyDescent="0.2"/>
    <row r="184" s="85" customFormat="1" x14ac:dyDescent="0.2"/>
    <row r="185" s="85" customFormat="1" x14ac:dyDescent="0.2"/>
    <row r="186" s="85" customFormat="1" x14ac:dyDescent="0.2"/>
    <row r="187" s="85" customFormat="1" x14ac:dyDescent="0.2"/>
    <row r="188" s="85" customFormat="1" x14ac:dyDescent="0.2"/>
    <row r="189" s="85" customFormat="1" x14ac:dyDescent="0.2"/>
    <row r="190" s="85" customFormat="1" x14ac:dyDescent="0.2"/>
    <row r="191" s="85" customFormat="1" x14ac:dyDescent="0.2"/>
    <row r="192" s="85" customFormat="1" x14ac:dyDescent="0.2"/>
    <row r="193" s="85" customFormat="1" x14ac:dyDescent="0.2"/>
    <row r="194" s="85" customFormat="1" x14ac:dyDescent="0.2"/>
    <row r="195" s="85" customFormat="1" x14ac:dyDescent="0.2"/>
    <row r="196" s="85" customFormat="1" x14ac:dyDescent="0.2"/>
    <row r="197" s="85" customFormat="1" x14ac:dyDescent="0.2"/>
    <row r="198" s="85" customFormat="1" x14ac:dyDescent="0.2"/>
    <row r="199" s="85" customFormat="1" x14ac:dyDescent="0.2"/>
    <row r="200" s="85" customFormat="1" x14ac:dyDescent="0.2"/>
    <row r="201" s="85" customFormat="1" x14ac:dyDescent="0.2"/>
    <row r="202" s="85" customFormat="1" x14ac:dyDescent="0.2"/>
    <row r="203" s="85" customFormat="1" x14ac:dyDescent="0.2"/>
    <row r="204" s="85" customFormat="1" x14ac:dyDescent="0.2"/>
    <row r="205" s="85" customFormat="1" x14ac:dyDescent="0.2"/>
    <row r="206" s="85" customFormat="1" x14ac:dyDescent="0.2"/>
    <row r="207" s="85" customFormat="1" x14ac:dyDescent="0.2"/>
    <row r="208" s="85" customFormat="1" x14ac:dyDescent="0.2"/>
    <row r="209" s="85" customFormat="1" x14ac:dyDescent="0.2"/>
    <row r="210" s="85" customFormat="1" x14ac:dyDescent="0.2"/>
    <row r="211" s="85" customFormat="1" x14ac:dyDescent="0.2"/>
    <row r="212" s="85" customFormat="1" x14ac:dyDescent="0.2"/>
    <row r="213" s="85" customFormat="1" x14ac:dyDescent="0.2"/>
    <row r="214" s="85" customFormat="1" x14ac:dyDescent="0.2"/>
    <row r="215" s="85" customFormat="1" x14ac:dyDescent="0.2"/>
    <row r="216" s="85" customFormat="1" x14ac:dyDescent="0.2"/>
    <row r="217" s="85" customFormat="1" x14ac:dyDescent="0.2"/>
    <row r="218" s="85" customFormat="1" x14ac:dyDescent="0.2"/>
    <row r="219" s="85" customFormat="1" x14ac:dyDescent="0.2"/>
    <row r="220" s="85" customFormat="1" x14ac:dyDescent="0.2"/>
    <row r="221" s="85" customFormat="1" x14ac:dyDescent="0.2"/>
    <row r="222" s="85" customFormat="1" x14ac:dyDescent="0.2"/>
    <row r="223" s="85" customFormat="1" x14ac:dyDescent="0.2"/>
    <row r="224" s="85" customFormat="1" x14ac:dyDescent="0.2"/>
    <row r="225" s="85" customFormat="1" x14ac:dyDescent="0.2"/>
    <row r="226" s="85" customFormat="1" x14ac:dyDescent="0.2"/>
    <row r="227" s="85" customFormat="1" x14ac:dyDescent="0.2"/>
    <row r="228" s="85" customFormat="1" x14ac:dyDescent="0.2"/>
    <row r="229" s="85" customFormat="1" x14ac:dyDescent="0.2"/>
    <row r="230" s="85" customFormat="1" x14ac:dyDescent="0.2"/>
    <row r="231" s="85" customFormat="1" x14ac:dyDescent="0.2"/>
    <row r="232" s="85" customFormat="1" x14ac:dyDescent="0.2"/>
    <row r="233" s="85" customFormat="1" x14ac:dyDescent="0.2"/>
    <row r="234" s="85" customFormat="1" x14ac:dyDescent="0.2"/>
    <row r="235" s="85" customFormat="1" x14ac:dyDescent="0.2"/>
    <row r="236" s="85" customFormat="1" x14ac:dyDescent="0.2"/>
    <row r="237" s="85" customFormat="1" x14ac:dyDescent="0.2"/>
    <row r="238" s="85" customFormat="1" x14ac:dyDescent="0.2"/>
    <row r="239" s="85" customFormat="1" x14ac:dyDescent="0.2"/>
    <row r="240" s="85" customFormat="1" x14ac:dyDescent="0.2"/>
    <row r="241" s="85" customFormat="1" x14ac:dyDescent="0.2"/>
    <row r="242" s="85" customFormat="1" x14ac:dyDescent="0.2"/>
    <row r="243" s="85" customFormat="1" x14ac:dyDescent="0.2"/>
    <row r="244" s="85" customFormat="1" x14ac:dyDescent="0.2"/>
    <row r="245" s="85" customFormat="1" x14ac:dyDescent="0.2"/>
    <row r="246" s="85" customFormat="1" x14ac:dyDescent="0.2"/>
    <row r="247" s="85" customFormat="1" x14ac:dyDescent="0.2"/>
    <row r="248" s="85" customFormat="1" x14ac:dyDescent="0.2"/>
    <row r="249" s="85" customFormat="1" x14ac:dyDescent="0.2"/>
    <row r="250" s="85" customFormat="1" x14ac:dyDescent="0.2"/>
    <row r="251" s="85" customFormat="1" x14ac:dyDescent="0.2"/>
    <row r="252" s="85" customFormat="1" x14ac:dyDescent="0.2"/>
    <row r="253" s="85" customFormat="1" x14ac:dyDescent="0.2"/>
    <row r="254" s="85" customFormat="1" x14ac:dyDescent="0.2"/>
    <row r="255" s="85" customFormat="1" x14ac:dyDescent="0.2"/>
    <row r="256" s="85" customFormat="1" x14ac:dyDescent="0.2"/>
    <row r="257" s="85" customFormat="1" x14ac:dyDescent="0.2"/>
    <row r="258" s="85" customFormat="1" x14ac:dyDescent="0.2"/>
    <row r="259" s="85" customFormat="1" x14ac:dyDescent="0.2"/>
    <row r="260" s="85" customFormat="1" x14ac:dyDescent="0.2"/>
    <row r="261" s="85" customFormat="1" x14ac:dyDescent="0.2"/>
    <row r="262" s="85" customFormat="1" x14ac:dyDescent="0.2"/>
    <row r="263" s="85" customFormat="1" x14ac:dyDescent="0.2"/>
    <row r="264" s="85" customFormat="1" x14ac:dyDescent="0.2"/>
    <row r="265" s="85" customFormat="1" x14ac:dyDescent="0.2"/>
    <row r="266" s="85" customFormat="1" x14ac:dyDescent="0.2"/>
    <row r="267" s="85" customFormat="1" x14ac:dyDescent="0.2"/>
    <row r="268" s="85" customFormat="1" x14ac:dyDescent="0.2"/>
    <row r="269" s="85" customFormat="1" x14ac:dyDescent="0.2"/>
    <row r="270" s="85" customFormat="1" x14ac:dyDescent="0.2"/>
    <row r="271" s="85" customFormat="1" x14ac:dyDescent="0.2"/>
    <row r="272" s="85" customFormat="1" x14ac:dyDescent="0.2"/>
    <row r="273" s="85" customFormat="1" x14ac:dyDescent="0.2"/>
    <row r="274" s="85" customFormat="1" x14ac:dyDescent="0.2"/>
    <row r="275" s="85" customFormat="1" x14ac:dyDescent="0.2"/>
    <row r="276" s="85" customFormat="1" x14ac:dyDescent="0.2"/>
    <row r="277" s="85" customFormat="1" x14ac:dyDescent="0.2"/>
    <row r="278" s="85" customFormat="1" x14ac:dyDescent="0.2"/>
    <row r="279" s="85" customFormat="1" x14ac:dyDescent="0.2"/>
    <row r="280" s="85" customFormat="1" x14ac:dyDescent="0.2"/>
    <row r="281" s="85" customFormat="1" x14ac:dyDescent="0.2"/>
    <row r="282" s="85" customFormat="1" x14ac:dyDescent="0.2"/>
    <row r="283" s="85" customFormat="1" x14ac:dyDescent="0.2"/>
    <row r="284" s="85" customFormat="1" x14ac:dyDescent="0.2"/>
    <row r="285" s="85" customFormat="1" x14ac:dyDescent="0.2"/>
    <row r="286" s="85" customFormat="1" x14ac:dyDescent="0.2"/>
    <row r="287" s="85" customFormat="1" x14ac:dyDescent="0.2"/>
    <row r="288" s="85" customFormat="1" x14ac:dyDescent="0.2"/>
    <row r="289" s="85" customFormat="1" x14ac:dyDescent="0.2"/>
    <row r="290" s="85" customFormat="1" x14ac:dyDescent="0.2"/>
    <row r="291" s="85" customFormat="1" x14ac:dyDescent="0.2"/>
    <row r="292" s="85" customFormat="1" x14ac:dyDescent="0.2"/>
    <row r="293" s="85" customFormat="1" x14ac:dyDescent="0.2"/>
    <row r="294" s="85" customFormat="1" x14ac:dyDescent="0.2"/>
    <row r="295" s="85" customFormat="1" x14ac:dyDescent="0.2"/>
    <row r="296" s="85" customFormat="1" x14ac:dyDescent="0.2"/>
    <row r="297" s="85" customFormat="1" x14ac:dyDescent="0.2"/>
    <row r="298" s="85" customFormat="1" x14ac:dyDescent="0.2"/>
    <row r="299" s="85" customFormat="1" x14ac:dyDescent="0.2"/>
    <row r="300" s="85" customFormat="1" x14ac:dyDescent="0.2"/>
    <row r="301" s="85" customFormat="1" x14ac:dyDescent="0.2"/>
    <row r="302" s="85" customFormat="1" x14ac:dyDescent="0.2"/>
    <row r="303" s="85" customFormat="1" x14ac:dyDescent="0.2"/>
    <row r="304" s="85" customFormat="1" x14ac:dyDescent="0.2"/>
    <row r="305" s="85" customFormat="1" x14ac:dyDescent="0.2"/>
    <row r="306" s="85" customFormat="1" x14ac:dyDescent="0.2"/>
    <row r="307" s="85" customFormat="1" x14ac:dyDescent="0.2"/>
    <row r="308" s="85" customFormat="1" x14ac:dyDescent="0.2"/>
    <row r="309" s="85" customFormat="1" x14ac:dyDescent="0.2"/>
    <row r="310" s="85" customFormat="1" x14ac:dyDescent="0.2"/>
    <row r="311" s="85" customFormat="1" x14ac:dyDescent="0.2"/>
    <row r="312" s="85" customFormat="1" x14ac:dyDescent="0.2"/>
    <row r="313" s="85" customFormat="1" x14ac:dyDescent="0.2"/>
    <row r="314" s="85" customFormat="1" x14ac:dyDescent="0.2"/>
    <row r="315" s="85" customFormat="1" x14ac:dyDescent="0.2"/>
    <row r="316" s="85" customFormat="1" x14ac:dyDescent="0.2"/>
    <row r="317" s="85" customFormat="1" x14ac:dyDescent="0.2"/>
    <row r="318" s="85" customFormat="1" x14ac:dyDescent="0.2"/>
    <row r="319" s="85" customFormat="1" x14ac:dyDescent="0.2"/>
    <row r="320" s="85" customFormat="1" x14ac:dyDescent="0.2"/>
    <row r="321" s="85" customFormat="1" x14ac:dyDescent="0.2"/>
    <row r="322" s="85" customFormat="1" x14ac:dyDescent="0.2"/>
    <row r="323" s="85" customFormat="1" x14ac:dyDescent="0.2"/>
    <row r="324" s="85" customFormat="1" x14ac:dyDescent="0.2"/>
    <row r="325" s="85" customFormat="1" x14ac:dyDescent="0.2"/>
    <row r="326" s="85" customFormat="1" x14ac:dyDescent="0.2"/>
    <row r="327" s="85" customFormat="1" x14ac:dyDescent="0.2"/>
    <row r="328" s="85" customFormat="1" x14ac:dyDescent="0.2"/>
    <row r="329" s="85" customFormat="1" x14ac:dyDescent="0.2"/>
    <row r="330" s="85" customFormat="1" x14ac:dyDescent="0.2"/>
    <row r="331" s="85" customFormat="1" x14ac:dyDescent="0.2"/>
    <row r="332" s="85" customFormat="1" x14ac:dyDescent="0.2"/>
    <row r="333" s="85" customFormat="1" x14ac:dyDescent="0.2"/>
    <row r="334" s="85" customFormat="1" x14ac:dyDescent="0.2"/>
    <row r="335" s="85" customFormat="1" x14ac:dyDescent="0.2"/>
    <row r="336" s="85" customFormat="1" x14ac:dyDescent="0.2"/>
    <row r="337" s="85" customFormat="1" x14ac:dyDescent="0.2"/>
    <row r="338" s="85" customFormat="1" x14ac:dyDescent="0.2"/>
    <row r="339" s="85" customFormat="1" x14ac:dyDescent="0.2"/>
    <row r="340" s="85" customFormat="1" x14ac:dyDescent="0.2"/>
    <row r="341" s="85" customFormat="1" x14ac:dyDescent="0.2"/>
    <row r="342" s="85" customFormat="1" x14ac:dyDescent="0.2"/>
    <row r="343" s="85" customFormat="1" x14ac:dyDescent="0.2"/>
    <row r="344" s="85" customFormat="1" x14ac:dyDescent="0.2"/>
    <row r="345" s="85" customFormat="1" x14ac:dyDescent="0.2"/>
    <row r="346" s="85" customFormat="1" x14ac:dyDescent="0.2"/>
    <row r="347" s="85" customFormat="1" x14ac:dyDescent="0.2"/>
    <row r="348" s="85" customFormat="1" x14ac:dyDescent="0.2"/>
    <row r="349" s="85" customFormat="1" x14ac:dyDescent="0.2"/>
    <row r="350" s="85" customFormat="1" x14ac:dyDescent="0.2"/>
    <row r="351" s="85" customFormat="1" x14ac:dyDescent="0.2"/>
    <row r="352" s="85" customFormat="1" x14ac:dyDescent="0.2"/>
    <row r="353" s="85" customFormat="1" x14ac:dyDescent="0.2"/>
    <row r="354" s="85" customFormat="1" x14ac:dyDescent="0.2"/>
    <row r="355" s="85" customFormat="1" x14ac:dyDescent="0.2"/>
    <row r="356" s="85" customFormat="1" x14ac:dyDescent="0.2"/>
    <row r="357" s="85" customFormat="1" x14ac:dyDescent="0.2"/>
    <row r="358" s="85" customFormat="1" x14ac:dyDescent="0.2"/>
    <row r="359" s="85" customFormat="1" x14ac:dyDescent="0.2"/>
    <row r="360" s="85" customFormat="1" x14ac:dyDescent="0.2"/>
    <row r="361" s="85" customFormat="1" x14ac:dyDescent="0.2"/>
    <row r="362" s="85" customFormat="1" x14ac:dyDescent="0.2"/>
    <row r="363" s="85" customFormat="1" x14ac:dyDescent="0.2"/>
    <row r="364" s="85" customFormat="1" x14ac:dyDescent="0.2"/>
    <row r="365" s="85" customFormat="1" x14ac:dyDescent="0.2"/>
    <row r="366" s="85" customFormat="1" x14ac:dyDescent="0.2"/>
    <row r="367" s="85" customFormat="1" x14ac:dyDescent="0.2"/>
    <row r="368" s="85" customFormat="1" x14ac:dyDescent="0.2"/>
    <row r="369" s="85" customFormat="1" x14ac:dyDescent="0.2"/>
    <row r="370" s="85" customFormat="1" x14ac:dyDescent="0.2"/>
    <row r="371" s="85" customFormat="1" x14ac:dyDescent="0.2"/>
    <row r="372" s="85" customFormat="1" x14ac:dyDescent="0.2"/>
    <row r="373" s="85" customFormat="1" x14ac:dyDescent="0.2"/>
    <row r="374" s="85" customFormat="1" x14ac:dyDescent="0.2"/>
    <row r="375" s="85" customFormat="1" x14ac:dyDescent="0.2"/>
    <row r="376" s="85" customFormat="1" x14ac:dyDescent="0.2"/>
    <row r="377" s="85" customFormat="1" x14ac:dyDescent="0.2"/>
    <row r="378" s="85" customFormat="1" x14ac:dyDescent="0.2"/>
    <row r="379" s="85" customFormat="1" x14ac:dyDescent="0.2"/>
    <row r="380" s="85" customFormat="1" x14ac:dyDescent="0.2"/>
    <row r="381" s="85" customFormat="1" x14ac:dyDescent="0.2"/>
    <row r="382" s="85" customFormat="1" x14ac:dyDescent="0.2"/>
    <row r="383" s="85" customFormat="1" x14ac:dyDescent="0.2"/>
    <row r="384" s="85" customFormat="1" x14ac:dyDescent="0.2"/>
    <row r="385" s="85" customFormat="1" x14ac:dyDescent="0.2"/>
    <row r="386" s="85" customFormat="1" x14ac:dyDescent="0.2"/>
    <row r="387" s="85" customFormat="1" x14ac:dyDescent="0.2"/>
    <row r="388" s="85" customFormat="1" x14ac:dyDescent="0.2"/>
    <row r="389" s="85" customFormat="1" x14ac:dyDescent="0.2"/>
    <row r="390" s="85" customFormat="1" x14ac:dyDescent="0.2"/>
    <row r="391" s="85" customFormat="1" x14ac:dyDescent="0.2"/>
    <row r="392" s="85" customFormat="1" x14ac:dyDescent="0.2"/>
    <row r="393" s="85" customFormat="1" x14ac:dyDescent="0.2"/>
    <row r="394" s="85" customFormat="1" x14ac:dyDescent="0.2"/>
    <row r="395" s="85" customFormat="1" x14ac:dyDescent="0.2"/>
    <row r="396" s="85" customFormat="1" x14ac:dyDescent="0.2"/>
    <row r="397" s="85" customFormat="1" x14ac:dyDescent="0.2"/>
    <row r="398" s="85" customFormat="1" x14ac:dyDescent="0.2"/>
    <row r="399" s="85" customFormat="1" x14ac:dyDescent="0.2"/>
    <row r="400" s="85" customFormat="1" x14ac:dyDescent="0.2"/>
    <row r="401" s="85" customFormat="1" x14ac:dyDescent="0.2"/>
    <row r="402" s="85" customFormat="1" x14ac:dyDescent="0.2"/>
    <row r="403" s="85" customFormat="1" x14ac:dyDescent="0.2"/>
    <row r="404" s="85" customFormat="1" x14ac:dyDescent="0.2"/>
    <row r="405" s="85" customFormat="1" x14ac:dyDescent="0.2"/>
    <row r="406" s="85" customFormat="1" x14ac:dyDescent="0.2"/>
    <row r="407" s="85" customFormat="1" x14ac:dyDescent="0.2"/>
    <row r="408" s="85" customFormat="1" x14ac:dyDescent="0.2"/>
    <row r="409" s="85" customFormat="1" x14ac:dyDescent="0.2"/>
    <row r="410" s="85" customFormat="1" x14ac:dyDescent="0.2"/>
    <row r="411" s="85" customFormat="1" x14ac:dyDescent="0.2"/>
    <row r="412" s="85" customFormat="1" x14ac:dyDescent="0.2"/>
    <row r="413" s="85" customFormat="1" x14ac:dyDescent="0.2"/>
    <row r="414" s="85" customFormat="1" x14ac:dyDescent="0.2"/>
    <row r="415" s="85" customFormat="1" x14ac:dyDescent="0.2"/>
    <row r="416" s="85" customFormat="1" x14ac:dyDescent="0.2"/>
    <row r="417" s="85" customFormat="1" x14ac:dyDescent="0.2"/>
    <row r="418" s="85" customFormat="1" x14ac:dyDescent="0.2"/>
    <row r="419" s="85" customFormat="1" x14ac:dyDescent="0.2"/>
    <row r="420" s="85" customFormat="1" x14ac:dyDescent="0.2"/>
    <row r="421" s="85" customFormat="1" x14ac:dyDescent="0.2"/>
    <row r="422" s="85" customFormat="1" x14ac:dyDescent="0.2"/>
    <row r="423" s="85" customFormat="1" x14ac:dyDescent="0.2"/>
    <row r="424" s="85" customFormat="1" x14ac:dyDescent="0.2"/>
    <row r="425" s="85" customFormat="1" x14ac:dyDescent="0.2"/>
    <row r="426" s="85" customFormat="1" x14ac:dyDescent="0.2"/>
    <row r="427" s="85" customFormat="1" x14ac:dyDescent="0.2"/>
    <row r="428" s="85" customFormat="1" x14ac:dyDescent="0.2"/>
    <row r="429" s="85" customFormat="1" x14ac:dyDescent="0.2"/>
    <row r="430" s="85" customFormat="1" x14ac:dyDescent="0.2"/>
    <row r="431" s="85" customFormat="1" x14ac:dyDescent="0.2"/>
    <row r="432" s="85" customFormat="1" x14ac:dyDescent="0.2"/>
    <row r="433" s="85" customFormat="1" x14ac:dyDescent="0.2"/>
    <row r="434" s="85" customFormat="1" x14ac:dyDescent="0.2"/>
    <row r="435" s="85" customFormat="1" x14ac:dyDescent="0.2"/>
    <row r="436" s="85" customFormat="1" x14ac:dyDescent="0.2"/>
    <row r="437" s="85" customFormat="1" x14ac:dyDescent="0.2"/>
    <row r="438" s="85" customFormat="1" x14ac:dyDescent="0.2"/>
    <row r="439" s="85" customFormat="1" x14ac:dyDescent="0.2"/>
    <row r="440" s="85" customFormat="1" x14ac:dyDescent="0.2"/>
    <row r="441" s="85" customFormat="1" x14ac:dyDescent="0.2"/>
    <row r="442" s="85" customFormat="1" x14ac:dyDescent="0.2"/>
    <row r="443" s="85" customFormat="1" x14ac:dyDescent="0.2"/>
    <row r="444" s="85" customFormat="1" x14ac:dyDescent="0.2"/>
    <row r="445" s="85" customFormat="1" x14ac:dyDescent="0.2"/>
    <row r="446" s="85" customFormat="1" x14ac:dyDescent="0.2"/>
    <row r="447" s="85" customFormat="1" x14ac:dyDescent="0.2"/>
  </sheetData>
  <sheetProtection password="D96D" sheet="1" objects="1" scenarios="1" selectLockedCells="1"/>
  <mergeCells count="4">
    <mergeCell ref="D5:G5"/>
    <mergeCell ref="D11:G11"/>
    <mergeCell ref="D17:G17"/>
    <mergeCell ref="D23:G23"/>
  </mergeCells>
  <pageMargins left="0.70866141732283472" right="0.70866141732283472" top="0.74803149606299213" bottom="0.74803149606299213" header="0.31496062992125984" footer="0.31496062992125984"/>
  <pageSetup paperSize="9" scale="94" orientation="landscape" verticalDpi="0" r:id="rId1"/>
  <drawing r:id="rId2"/>
  <legacyDrawing r:id="rId3"/>
  <picture r:id="rId4"/>
  <controls>
    <mc:AlternateContent xmlns:mc="http://schemas.openxmlformats.org/markup-compatibility/2006">
      <mc:Choice Requires="x14">
        <control shapeId="5608" r:id="rId5" name="CommandButton9">
          <controlPr locked="0" defaultSize="0" autoFill="0" autoLine="0" autoPict="0" r:id="rId6">
            <anchor>
              <from>
                <xdr:col>7</xdr:col>
                <xdr:colOff>571500</xdr:colOff>
                <xdr:row>23</xdr:row>
                <xdr:rowOff>57150</xdr:rowOff>
              </from>
              <to>
                <xdr:col>9</xdr:col>
                <xdr:colOff>371475</xdr:colOff>
                <xdr:row>26</xdr:row>
                <xdr:rowOff>76200</xdr:rowOff>
              </to>
            </anchor>
          </controlPr>
        </control>
      </mc:Choice>
      <mc:Fallback>
        <control shapeId="5608" r:id="rId5" name="CommandButton9"/>
      </mc:Fallback>
    </mc:AlternateContent>
    <mc:AlternateContent xmlns:mc="http://schemas.openxmlformats.org/markup-compatibility/2006">
      <mc:Choice Requires="x14">
        <control shapeId="5375" r:id="rId7" name="CommandButton8">
          <controlPr locked="0" defaultSize="0" autoFill="0" autoLine="0" autoPict="0" r:id="rId8">
            <anchor>
              <from>
                <xdr:col>3</xdr:col>
                <xdr:colOff>28575</xdr:colOff>
                <xdr:row>25</xdr:row>
                <xdr:rowOff>9525</xdr:rowOff>
              </from>
              <to>
                <xdr:col>7</xdr:col>
                <xdr:colOff>9525</xdr:colOff>
                <xdr:row>26</xdr:row>
                <xdr:rowOff>123825</xdr:rowOff>
              </to>
            </anchor>
          </controlPr>
        </control>
      </mc:Choice>
      <mc:Fallback>
        <control shapeId="5375" r:id="rId7" name="CommandButton8"/>
      </mc:Fallback>
    </mc:AlternateContent>
    <mc:AlternateContent xmlns:mc="http://schemas.openxmlformats.org/markup-compatibility/2006">
      <mc:Choice Requires="x14">
        <control shapeId="5370" r:id="rId9" name="CommandButton7">
          <controlPr locked="0" defaultSize="0" autoFill="0" autoLine="0" autoPict="0" r:id="rId10">
            <anchor>
              <from>
                <xdr:col>3</xdr:col>
                <xdr:colOff>28575</xdr:colOff>
                <xdr:row>23</xdr:row>
                <xdr:rowOff>9525</xdr:rowOff>
              </from>
              <to>
                <xdr:col>7</xdr:col>
                <xdr:colOff>9525</xdr:colOff>
                <xdr:row>24</xdr:row>
                <xdr:rowOff>123825</xdr:rowOff>
              </to>
            </anchor>
          </controlPr>
        </control>
      </mc:Choice>
      <mc:Fallback>
        <control shapeId="5370" r:id="rId9" name="CommandButton7"/>
      </mc:Fallback>
    </mc:AlternateContent>
    <mc:AlternateContent xmlns:mc="http://schemas.openxmlformats.org/markup-compatibility/2006">
      <mc:Choice Requires="x14">
        <control shapeId="5153" r:id="rId11" name="CommandButton6">
          <controlPr locked="0" defaultSize="0" autoFill="0" autoLine="0" autoPict="0" r:id="rId12">
            <anchor>
              <from>
                <xdr:col>3</xdr:col>
                <xdr:colOff>38100</xdr:colOff>
                <xdr:row>19</xdr:row>
                <xdr:rowOff>9525</xdr:rowOff>
              </from>
              <to>
                <xdr:col>7</xdr:col>
                <xdr:colOff>19050</xdr:colOff>
                <xdr:row>20</xdr:row>
                <xdr:rowOff>123825</xdr:rowOff>
              </to>
            </anchor>
          </controlPr>
        </control>
      </mc:Choice>
      <mc:Fallback>
        <control shapeId="5153" r:id="rId11" name="CommandButton6"/>
      </mc:Fallback>
    </mc:AlternateContent>
    <mc:AlternateContent xmlns:mc="http://schemas.openxmlformats.org/markup-compatibility/2006">
      <mc:Choice Requires="x14">
        <control shapeId="5152" r:id="rId13" name="CommandButton5">
          <controlPr locked="0" defaultSize="0" autoFill="0" autoLine="0" autoPict="0" r:id="rId14">
            <anchor>
              <from>
                <xdr:col>3</xdr:col>
                <xdr:colOff>38100</xdr:colOff>
                <xdr:row>17</xdr:row>
                <xdr:rowOff>9525</xdr:rowOff>
              </from>
              <to>
                <xdr:col>7</xdr:col>
                <xdr:colOff>19050</xdr:colOff>
                <xdr:row>18</xdr:row>
                <xdr:rowOff>123825</xdr:rowOff>
              </to>
            </anchor>
          </controlPr>
        </control>
      </mc:Choice>
      <mc:Fallback>
        <control shapeId="5152" r:id="rId13" name="CommandButton5"/>
      </mc:Fallback>
    </mc:AlternateContent>
    <mc:AlternateContent xmlns:mc="http://schemas.openxmlformats.org/markup-compatibility/2006">
      <mc:Choice Requires="x14">
        <control shapeId="5139" r:id="rId15" name="CommandButton4">
          <controlPr locked="0" defaultSize="0" autoFill="0" autoLine="0" autoPict="0" r:id="rId16">
            <anchor>
              <from>
                <xdr:col>3</xdr:col>
                <xdr:colOff>38100</xdr:colOff>
                <xdr:row>13</xdr:row>
                <xdr:rowOff>28575</xdr:rowOff>
              </from>
              <to>
                <xdr:col>7</xdr:col>
                <xdr:colOff>19050</xdr:colOff>
                <xdr:row>15</xdr:row>
                <xdr:rowOff>9525</xdr:rowOff>
              </to>
            </anchor>
          </controlPr>
        </control>
      </mc:Choice>
      <mc:Fallback>
        <control shapeId="5139" r:id="rId15" name="CommandButton4"/>
      </mc:Fallback>
    </mc:AlternateContent>
    <mc:AlternateContent xmlns:mc="http://schemas.openxmlformats.org/markup-compatibility/2006">
      <mc:Choice Requires="x14">
        <control shapeId="5138" r:id="rId17" name="CommandButton3">
          <controlPr locked="0" defaultSize="0" autoFill="0" autoLine="0" autoPict="0" r:id="rId18">
            <anchor>
              <from>
                <xdr:col>3</xdr:col>
                <xdr:colOff>38100</xdr:colOff>
                <xdr:row>11</xdr:row>
                <xdr:rowOff>28575</xdr:rowOff>
              </from>
              <to>
                <xdr:col>7</xdr:col>
                <xdr:colOff>19050</xdr:colOff>
                <xdr:row>13</xdr:row>
                <xdr:rowOff>9525</xdr:rowOff>
              </to>
            </anchor>
          </controlPr>
        </control>
      </mc:Choice>
      <mc:Fallback>
        <control shapeId="5138" r:id="rId17" name="CommandButton3"/>
      </mc:Fallback>
    </mc:AlternateContent>
    <mc:AlternateContent xmlns:mc="http://schemas.openxmlformats.org/markup-compatibility/2006">
      <mc:Choice Requires="x14">
        <control shapeId="5123" r:id="rId19" name="CommandButton2">
          <controlPr locked="0" defaultSize="0" autoFill="0" autoLine="0" autoPict="0" r:id="rId20">
            <anchor>
              <from>
                <xdr:col>3</xdr:col>
                <xdr:colOff>38100</xdr:colOff>
                <xdr:row>7</xdr:row>
                <xdr:rowOff>28575</xdr:rowOff>
              </from>
              <to>
                <xdr:col>7</xdr:col>
                <xdr:colOff>19050</xdr:colOff>
                <xdr:row>9</xdr:row>
                <xdr:rowOff>9525</xdr:rowOff>
              </to>
            </anchor>
          </controlPr>
        </control>
      </mc:Choice>
      <mc:Fallback>
        <control shapeId="5123" r:id="rId19" name="CommandButton2"/>
      </mc:Fallback>
    </mc:AlternateContent>
    <mc:AlternateContent xmlns:mc="http://schemas.openxmlformats.org/markup-compatibility/2006">
      <mc:Choice Requires="x14">
        <control shapeId="5121" r:id="rId21" name="CommandButton1">
          <controlPr locked="0" defaultSize="0" autoFill="0" autoLine="0" autoPict="0" r:id="rId18">
            <anchor>
              <from>
                <xdr:col>3</xdr:col>
                <xdr:colOff>38100</xdr:colOff>
                <xdr:row>5</xdr:row>
                <xdr:rowOff>28575</xdr:rowOff>
              </from>
              <to>
                <xdr:col>7</xdr:col>
                <xdr:colOff>19050</xdr:colOff>
                <xdr:row>7</xdr:row>
                <xdr:rowOff>9525</xdr:rowOff>
              </to>
            </anchor>
          </controlPr>
        </control>
      </mc:Choice>
      <mc:Fallback>
        <control shapeId="5121" r:id="rId21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pageSetUpPr fitToPage="1"/>
  </sheetPr>
  <dimension ref="A1:AL356"/>
  <sheetViews>
    <sheetView showGridLines="0" showRowColHeaders="0" zoomScaleNormal="100" zoomScaleSheetLayoutView="145" workbookViewId="0">
      <selection activeCell="D10" sqref="D10"/>
    </sheetView>
  </sheetViews>
  <sheetFormatPr baseColWidth="10" defaultColWidth="11.42578125" defaultRowHeight="12.75" x14ac:dyDescent="0.2"/>
  <cols>
    <col min="1" max="1" width="4.28515625" style="9" customWidth="1"/>
    <col min="2" max="2" width="35" style="10" customWidth="1"/>
    <col min="3" max="3" width="5.5703125" style="10" bestFit="1" customWidth="1"/>
    <col min="4" max="4" width="14.42578125" style="10" customWidth="1"/>
    <col min="5" max="5" width="9.42578125" style="10" bestFit="1" customWidth="1"/>
    <col min="6" max="6" width="36.85546875" style="10" bestFit="1" customWidth="1"/>
    <col min="7" max="7" width="12" style="10" customWidth="1"/>
    <col min="8" max="8" width="7.85546875" style="10" bestFit="1" customWidth="1"/>
    <col min="9" max="9" width="11.42578125" style="9"/>
    <col min="10" max="10" width="8.42578125" style="9" hidden="1" customWidth="1"/>
    <col min="11" max="11" width="12.28515625" style="9" hidden="1" customWidth="1"/>
    <col min="12" max="12" width="8.85546875" style="9" hidden="1" customWidth="1"/>
    <col min="13" max="13" width="8.140625" style="9" hidden="1" customWidth="1"/>
    <col min="14" max="38" width="11.42578125" style="9"/>
    <col min="39" max="16384" width="11.42578125" style="10"/>
  </cols>
  <sheetData>
    <row r="1" spans="1:38" s="4" customFormat="1" ht="27.75" customHeight="1" x14ac:dyDescent="0.25">
      <c r="A1" s="22"/>
      <c r="B1" s="45" t="s">
        <v>60</v>
      </c>
      <c r="C1" s="6"/>
      <c r="D1" s="6"/>
      <c r="E1" s="6"/>
      <c r="F1" s="6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</row>
    <row r="2" spans="1:38" s="4" customFormat="1" ht="18" x14ac:dyDescent="0.25">
      <c r="A2" s="22"/>
      <c r="B2" s="40" t="s">
        <v>55</v>
      </c>
      <c r="C2" s="76"/>
      <c r="D2" s="3"/>
      <c r="E2" s="3"/>
      <c r="F2" s="3"/>
      <c r="G2" s="23"/>
      <c r="H2" s="3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</row>
    <row r="3" spans="1:38" s="4" customFormat="1" ht="13.5" x14ac:dyDescent="0.25">
      <c r="A3" s="22"/>
      <c r="B3" s="4" t="s">
        <v>13</v>
      </c>
      <c r="C3" s="24" t="s">
        <v>0</v>
      </c>
      <c r="D3" s="25">
        <f>IF(F3="introducción manual de rugosidad &gt;&gt;",G3,VLOOKUP(F3,Hoja2!A3:C21,2,FALSE))</f>
        <v>2E-3</v>
      </c>
      <c r="F3" s="11" t="s">
        <v>216</v>
      </c>
      <c r="G3" s="11">
        <v>2E-3</v>
      </c>
      <c r="H3" s="4" t="s">
        <v>12</v>
      </c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</row>
    <row r="4" spans="1:38" s="4" customFormat="1" ht="13.5" x14ac:dyDescent="0.25">
      <c r="A4" s="22"/>
      <c r="B4" s="4" t="s">
        <v>14</v>
      </c>
      <c r="C4" s="24" t="s">
        <v>215</v>
      </c>
      <c r="D4" s="46">
        <f>D3/D5</f>
        <v>2.7137042062415198E-5</v>
      </c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</row>
    <row r="5" spans="1:38" s="4" customFormat="1" ht="13.5" x14ac:dyDescent="0.25">
      <c r="A5" s="22"/>
      <c r="B5" s="4" t="s">
        <v>15</v>
      </c>
      <c r="C5" s="4" t="s">
        <v>1</v>
      </c>
      <c r="D5" s="28">
        <v>73.7</v>
      </c>
      <c r="E5" s="4" t="s">
        <v>12</v>
      </c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</row>
    <row r="6" spans="1:38" s="4" customFormat="1" ht="13.5" x14ac:dyDescent="0.25">
      <c r="A6" s="22"/>
      <c r="B6" s="4" t="s">
        <v>68</v>
      </c>
      <c r="C6" s="4" t="s">
        <v>53</v>
      </c>
      <c r="D6" s="28">
        <v>43</v>
      </c>
      <c r="E6" s="4" t="s">
        <v>20</v>
      </c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</row>
    <row r="7" spans="1:38" s="4" customFormat="1" ht="13.5" x14ac:dyDescent="0.25">
      <c r="A7" s="22"/>
      <c r="B7" s="4" t="s">
        <v>64</v>
      </c>
      <c r="C7" s="4" t="s">
        <v>74</v>
      </c>
      <c r="D7" s="29">
        <f>IF(F7="Manual",G7,IF(D6&gt;100,D6*0.1,D6*0.2))</f>
        <v>8.6</v>
      </c>
      <c r="E7" s="25" t="s">
        <v>20</v>
      </c>
      <c r="F7" s="11" t="s">
        <v>244</v>
      </c>
      <c r="G7" s="11">
        <v>12.6</v>
      </c>
      <c r="H7" s="4" t="s">
        <v>20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</row>
    <row r="8" spans="1:38" s="4" customFormat="1" ht="13.5" x14ac:dyDescent="0.25">
      <c r="A8" s="22"/>
      <c r="B8" s="4" t="s">
        <v>65</v>
      </c>
      <c r="C8" s="4" t="s">
        <v>75</v>
      </c>
      <c r="D8" s="29">
        <f>D6+D7</f>
        <v>51.6</v>
      </c>
      <c r="E8" s="25" t="s">
        <v>20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</row>
    <row r="9" spans="1:38" s="4" customFormat="1" ht="15.75" x14ac:dyDescent="0.25">
      <c r="A9" s="22"/>
      <c r="B9" s="40" t="s">
        <v>56</v>
      </c>
      <c r="C9" s="3"/>
      <c r="D9" s="44" t="s">
        <v>61</v>
      </c>
      <c r="E9" s="3"/>
      <c r="F9" s="3"/>
      <c r="G9" s="3"/>
      <c r="H9" s="3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</row>
    <row r="10" spans="1:38" s="4" customFormat="1" ht="13.5" x14ac:dyDescent="0.25">
      <c r="A10" s="22"/>
      <c r="B10" s="4" t="s">
        <v>40</v>
      </c>
      <c r="C10" s="4" t="s">
        <v>29</v>
      </c>
      <c r="D10" s="11">
        <v>14.1</v>
      </c>
      <c r="E10" s="4" t="s">
        <v>31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</row>
    <row r="11" spans="1:38" s="4" customFormat="1" ht="13.5" x14ac:dyDescent="0.25">
      <c r="A11" s="22"/>
      <c r="B11" s="4" t="s">
        <v>28</v>
      </c>
      <c r="C11" s="4" t="s">
        <v>30</v>
      </c>
      <c r="D11" s="11">
        <v>240</v>
      </c>
      <c r="E11" s="4" t="s">
        <v>32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</row>
    <row r="12" spans="1:38" s="4" customFormat="1" ht="13.5" x14ac:dyDescent="0.25">
      <c r="A12" s="22"/>
      <c r="B12" s="4" t="s">
        <v>39</v>
      </c>
      <c r="C12" s="4" t="s">
        <v>76</v>
      </c>
      <c r="D12" s="31">
        <f>tSatW(D10+1.01325)-273.15</f>
        <v>198.6523085546728</v>
      </c>
      <c r="E12" s="25" t="s">
        <v>32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</row>
    <row r="13" spans="1:38" s="4" customFormat="1" ht="13.5" x14ac:dyDescent="0.25">
      <c r="A13" s="22"/>
      <c r="B13" s="4" t="s">
        <v>16</v>
      </c>
      <c r="C13" s="24" t="s">
        <v>81</v>
      </c>
      <c r="D13" s="32">
        <f>IF(D11&gt;D12,densW(D11+273.15,D10+1.01325),IF(D11&lt;D12,densSatLiqTW(D11+273.15),densSatVapPW(D10+1.01325)))</f>
        <v>6.7978829928680309</v>
      </c>
      <c r="E13" s="25" t="s">
        <v>18</v>
      </c>
      <c r="F13" s="7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</row>
    <row r="14" spans="1:38" s="4" customFormat="1" ht="13.5" x14ac:dyDescent="0.25">
      <c r="A14" s="22"/>
      <c r="B14" s="4" t="s">
        <v>38</v>
      </c>
      <c r="C14" s="24" t="s">
        <v>20</v>
      </c>
      <c r="D14" s="32">
        <f>IF(D11&gt;D12,viscW(D11+273.15,D10+1.01325),IF(D11&lt;D12,viscSatLiqTW(D11+273.15),viscSatVapPW(D10+1.01325)))*1000</f>
        <v>1.7508442834513409E-2</v>
      </c>
      <c r="E14" s="25" t="s">
        <v>83</v>
      </c>
      <c r="F14" s="7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</row>
    <row r="15" spans="1:38" s="4" customFormat="1" ht="13.5" x14ac:dyDescent="0.25">
      <c r="A15" s="22"/>
      <c r="B15" s="4" t="s">
        <v>37</v>
      </c>
      <c r="C15" s="24" t="s">
        <v>24</v>
      </c>
      <c r="D15" s="32">
        <f>1000*D14/D13</f>
        <v>2.5755728442049262</v>
      </c>
      <c r="E15" s="25" t="s">
        <v>25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</row>
    <row r="16" spans="1:38" s="4" customFormat="1" ht="15.75" x14ac:dyDescent="0.25">
      <c r="A16" s="22"/>
      <c r="B16" s="40" t="s">
        <v>69</v>
      </c>
      <c r="C16" s="3"/>
      <c r="D16" s="44" t="s">
        <v>62</v>
      </c>
      <c r="E16" s="3"/>
      <c r="F16" s="3"/>
      <c r="G16" s="3"/>
      <c r="H16" s="3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</row>
    <row r="17" spans="1:38" s="4" customFormat="1" ht="13.5" x14ac:dyDescent="0.25">
      <c r="A17" s="22"/>
      <c r="B17" s="4" t="s">
        <v>36</v>
      </c>
      <c r="C17" s="4" t="s">
        <v>23</v>
      </c>
      <c r="D17" s="33">
        <f>D19/D13</f>
        <v>638.06629277830598</v>
      </c>
      <c r="E17" s="25" t="s">
        <v>19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</row>
    <row r="18" spans="1:38" s="4" customFormat="1" ht="13.5" x14ac:dyDescent="0.25">
      <c r="A18" s="22"/>
      <c r="B18" s="4" t="s">
        <v>33</v>
      </c>
      <c r="C18" s="4" t="s">
        <v>77</v>
      </c>
      <c r="D18" s="34">
        <v>4337.5</v>
      </c>
      <c r="E18" s="4" t="s">
        <v>34</v>
      </c>
      <c r="F18" s="11" t="s">
        <v>63</v>
      </c>
      <c r="I18" s="22"/>
      <c r="J18" s="22" t="s">
        <v>49</v>
      </c>
      <c r="K18" s="22" t="s">
        <v>51</v>
      </c>
      <c r="L18" s="22" t="s">
        <v>50</v>
      </c>
      <c r="M18" s="22" t="s">
        <v>52</v>
      </c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</row>
    <row r="19" spans="1:38" s="4" customFormat="1" ht="13.5" x14ac:dyDescent="0.25">
      <c r="A19" s="22"/>
      <c r="B19" s="4" t="s">
        <v>59</v>
      </c>
      <c r="C19" s="4" t="s">
        <v>78</v>
      </c>
      <c r="D19" s="33">
        <f>IF(F18="Corregir de condensación",D18*(1+D6/3000),D18)</f>
        <v>4337.5</v>
      </c>
      <c r="E19" s="25" t="s">
        <v>34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</row>
    <row r="20" spans="1:38" s="4" customFormat="1" ht="13.5" x14ac:dyDescent="0.25">
      <c r="A20" s="22"/>
      <c r="B20" s="4" t="s">
        <v>21</v>
      </c>
      <c r="C20" s="4" t="s">
        <v>22</v>
      </c>
      <c r="D20" s="42">
        <f>353.7*D17/D5^2</f>
        <v>41.549508119146495</v>
      </c>
      <c r="E20" s="25" t="s">
        <v>26</v>
      </c>
      <c r="F20" s="47" t="str">
        <f>IF(D24&gt;D10,"PERDIDA DE CARGA INADMISIBLE",IF(D20&gt;H20,"VELOCIDAD FUERA DE RANGO",""))</f>
        <v/>
      </c>
      <c r="H20" s="7">
        <f>IF(D11&gt;D12,60,IF(D11&lt;D12,40,50))</f>
        <v>60</v>
      </c>
      <c r="I20" s="22"/>
      <c r="J20" s="22">
        <v>20</v>
      </c>
      <c r="K20" s="22">
        <v>40</v>
      </c>
      <c r="L20" s="22">
        <v>50</v>
      </c>
      <c r="M20" s="22">
        <v>60</v>
      </c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</row>
    <row r="21" spans="1:38" s="4" customFormat="1" ht="13.5" x14ac:dyDescent="0.25">
      <c r="A21" s="22"/>
      <c r="B21" s="4" t="s">
        <v>41</v>
      </c>
      <c r="C21" s="4" t="s">
        <v>2</v>
      </c>
      <c r="D21" s="35">
        <f>10^9*4*D17/PI()/D5/D15/3600</f>
        <v>1188863.7779911987</v>
      </c>
      <c r="E21" s="25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</row>
    <row r="22" spans="1:38" s="4" customFormat="1" ht="13.5" x14ac:dyDescent="0.25">
      <c r="A22" s="22"/>
      <c r="B22" s="4" t="s">
        <v>35</v>
      </c>
      <c r="C22" s="4" t="s">
        <v>79</v>
      </c>
      <c r="D22" s="32">
        <f>colebrook($D$3,$D$5,$D$21)</f>
        <v>1.1947764284665726E-2</v>
      </c>
      <c r="E22" s="25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</row>
    <row r="23" spans="1:38" s="4" customFormat="1" ht="13.5" x14ac:dyDescent="0.25">
      <c r="A23" s="22"/>
      <c r="B23" s="4" t="s">
        <v>17</v>
      </c>
      <c r="C23" s="4" t="s">
        <v>54</v>
      </c>
      <c r="D23" s="31">
        <f>10^15*8*D22*D8*D17^2/9.8/PI()^2/D5^5/3600^2</f>
        <v>736.69831748040428</v>
      </c>
      <c r="E23" s="25" t="s">
        <v>84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</row>
    <row r="24" spans="1:38" s="4" customFormat="1" ht="13.5" x14ac:dyDescent="0.25">
      <c r="A24" s="22"/>
      <c r="B24" s="4" t="s">
        <v>17</v>
      </c>
      <c r="C24" s="4" t="s">
        <v>54</v>
      </c>
      <c r="D24" s="43">
        <f>D23*9.8*D13*10^(-5)</f>
        <v>0.49078291840090432</v>
      </c>
      <c r="E24" s="25" t="s">
        <v>31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</row>
    <row r="25" spans="1:38" s="9" customFormat="1" x14ac:dyDescent="0.2"/>
    <row r="26" spans="1:38" s="9" customFormat="1" x14ac:dyDescent="0.2"/>
    <row r="27" spans="1:38" s="9" customFormat="1" x14ac:dyDescent="0.2"/>
    <row r="28" spans="1:38" s="9" customFormat="1" x14ac:dyDescent="0.2"/>
    <row r="29" spans="1:38" s="9" customFormat="1" x14ac:dyDescent="0.2"/>
    <row r="30" spans="1:38" s="9" customFormat="1" x14ac:dyDescent="0.2"/>
    <row r="31" spans="1:38" s="9" customFormat="1" x14ac:dyDescent="0.2"/>
    <row r="32" spans="1:38" s="9" customFormat="1" x14ac:dyDescent="0.2"/>
    <row r="33" s="9" customFormat="1" x14ac:dyDescent="0.2"/>
    <row r="34" s="9" customFormat="1" x14ac:dyDescent="0.2"/>
    <row r="35" s="9" customFormat="1" x14ac:dyDescent="0.2"/>
    <row r="36" s="9" customFormat="1" x14ac:dyDescent="0.2"/>
    <row r="37" s="9" customFormat="1" x14ac:dyDescent="0.2"/>
    <row r="38" s="9" customFormat="1" x14ac:dyDescent="0.2"/>
    <row r="39" s="9" customFormat="1" x14ac:dyDescent="0.2"/>
    <row r="40" s="9" customFormat="1" x14ac:dyDescent="0.2"/>
    <row r="41" s="9" customFormat="1" x14ac:dyDescent="0.2"/>
    <row r="42" s="9" customFormat="1" x14ac:dyDescent="0.2"/>
    <row r="43" s="9" customFormat="1" x14ac:dyDescent="0.2"/>
    <row r="44" s="9" customFormat="1" x14ac:dyDescent="0.2"/>
    <row r="45" s="9" customFormat="1" x14ac:dyDescent="0.2"/>
    <row r="46" s="9" customFormat="1" x14ac:dyDescent="0.2"/>
    <row r="47" s="9" customFormat="1" x14ac:dyDescent="0.2"/>
    <row r="48" s="9" customFormat="1" x14ac:dyDescent="0.2"/>
    <row r="49" s="9" customFormat="1" x14ac:dyDescent="0.2"/>
    <row r="50" s="9" customFormat="1" x14ac:dyDescent="0.2"/>
    <row r="51" s="9" customFormat="1" x14ac:dyDescent="0.2"/>
    <row r="52" s="9" customFormat="1" x14ac:dyDescent="0.2"/>
    <row r="53" s="9" customFormat="1" x14ac:dyDescent="0.2"/>
    <row r="54" s="9" customFormat="1" x14ac:dyDescent="0.2"/>
    <row r="55" s="9" customFormat="1" x14ac:dyDescent="0.2"/>
    <row r="56" s="9" customFormat="1" x14ac:dyDescent="0.2"/>
    <row r="57" s="9" customFormat="1" x14ac:dyDescent="0.2"/>
    <row r="58" s="9" customFormat="1" x14ac:dyDescent="0.2"/>
    <row r="59" s="9" customFormat="1" x14ac:dyDescent="0.2"/>
    <row r="60" s="9" customFormat="1" x14ac:dyDescent="0.2"/>
    <row r="61" s="9" customFormat="1" x14ac:dyDescent="0.2"/>
    <row r="62" s="9" customFormat="1" x14ac:dyDescent="0.2"/>
    <row r="63" s="9" customFormat="1" x14ac:dyDescent="0.2"/>
    <row r="64" s="9" customFormat="1" x14ac:dyDescent="0.2"/>
    <row r="65" s="9" customFormat="1" x14ac:dyDescent="0.2"/>
    <row r="66" s="9" customFormat="1" x14ac:dyDescent="0.2"/>
    <row r="67" s="9" customFormat="1" x14ac:dyDescent="0.2"/>
    <row r="68" s="9" customFormat="1" x14ac:dyDescent="0.2"/>
    <row r="69" s="9" customFormat="1" x14ac:dyDescent="0.2"/>
    <row r="70" s="9" customFormat="1" x14ac:dyDescent="0.2"/>
    <row r="71" s="9" customFormat="1" x14ac:dyDescent="0.2"/>
    <row r="72" s="9" customFormat="1" x14ac:dyDescent="0.2"/>
    <row r="73" s="9" customFormat="1" x14ac:dyDescent="0.2"/>
    <row r="74" s="9" customFormat="1" x14ac:dyDescent="0.2"/>
    <row r="75" s="9" customFormat="1" x14ac:dyDescent="0.2"/>
    <row r="76" s="9" customFormat="1" x14ac:dyDescent="0.2"/>
    <row r="77" s="9" customFormat="1" x14ac:dyDescent="0.2"/>
    <row r="78" s="9" customFormat="1" x14ac:dyDescent="0.2"/>
    <row r="79" s="9" customFormat="1" x14ac:dyDescent="0.2"/>
    <row r="80" s="9" customFormat="1" x14ac:dyDescent="0.2"/>
    <row r="81" s="9" customFormat="1" x14ac:dyDescent="0.2"/>
    <row r="82" s="9" customFormat="1" x14ac:dyDescent="0.2"/>
    <row r="83" s="9" customFormat="1" x14ac:dyDescent="0.2"/>
    <row r="84" s="9" customFormat="1" x14ac:dyDescent="0.2"/>
    <row r="85" s="9" customFormat="1" x14ac:dyDescent="0.2"/>
    <row r="86" s="9" customFormat="1" x14ac:dyDescent="0.2"/>
    <row r="87" s="9" customFormat="1" x14ac:dyDescent="0.2"/>
    <row r="88" s="9" customFormat="1" x14ac:dyDescent="0.2"/>
    <row r="89" s="9" customFormat="1" x14ac:dyDescent="0.2"/>
    <row r="90" s="9" customFormat="1" x14ac:dyDescent="0.2"/>
    <row r="91" s="9" customFormat="1" x14ac:dyDescent="0.2"/>
    <row r="92" s="9" customFormat="1" x14ac:dyDescent="0.2"/>
    <row r="93" s="9" customFormat="1" x14ac:dyDescent="0.2"/>
    <row r="94" s="9" customFormat="1" x14ac:dyDescent="0.2"/>
    <row r="95" s="9" customFormat="1" x14ac:dyDescent="0.2"/>
    <row r="96" s="9" customFormat="1" x14ac:dyDescent="0.2"/>
    <row r="97" s="9" customFormat="1" x14ac:dyDescent="0.2"/>
    <row r="98" s="9" customFormat="1" x14ac:dyDescent="0.2"/>
    <row r="99" s="9" customFormat="1" x14ac:dyDescent="0.2"/>
    <row r="100" s="9" customFormat="1" x14ac:dyDescent="0.2"/>
    <row r="101" s="9" customFormat="1" x14ac:dyDescent="0.2"/>
    <row r="102" s="9" customFormat="1" x14ac:dyDescent="0.2"/>
    <row r="103" s="9" customFormat="1" x14ac:dyDescent="0.2"/>
    <row r="104" s="9" customFormat="1" x14ac:dyDescent="0.2"/>
    <row r="105" s="9" customFormat="1" x14ac:dyDescent="0.2"/>
    <row r="106" s="9" customFormat="1" x14ac:dyDescent="0.2"/>
    <row r="107" s="9" customFormat="1" x14ac:dyDescent="0.2"/>
    <row r="108" s="9" customFormat="1" x14ac:dyDescent="0.2"/>
    <row r="109" s="9" customFormat="1" x14ac:dyDescent="0.2"/>
    <row r="110" s="9" customFormat="1" x14ac:dyDescent="0.2"/>
    <row r="111" s="9" customFormat="1" x14ac:dyDescent="0.2"/>
    <row r="112" s="9" customFormat="1" x14ac:dyDescent="0.2"/>
    <row r="113" s="9" customFormat="1" x14ac:dyDescent="0.2"/>
    <row r="114" s="9" customFormat="1" x14ac:dyDescent="0.2"/>
    <row r="115" s="9" customFormat="1" x14ac:dyDescent="0.2"/>
    <row r="116" s="9" customFormat="1" x14ac:dyDescent="0.2"/>
    <row r="117" s="9" customFormat="1" x14ac:dyDescent="0.2"/>
    <row r="118" s="9" customFormat="1" x14ac:dyDescent="0.2"/>
    <row r="119" s="9" customFormat="1" x14ac:dyDescent="0.2"/>
    <row r="120" s="9" customFormat="1" x14ac:dyDescent="0.2"/>
    <row r="121" s="9" customFormat="1" x14ac:dyDescent="0.2"/>
    <row r="122" s="9" customFormat="1" x14ac:dyDescent="0.2"/>
    <row r="123" s="9" customFormat="1" x14ac:dyDescent="0.2"/>
    <row r="124" s="9" customFormat="1" x14ac:dyDescent="0.2"/>
    <row r="125" s="9" customFormat="1" x14ac:dyDescent="0.2"/>
    <row r="126" s="9" customFormat="1" x14ac:dyDescent="0.2"/>
    <row r="127" s="9" customFormat="1" x14ac:dyDescent="0.2"/>
    <row r="128" s="9" customFormat="1" x14ac:dyDescent="0.2"/>
    <row r="129" s="9" customFormat="1" x14ac:dyDescent="0.2"/>
    <row r="130" s="9" customFormat="1" x14ac:dyDescent="0.2"/>
    <row r="131" s="9" customFormat="1" x14ac:dyDescent="0.2"/>
    <row r="132" s="9" customFormat="1" x14ac:dyDescent="0.2"/>
    <row r="133" s="9" customFormat="1" x14ac:dyDescent="0.2"/>
    <row r="134" s="9" customFormat="1" x14ac:dyDescent="0.2"/>
    <row r="135" s="9" customFormat="1" x14ac:dyDescent="0.2"/>
    <row r="136" s="9" customFormat="1" x14ac:dyDescent="0.2"/>
    <row r="137" s="9" customFormat="1" x14ac:dyDescent="0.2"/>
    <row r="138" s="9" customFormat="1" x14ac:dyDescent="0.2"/>
    <row r="139" s="9" customFormat="1" x14ac:dyDescent="0.2"/>
    <row r="140" s="9" customFormat="1" x14ac:dyDescent="0.2"/>
    <row r="141" s="9" customFormat="1" x14ac:dyDescent="0.2"/>
    <row r="142" s="9" customFormat="1" x14ac:dyDescent="0.2"/>
    <row r="143" s="9" customFormat="1" x14ac:dyDescent="0.2"/>
    <row r="144" s="9" customFormat="1" x14ac:dyDescent="0.2"/>
    <row r="145" s="9" customFormat="1" x14ac:dyDescent="0.2"/>
    <row r="146" s="9" customFormat="1" x14ac:dyDescent="0.2"/>
    <row r="147" s="9" customFormat="1" x14ac:dyDescent="0.2"/>
    <row r="148" s="9" customFormat="1" x14ac:dyDescent="0.2"/>
    <row r="149" s="9" customFormat="1" x14ac:dyDescent="0.2"/>
    <row r="150" s="9" customFormat="1" x14ac:dyDescent="0.2"/>
    <row r="151" s="9" customFormat="1" x14ac:dyDescent="0.2"/>
    <row r="152" s="9" customFormat="1" x14ac:dyDescent="0.2"/>
    <row r="153" s="9" customFormat="1" x14ac:dyDescent="0.2"/>
    <row r="154" s="9" customFormat="1" x14ac:dyDescent="0.2"/>
    <row r="155" s="9" customFormat="1" x14ac:dyDescent="0.2"/>
    <row r="156" s="9" customFormat="1" x14ac:dyDescent="0.2"/>
    <row r="157" s="9" customFormat="1" x14ac:dyDescent="0.2"/>
    <row r="158" s="9" customFormat="1" x14ac:dyDescent="0.2"/>
    <row r="159" s="9" customFormat="1" x14ac:dyDescent="0.2"/>
    <row r="160" s="9" customFormat="1" x14ac:dyDescent="0.2"/>
    <row r="161" s="9" customFormat="1" x14ac:dyDescent="0.2"/>
    <row r="162" s="9" customFormat="1" x14ac:dyDescent="0.2"/>
    <row r="163" s="9" customFormat="1" x14ac:dyDescent="0.2"/>
    <row r="164" s="9" customFormat="1" x14ac:dyDescent="0.2"/>
    <row r="165" s="9" customFormat="1" x14ac:dyDescent="0.2"/>
    <row r="166" s="9" customFormat="1" x14ac:dyDescent="0.2"/>
    <row r="167" s="9" customFormat="1" x14ac:dyDescent="0.2"/>
    <row r="168" s="9" customFormat="1" x14ac:dyDescent="0.2"/>
    <row r="169" s="9" customFormat="1" x14ac:dyDescent="0.2"/>
    <row r="170" s="9" customFormat="1" x14ac:dyDescent="0.2"/>
    <row r="171" s="9" customFormat="1" x14ac:dyDescent="0.2"/>
    <row r="172" s="9" customFormat="1" x14ac:dyDescent="0.2"/>
    <row r="173" s="9" customFormat="1" x14ac:dyDescent="0.2"/>
    <row r="174" s="9" customFormat="1" x14ac:dyDescent="0.2"/>
    <row r="175" s="9" customFormat="1" x14ac:dyDescent="0.2"/>
    <row r="176" s="9" customFormat="1" x14ac:dyDescent="0.2"/>
    <row r="177" s="9" customFormat="1" x14ac:dyDescent="0.2"/>
    <row r="178" s="9" customFormat="1" x14ac:dyDescent="0.2"/>
    <row r="179" s="9" customFormat="1" x14ac:dyDescent="0.2"/>
    <row r="180" s="9" customFormat="1" x14ac:dyDescent="0.2"/>
    <row r="181" s="9" customFormat="1" x14ac:dyDescent="0.2"/>
    <row r="182" s="9" customFormat="1" x14ac:dyDescent="0.2"/>
    <row r="183" s="9" customFormat="1" x14ac:dyDescent="0.2"/>
    <row r="184" s="9" customFormat="1" x14ac:dyDescent="0.2"/>
    <row r="185" s="9" customFormat="1" x14ac:dyDescent="0.2"/>
    <row r="186" s="9" customFormat="1" x14ac:dyDescent="0.2"/>
    <row r="187" s="9" customFormat="1" x14ac:dyDescent="0.2"/>
    <row r="188" s="9" customFormat="1" x14ac:dyDescent="0.2"/>
    <row r="189" s="9" customFormat="1" x14ac:dyDescent="0.2"/>
    <row r="190" s="9" customFormat="1" x14ac:dyDescent="0.2"/>
    <row r="191" s="9" customFormat="1" x14ac:dyDescent="0.2"/>
    <row r="192" s="9" customFormat="1" x14ac:dyDescent="0.2"/>
    <row r="193" s="9" customFormat="1" x14ac:dyDescent="0.2"/>
    <row r="194" s="9" customFormat="1" x14ac:dyDescent="0.2"/>
    <row r="195" s="9" customFormat="1" x14ac:dyDescent="0.2"/>
    <row r="196" s="9" customFormat="1" x14ac:dyDescent="0.2"/>
    <row r="197" s="9" customFormat="1" x14ac:dyDescent="0.2"/>
    <row r="198" s="9" customFormat="1" x14ac:dyDescent="0.2"/>
    <row r="199" s="9" customFormat="1" x14ac:dyDescent="0.2"/>
    <row r="200" s="9" customFormat="1" x14ac:dyDescent="0.2"/>
    <row r="201" s="9" customFormat="1" x14ac:dyDescent="0.2"/>
    <row r="202" s="9" customFormat="1" x14ac:dyDescent="0.2"/>
    <row r="203" s="9" customFormat="1" x14ac:dyDescent="0.2"/>
    <row r="204" s="9" customFormat="1" x14ac:dyDescent="0.2"/>
    <row r="205" s="9" customFormat="1" x14ac:dyDescent="0.2"/>
    <row r="206" s="9" customFormat="1" x14ac:dyDescent="0.2"/>
    <row r="207" s="9" customFormat="1" x14ac:dyDescent="0.2"/>
    <row r="208" s="9" customFormat="1" x14ac:dyDescent="0.2"/>
    <row r="209" s="9" customFormat="1" x14ac:dyDescent="0.2"/>
    <row r="210" s="9" customFormat="1" x14ac:dyDescent="0.2"/>
    <row r="211" s="9" customFormat="1" x14ac:dyDescent="0.2"/>
    <row r="212" s="9" customFormat="1" x14ac:dyDescent="0.2"/>
    <row r="213" s="9" customFormat="1" x14ac:dyDescent="0.2"/>
    <row r="214" s="9" customFormat="1" x14ac:dyDescent="0.2"/>
    <row r="215" s="9" customFormat="1" x14ac:dyDescent="0.2"/>
    <row r="216" s="9" customFormat="1" x14ac:dyDescent="0.2"/>
    <row r="217" s="9" customFormat="1" x14ac:dyDescent="0.2"/>
    <row r="218" s="9" customFormat="1" x14ac:dyDescent="0.2"/>
    <row r="219" s="9" customFormat="1" x14ac:dyDescent="0.2"/>
    <row r="220" s="9" customFormat="1" x14ac:dyDescent="0.2"/>
    <row r="221" s="9" customFormat="1" x14ac:dyDescent="0.2"/>
    <row r="222" s="9" customFormat="1" x14ac:dyDescent="0.2"/>
    <row r="223" s="9" customFormat="1" x14ac:dyDescent="0.2"/>
    <row r="224" s="9" customFormat="1" x14ac:dyDescent="0.2"/>
    <row r="225" s="9" customFormat="1" x14ac:dyDescent="0.2"/>
    <row r="226" s="9" customFormat="1" x14ac:dyDescent="0.2"/>
    <row r="227" s="9" customFormat="1" x14ac:dyDescent="0.2"/>
    <row r="228" s="9" customFormat="1" x14ac:dyDescent="0.2"/>
    <row r="229" s="9" customFormat="1" x14ac:dyDescent="0.2"/>
    <row r="230" s="9" customFormat="1" x14ac:dyDescent="0.2"/>
    <row r="231" s="9" customFormat="1" x14ac:dyDescent="0.2"/>
    <row r="232" s="9" customFormat="1" x14ac:dyDescent="0.2"/>
    <row r="233" s="9" customFormat="1" x14ac:dyDescent="0.2"/>
    <row r="234" s="9" customFormat="1" x14ac:dyDescent="0.2"/>
    <row r="235" s="9" customFormat="1" x14ac:dyDescent="0.2"/>
    <row r="236" s="9" customFormat="1" x14ac:dyDescent="0.2"/>
    <row r="237" s="9" customFormat="1" x14ac:dyDescent="0.2"/>
    <row r="238" s="9" customFormat="1" x14ac:dyDescent="0.2"/>
    <row r="239" s="9" customFormat="1" x14ac:dyDescent="0.2"/>
    <row r="240" s="9" customFormat="1" x14ac:dyDescent="0.2"/>
    <row r="241" s="9" customFormat="1" x14ac:dyDescent="0.2"/>
    <row r="242" s="9" customFormat="1" x14ac:dyDescent="0.2"/>
    <row r="243" s="9" customFormat="1" x14ac:dyDescent="0.2"/>
    <row r="244" s="9" customFormat="1" x14ac:dyDescent="0.2"/>
    <row r="245" s="9" customFormat="1" x14ac:dyDescent="0.2"/>
    <row r="246" s="9" customFormat="1" x14ac:dyDescent="0.2"/>
    <row r="247" s="9" customFormat="1" x14ac:dyDescent="0.2"/>
    <row r="248" s="9" customFormat="1" x14ac:dyDescent="0.2"/>
    <row r="249" s="9" customFormat="1" x14ac:dyDescent="0.2"/>
    <row r="250" s="9" customFormat="1" x14ac:dyDescent="0.2"/>
    <row r="251" s="9" customFormat="1" x14ac:dyDescent="0.2"/>
    <row r="252" s="9" customFormat="1" x14ac:dyDescent="0.2"/>
    <row r="253" s="9" customFormat="1" x14ac:dyDescent="0.2"/>
    <row r="254" s="9" customFormat="1" x14ac:dyDescent="0.2"/>
    <row r="255" s="9" customFormat="1" x14ac:dyDescent="0.2"/>
    <row r="256" s="9" customFormat="1" x14ac:dyDescent="0.2"/>
    <row r="257" s="9" customFormat="1" x14ac:dyDescent="0.2"/>
    <row r="258" s="9" customFormat="1" x14ac:dyDescent="0.2"/>
    <row r="259" s="9" customFormat="1" x14ac:dyDescent="0.2"/>
    <row r="260" s="9" customFormat="1" x14ac:dyDescent="0.2"/>
    <row r="261" s="9" customFormat="1" x14ac:dyDescent="0.2"/>
    <row r="262" s="9" customFormat="1" x14ac:dyDescent="0.2"/>
    <row r="263" s="9" customFormat="1" x14ac:dyDescent="0.2"/>
    <row r="264" s="9" customFormat="1" x14ac:dyDescent="0.2"/>
    <row r="265" s="9" customFormat="1" x14ac:dyDescent="0.2"/>
    <row r="266" s="9" customFormat="1" x14ac:dyDescent="0.2"/>
    <row r="267" s="9" customFormat="1" x14ac:dyDescent="0.2"/>
    <row r="268" s="9" customFormat="1" x14ac:dyDescent="0.2"/>
    <row r="269" s="9" customFormat="1" x14ac:dyDescent="0.2"/>
    <row r="270" s="9" customFormat="1" x14ac:dyDescent="0.2"/>
    <row r="271" s="9" customFormat="1" x14ac:dyDescent="0.2"/>
    <row r="272" s="9" customFormat="1" x14ac:dyDescent="0.2"/>
    <row r="273" s="9" customFormat="1" x14ac:dyDescent="0.2"/>
    <row r="274" s="9" customFormat="1" x14ac:dyDescent="0.2"/>
    <row r="275" s="9" customFormat="1" x14ac:dyDescent="0.2"/>
    <row r="276" s="9" customFormat="1" x14ac:dyDescent="0.2"/>
    <row r="277" s="9" customFormat="1" x14ac:dyDescent="0.2"/>
    <row r="278" s="9" customFormat="1" x14ac:dyDescent="0.2"/>
    <row r="279" s="9" customFormat="1" x14ac:dyDescent="0.2"/>
    <row r="280" s="9" customFormat="1" x14ac:dyDescent="0.2"/>
    <row r="281" s="9" customFormat="1" x14ac:dyDescent="0.2"/>
    <row r="282" s="9" customFormat="1" x14ac:dyDescent="0.2"/>
    <row r="283" s="9" customFormat="1" x14ac:dyDescent="0.2"/>
    <row r="284" s="9" customFormat="1" x14ac:dyDescent="0.2"/>
    <row r="285" s="9" customFormat="1" x14ac:dyDescent="0.2"/>
    <row r="286" s="9" customFormat="1" x14ac:dyDescent="0.2"/>
    <row r="287" s="9" customFormat="1" x14ac:dyDescent="0.2"/>
    <row r="288" s="9" customFormat="1" x14ac:dyDescent="0.2"/>
    <row r="289" s="9" customFormat="1" x14ac:dyDescent="0.2"/>
    <row r="290" s="9" customFormat="1" x14ac:dyDescent="0.2"/>
    <row r="291" s="9" customFormat="1" x14ac:dyDescent="0.2"/>
    <row r="292" s="9" customFormat="1" x14ac:dyDescent="0.2"/>
    <row r="293" s="9" customFormat="1" x14ac:dyDescent="0.2"/>
    <row r="294" s="9" customFormat="1" x14ac:dyDescent="0.2"/>
    <row r="295" s="9" customFormat="1" x14ac:dyDescent="0.2"/>
    <row r="296" s="9" customFormat="1" x14ac:dyDescent="0.2"/>
    <row r="297" s="9" customFormat="1" x14ac:dyDescent="0.2"/>
    <row r="298" s="9" customFormat="1" x14ac:dyDescent="0.2"/>
    <row r="299" s="9" customFormat="1" x14ac:dyDescent="0.2"/>
    <row r="300" s="9" customFormat="1" x14ac:dyDescent="0.2"/>
    <row r="301" s="9" customFormat="1" x14ac:dyDescent="0.2"/>
    <row r="302" s="9" customFormat="1" x14ac:dyDescent="0.2"/>
    <row r="303" s="9" customFormat="1" x14ac:dyDescent="0.2"/>
    <row r="304" s="9" customFormat="1" x14ac:dyDescent="0.2"/>
    <row r="305" s="9" customFormat="1" x14ac:dyDescent="0.2"/>
    <row r="306" s="9" customFormat="1" x14ac:dyDescent="0.2"/>
    <row r="307" s="9" customFormat="1" x14ac:dyDescent="0.2"/>
    <row r="308" s="9" customFormat="1" x14ac:dyDescent="0.2"/>
    <row r="309" s="9" customFormat="1" x14ac:dyDescent="0.2"/>
    <row r="310" s="9" customFormat="1" x14ac:dyDescent="0.2"/>
    <row r="311" s="9" customFormat="1" x14ac:dyDescent="0.2"/>
    <row r="312" s="9" customFormat="1" x14ac:dyDescent="0.2"/>
    <row r="313" s="9" customFormat="1" x14ac:dyDescent="0.2"/>
    <row r="314" s="9" customFormat="1" x14ac:dyDescent="0.2"/>
    <row r="315" s="9" customFormat="1" x14ac:dyDescent="0.2"/>
    <row r="316" s="9" customFormat="1" x14ac:dyDescent="0.2"/>
    <row r="317" s="9" customFormat="1" x14ac:dyDescent="0.2"/>
    <row r="318" s="9" customFormat="1" x14ac:dyDescent="0.2"/>
    <row r="319" s="9" customFormat="1" x14ac:dyDescent="0.2"/>
    <row r="320" s="9" customFormat="1" x14ac:dyDescent="0.2"/>
    <row r="321" s="9" customFormat="1" x14ac:dyDescent="0.2"/>
    <row r="322" s="9" customFormat="1" x14ac:dyDescent="0.2"/>
    <row r="323" s="9" customFormat="1" x14ac:dyDescent="0.2"/>
    <row r="324" s="9" customFormat="1" x14ac:dyDescent="0.2"/>
    <row r="325" s="9" customFormat="1" x14ac:dyDescent="0.2"/>
    <row r="326" s="9" customFormat="1" x14ac:dyDescent="0.2"/>
    <row r="327" s="9" customFormat="1" x14ac:dyDescent="0.2"/>
    <row r="328" s="9" customFormat="1" x14ac:dyDescent="0.2"/>
    <row r="329" s="9" customFormat="1" x14ac:dyDescent="0.2"/>
    <row r="330" s="9" customFormat="1" x14ac:dyDescent="0.2"/>
    <row r="331" s="9" customFormat="1" x14ac:dyDescent="0.2"/>
    <row r="332" s="9" customFormat="1" x14ac:dyDescent="0.2"/>
    <row r="333" s="9" customFormat="1" x14ac:dyDescent="0.2"/>
    <row r="334" s="9" customFormat="1" x14ac:dyDescent="0.2"/>
    <row r="335" s="9" customFormat="1" x14ac:dyDescent="0.2"/>
    <row r="336" s="9" customFormat="1" x14ac:dyDescent="0.2"/>
    <row r="337" s="9" customFormat="1" x14ac:dyDescent="0.2"/>
    <row r="338" s="9" customFormat="1" x14ac:dyDescent="0.2"/>
    <row r="339" s="9" customFormat="1" x14ac:dyDescent="0.2"/>
    <row r="340" s="9" customFormat="1" x14ac:dyDescent="0.2"/>
    <row r="341" s="9" customFormat="1" x14ac:dyDescent="0.2"/>
    <row r="342" s="9" customFormat="1" x14ac:dyDescent="0.2"/>
    <row r="343" s="9" customFormat="1" x14ac:dyDescent="0.2"/>
    <row r="344" s="9" customFormat="1" x14ac:dyDescent="0.2"/>
    <row r="345" s="9" customFormat="1" x14ac:dyDescent="0.2"/>
    <row r="346" s="9" customFormat="1" x14ac:dyDescent="0.2"/>
    <row r="347" s="9" customFormat="1" x14ac:dyDescent="0.2"/>
    <row r="348" s="9" customFormat="1" x14ac:dyDescent="0.2"/>
    <row r="349" s="9" customFormat="1" x14ac:dyDescent="0.2"/>
    <row r="350" s="9" customFormat="1" x14ac:dyDescent="0.2"/>
    <row r="351" s="9" customFormat="1" x14ac:dyDescent="0.2"/>
    <row r="352" s="9" customFormat="1" x14ac:dyDescent="0.2"/>
    <row r="353" s="9" customFormat="1" x14ac:dyDescent="0.2"/>
    <row r="354" s="9" customFormat="1" x14ac:dyDescent="0.2"/>
    <row r="355" s="9" customFormat="1" x14ac:dyDescent="0.2"/>
    <row r="356" s="9" customFormat="1" x14ac:dyDescent="0.2"/>
  </sheetData>
  <sheetProtection sheet="1" objects="1" scenarios="1" selectLockedCells="1"/>
  <conditionalFormatting sqref="D11">
    <cfRule type="cellIs" dxfId="22" priority="3" stopIfTrue="1" operator="lessThan">
      <formula>$D$12</formula>
    </cfRule>
    <cfRule type="cellIs" dxfId="21" priority="4" stopIfTrue="1" operator="greaterThan">
      <formula>$D$12</formula>
    </cfRule>
  </conditionalFormatting>
  <conditionalFormatting sqref="D20">
    <cfRule type="cellIs" dxfId="20" priority="1" stopIfTrue="1" operator="greaterThan">
      <formula>$H$20</formula>
    </cfRule>
  </conditionalFormatting>
  <dataValidations xWindow="510" yWindow="377" count="6">
    <dataValidation type="decimal" allowBlank="1" showInputMessage="1" showErrorMessage="1" errorTitle="FUERA DE RANGO" error="VALORES ADMISIBLES ENTRE Ts Y 374°C" prompt="valores entre_x000a_Ts y 374°C" sqref="D11" xr:uid="{00000000-0002-0000-0100-000000000000}">
      <formula1>D12</formula1>
      <formula2>374</formula2>
    </dataValidation>
    <dataValidation type="list" allowBlank="1" showInputMessage="1" showErrorMessage="1" sqref="F18" xr:uid="{00000000-0002-0000-0100-000001000000}">
      <formula1>"No corregir de condensacion, Corregir de condensación"</formula1>
    </dataValidation>
    <dataValidation type="list" allowBlank="1" showInputMessage="1" showErrorMessage="1" sqref="F3" xr:uid="{00000000-0002-0000-0100-000002000000}">
      <formula1>material</formula1>
    </dataValidation>
    <dataValidation type="list" allowBlank="1" showInputMessage="1" showErrorMessage="1" sqref="F7" xr:uid="{00000000-0002-0000-0100-000003000000}">
      <formula1>"Aproximacion automatica, Manual"</formula1>
    </dataValidation>
    <dataValidation type="decimal" showInputMessage="1" showErrorMessage="1" errorTitle="DATO FUERA DE RANGO" error="Valores válidos entre 5 y 2000_x000a_" prompt="valores entre 5 y 2000" sqref="D5" xr:uid="{00000000-0002-0000-0100-000004000000}">
      <formula1>5</formula1>
      <formula2>2000</formula2>
    </dataValidation>
    <dataValidation type="decimal" allowBlank="1" showInputMessage="1" showErrorMessage="1" errorTitle="DATO FUERA DE RANGO" error="Valores entre 0 y 220" prompt="valores entre_x000a_0 y 220" sqref="D10" xr:uid="{00000000-0002-0000-0100-000005000000}">
      <formula1>0</formula1>
      <formula2>220</formula2>
    </dataValidation>
  </dataValidations>
  <pageMargins left="0.70866141732283472" right="0.70866141732283472" top="0.74803149606299213" bottom="0.74803149606299213" header="0.31496062992125984" footer="0.31496062992125984"/>
  <pageSetup paperSize="9" scale="31" orientation="landscape" horizontalDpi="300" verticalDpi="0" r:id="rId1"/>
  <drawing r:id="rId2"/>
  <legacyDrawing r:id="rId3"/>
  <controls>
    <mc:AlternateContent xmlns:mc="http://schemas.openxmlformats.org/markup-compatibility/2006">
      <mc:Choice Requires="x14">
        <control shapeId="3163" r:id="rId4" name="CommandButton1">
          <controlPr defaultSize="0" autoFill="0" autoLine="0" r:id="rId5">
            <anchor moveWithCells="1">
              <from>
                <xdr:col>6</xdr:col>
                <xdr:colOff>314325</xdr:colOff>
                <xdr:row>20</xdr:row>
                <xdr:rowOff>123825</xdr:rowOff>
              </from>
              <to>
                <xdr:col>7</xdr:col>
                <xdr:colOff>333375</xdr:colOff>
                <xdr:row>23</xdr:row>
                <xdr:rowOff>19050</xdr:rowOff>
              </to>
            </anchor>
          </controlPr>
        </control>
      </mc:Choice>
      <mc:Fallback>
        <control shapeId="3163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AL356"/>
  <sheetViews>
    <sheetView showGridLines="0" showRowColHeaders="0" tabSelected="1" zoomScaleNormal="100" zoomScaleSheetLayoutView="145" workbookViewId="0">
      <selection activeCell="D6" sqref="D6"/>
    </sheetView>
  </sheetViews>
  <sheetFormatPr baseColWidth="10" defaultColWidth="11.42578125" defaultRowHeight="12.75" x14ac:dyDescent="0.2"/>
  <cols>
    <col min="1" max="1" width="3.7109375" style="9" customWidth="1"/>
    <col min="2" max="2" width="35.5703125" style="10" customWidth="1"/>
    <col min="3" max="3" width="5.5703125" style="10" bestFit="1" customWidth="1"/>
    <col min="4" max="4" width="13.42578125" style="10" customWidth="1"/>
    <col min="5" max="5" width="9.42578125" style="10" bestFit="1" customWidth="1"/>
    <col min="6" max="6" width="36.85546875" style="10" bestFit="1" customWidth="1"/>
    <col min="7" max="7" width="11.5703125" style="10" bestFit="1" customWidth="1"/>
    <col min="8" max="8" width="7.85546875" style="10" bestFit="1" customWidth="1"/>
    <col min="9" max="9" width="3.7109375" style="9" customWidth="1"/>
    <col min="10" max="10" width="8.42578125" style="9" hidden="1" customWidth="1"/>
    <col min="11" max="11" width="12.28515625" style="9" hidden="1" customWidth="1"/>
    <col min="12" max="12" width="8.85546875" style="9" hidden="1" customWidth="1"/>
    <col min="13" max="13" width="8.140625" style="9" hidden="1" customWidth="1"/>
    <col min="14" max="38" width="11.42578125" style="9"/>
    <col min="39" max="16384" width="11.42578125" style="10"/>
  </cols>
  <sheetData>
    <row r="1" spans="1:38" s="4" customFormat="1" ht="27.75" customHeight="1" x14ac:dyDescent="0.25">
      <c r="A1" s="22"/>
      <c r="B1" s="45" t="s">
        <v>60</v>
      </c>
      <c r="C1" s="6"/>
      <c r="D1" s="6"/>
      <c r="E1" s="6"/>
      <c r="F1" s="6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</row>
    <row r="2" spans="1:38" s="4" customFormat="1" ht="18" x14ac:dyDescent="0.25">
      <c r="A2" s="22"/>
      <c r="B2" s="40" t="s">
        <v>55</v>
      </c>
      <c r="C2" s="76"/>
      <c r="D2" s="3"/>
      <c r="E2" s="3"/>
      <c r="F2" s="3"/>
      <c r="G2" s="23"/>
      <c r="H2" s="3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</row>
    <row r="3" spans="1:38" s="4" customFormat="1" ht="13.5" x14ac:dyDescent="0.25">
      <c r="A3" s="22"/>
      <c r="B3" s="4" t="s">
        <v>13</v>
      </c>
      <c r="C3" s="24" t="s">
        <v>0</v>
      </c>
      <c r="D3" s="25">
        <f>IF(F3="introducción manual de rugosidad &gt;&gt;",G3,VLOOKUP(F3,Hoja2!A3:C21,2,FALSE))</f>
        <v>2E-3</v>
      </c>
      <c r="F3" s="11" t="s">
        <v>216</v>
      </c>
      <c r="G3" s="11">
        <v>2E-3</v>
      </c>
      <c r="H3" s="4" t="s">
        <v>12</v>
      </c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</row>
    <row r="4" spans="1:38" s="4" customFormat="1" ht="13.5" x14ac:dyDescent="0.25">
      <c r="A4" s="22"/>
      <c r="B4" s="4" t="s">
        <v>14</v>
      </c>
      <c r="C4" s="24" t="s">
        <v>215</v>
      </c>
      <c r="D4" s="25">
        <f>D3/D5</f>
        <v>2.7137042062415198E-5</v>
      </c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</row>
    <row r="5" spans="1:38" s="4" customFormat="1" ht="13.5" x14ac:dyDescent="0.25">
      <c r="A5" s="22"/>
      <c r="B5" s="4" t="s">
        <v>15</v>
      </c>
      <c r="C5" s="4" t="s">
        <v>1</v>
      </c>
      <c r="D5" s="28">
        <v>73.7</v>
      </c>
      <c r="E5" s="4" t="s">
        <v>12</v>
      </c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</row>
    <row r="6" spans="1:38" s="4" customFormat="1" ht="13.5" x14ac:dyDescent="0.25">
      <c r="A6" s="22"/>
      <c r="B6" s="4" t="s">
        <v>68</v>
      </c>
      <c r="C6" s="4" t="s">
        <v>53</v>
      </c>
      <c r="D6" s="28">
        <v>43</v>
      </c>
      <c r="E6" s="4" t="s">
        <v>20</v>
      </c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</row>
    <row r="7" spans="1:38" s="4" customFormat="1" ht="13.5" x14ac:dyDescent="0.25">
      <c r="A7" s="22"/>
      <c r="B7" s="4" t="s">
        <v>64</v>
      </c>
      <c r="C7" s="4" t="s">
        <v>74</v>
      </c>
      <c r="D7" s="29">
        <f>IF(F7="Manual",G7,IF(D6&gt;100,D6*0.1,D6*0.2))</f>
        <v>8.6</v>
      </c>
      <c r="E7" s="25" t="s">
        <v>20</v>
      </c>
      <c r="F7" s="11" t="s">
        <v>244</v>
      </c>
      <c r="G7" s="11">
        <v>12.6</v>
      </c>
      <c r="H7" s="4" t="s">
        <v>20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</row>
    <row r="8" spans="1:38" s="4" customFormat="1" ht="13.5" x14ac:dyDescent="0.25">
      <c r="A8" s="22"/>
      <c r="B8" s="4" t="s">
        <v>65</v>
      </c>
      <c r="C8" s="4" t="s">
        <v>75</v>
      </c>
      <c r="D8" s="29">
        <f>D6+D7</f>
        <v>51.6</v>
      </c>
      <c r="E8" s="25" t="s">
        <v>20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</row>
    <row r="9" spans="1:38" s="4" customFormat="1" ht="15.75" x14ac:dyDescent="0.25">
      <c r="A9" s="22"/>
      <c r="B9" s="40" t="s">
        <v>56</v>
      </c>
      <c r="C9" s="3"/>
      <c r="D9" s="44" t="s">
        <v>61</v>
      </c>
      <c r="E9" s="3"/>
      <c r="F9" s="3"/>
      <c r="G9" s="3"/>
      <c r="H9" s="3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</row>
    <row r="10" spans="1:38" s="4" customFormat="1" ht="13.5" x14ac:dyDescent="0.25">
      <c r="A10" s="22"/>
      <c r="B10" s="4" t="s">
        <v>40</v>
      </c>
      <c r="C10" s="4" t="s">
        <v>29</v>
      </c>
      <c r="D10" s="11">
        <v>14.1</v>
      </c>
      <c r="E10" s="4" t="s">
        <v>31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</row>
    <row r="11" spans="1:38" s="4" customFormat="1" ht="13.5" x14ac:dyDescent="0.25">
      <c r="A11" s="22"/>
      <c r="B11" s="4" t="s">
        <v>28</v>
      </c>
      <c r="C11" s="4" t="s">
        <v>30</v>
      </c>
      <c r="D11" s="11">
        <v>240</v>
      </c>
      <c r="E11" s="4" t="s">
        <v>32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</row>
    <row r="12" spans="1:38" s="4" customFormat="1" ht="13.5" x14ac:dyDescent="0.25">
      <c r="A12" s="22"/>
      <c r="B12" s="4" t="s">
        <v>39</v>
      </c>
      <c r="C12" s="4" t="s">
        <v>76</v>
      </c>
      <c r="D12" s="31">
        <f>tSatW(D10+1.01325)-273.15</f>
        <v>198.6523085546728</v>
      </c>
      <c r="E12" s="25" t="s">
        <v>32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</row>
    <row r="13" spans="1:38" s="4" customFormat="1" ht="13.5" x14ac:dyDescent="0.25">
      <c r="A13" s="22"/>
      <c r="B13" s="4" t="s">
        <v>16</v>
      </c>
      <c r="C13" s="24" t="s">
        <v>81</v>
      </c>
      <c r="D13" s="32">
        <f>IF(D11&gt;D12,densW(D11+273.15,D10+1.01325),IF(D11&lt;D12,densSatLiqTW(D11+273.15),densSatVapPW(D10+1.01325)))</f>
        <v>6.7978829928680309</v>
      </c>
      <c r="E13" s="25" t="s">
        <v>18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</row>
    <row r="14" spans="1:38" s="4" customFormat="1" ht="13.5" x14ac:dyDescent="0.25">
      <c r="A14" s="22"/>
      <c r="B14" s="4" t="s">
        <v>38</v>
      </c>
      <c r="C14" s="24" t="s">
        <v>20</v>
      </c>
      <c r="D14" s="32">
        <f>IF(D11&gt;D12,viscW(D11+273.15,D10+1.01325),IF(D11&lt;D12,viscSatLiqTW(D11+273.15),viscSatVapPW(D10+1.01325)))*1000</f>
        <v>1.7508442834513409E-2</v>
      </c>
      <c r="E14" s="25" t="s">
        <v>83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</row>
    <row r="15" spans="1:38" s="4" customFormat="1" ht="13.5" x14ac:dyDescent="0.25">
      <c r="A15" s="22"/>
      <c r="B15" s="4" t="s">
        <v>37</v>
      </c>
      <c r="C15" s="24" t="s">
        <v>24</v>
      </c>
      <c r="D15" s="32">
        <f>1000*D14/D13</f>
        <v>2.5755728442049262</v>
      </c>
      <c r="E15" s="25" t="s">
        <v>25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</row>
    <row r="16" spans="1:38" s="4" customFormat="1" ht="15.75" x14ac:dyDescent="0.25">
      <c r="A16" s="22"/>
      <c r="B16" s="40" t="s">
        <v>69</v>
      </c>
      <c r="C16" s="3"/>
      <c r="D16" s="44" t="s">
        <v>62</v>
      </c>
      <c r="E16" s="3"/>
      <c r="F16" s="3"/>
      <c r="G16" s="3"/>
      <c r="H16" s="3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</row>
    <row r="17" spans="1:38" s="4" customFormat="1" ht="13.5" x14ac:dyDescent="0.25">
      <c r="A17" s="22"/>
      <c r="B17" s="4" t="s">
        <v>36</v>
      </c>
      <c r="C17" s="4" t="s">
        <v>23</v>
      </c>
      <c r="D17" s="41">
        <v>418.4</v>
      </c>
      <c r="E17" s="37" t="s">
        <v>19</v>
      </c>
      <c r="F17" s="11" t="s">
        <v>63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</row>
    <row r="18" spans="1:38" s="4" customFormat="1" ht="13.5" x14ac:dyDescent="0.25">
      <c r="A18" s="22"/>
      <c r="B18" s="4" t="s">
        <v>67</v>
      </c>
      <c r="C18" s="4" t="s">
        <v>80</v>
      </c>
      <c r="D18" s="33">
        <f>IF(F17="Corregir de condensación",D17*(1+D6/3000),D17)</f>
        <v>418.4</v>
      </c>
      <c r="E18" s="25" t="s">
        <v>19</v>
      </c>
      <c r="I18" s="22"/>
      <c r="J18" s="22" t="s">
        <v>49</v>
      </c>
      <c r="K18" s="22" t="s">
        <v>51</v>
      </c>
      <c r="L18" s="22" t="s">
        <v>50</v>
      </c>
      <c r="M18" s="22" t="s">
        <v>52</v>
      </c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</row>
    <row r="19" spans="1:38" s="4" customFormat="1" ht="13.5" x14ac:dyDescent="0.25">
      <c r="A19" s="22"/>
      <c r="B19" s="4" t="s">
        <v>33</v>
      </c>
      <c r="C19" s="4" t="s">
        <v>78</v>
      </c>
      <c r="D19" s="33">
        <f>D18*D13</f>
        <v>2844.2342442159838</v>
      </c>
      <c r="E19" s="25" t="s">
        <v>34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</row>
    <row r="20" spans="1:38" s="4" customFormat="1" ht="13.5" x14ac:dyDescent="0.25">
      <c r="A20" s="22"/>
      <c r="B20" s="4" t="s">
        <v>21</v>
      </c>
      <c r="C20" s="4" t="s">
        <v>22</v>
      </c>
      <c r="D20" s="42">
        <f>353.7*D17/D5^2</f>
        <v>27.245310391425132</v>
      </c>
      <c r="E20" s="25" t="s">
        <v>26</v>
      </c>
      <c r="F20" s="47" t="str">
        <f>IF(D24&gt;D10,"PERDIDA DE CARGA INADMISIBLE",IF(D20&gt;H20,"VELOCIDAD FUERA DE RANGO",""))</f>
        <v/>
      </c>
      <c r="H20" s="7">
        <f>IF(D11&gt;D12,60,IF(D11&lt;D12,40,50))</f>
        <v>60</v>
      </c>
      <c r="I20" s="22"/>
      <c r="J20" s="22">
        <v>20</v>
      </c>
      <c r="K20" s="22">
        <v>40</v>
      </c>
      <c r="L20" s="22">
        <v>50</v>
      </c>
      <c r="M20" s="22">
        <v>60</v>
      </c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</row>
    <row r="21" spans="1:38" s="4" customFormat="1" ht="13.5" x14ac:dyDescent="0.25">
      <c r="A21" s="22"/>
      <c r="B21" s="4" t="s">
        <v>41</v>
      </c>
      <c r="C21" s="4" t="s">
        <v>2</v>
      </c>
      <c r="D21" s="35">
        <f>10^9*4*D17/PI()/D5/D15/3600</f>
        <v>779575.1167886008</v>
      </c>
      <c r="E21" s="25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</row>
    <row r="22" spans="1:38" s="4" customFormat="1" ht="13.5" x14ac:dyDescent="0.25">
      <c r="A22" s="22"/>
      <c r="B22" s="4" t="s">
        <v>35</v>
      </c>
      <c r="C22" s="4" t="s">
        <v>79</v>
      </c>
      <c r="D22" s="32">
        <f>colebrook($D$3,$D$5,$D$21)</f>
        <v>1.2657150975643882E-2</v>
      </c>
      <c r="E22" s="25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</row>
    <row r="23" spans="1:38" s="4" customFormat="1" ht="13.5" x14ac:dyDescent="0.25">
      <c r="A23" s="22"/>
      <c r="B23" s="4" t="s">
        <v>17</v>
      </c>
      <c r="C23" s="4" t="s">
        <v>54</v>
      </c>
      <c r="D23" s="31">
        <f>10^15*8*D22*D8*D17^2/9.8/PI()^2/D5^5/3600^2</f>
        <v>335.57588087060446</v>
      </c>
      <c r="E23" s="25" t="s">
        <v>84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</row>
    <row r="24" spans="1:38" s="4" customFormat="1" ht="13.5" x14ac:dyDescent="0.25">
      <c r="A24" s="22"/>
      <c r="B24" s="4" t="s">
        <v>17</v>
      </c>
      <c r="C24" s="4" t="s">
        <v>54</v>
      </c>
      <c r="D24" s="43">
        <f>D23*9.8*D13*10^(-5)</f>
        <v>0.2235581461919251</v>
      </c>
      <c r="E24" s="25" t="s">
        <v>31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</row>
    <row r="25" spans="1:38" s="9" customFormat="1" x14ac:dyDescent="0.2"/>
    <row r="26" spans="1:38" s="9" customFormat="1" x14ac:dyDescent="0.2"/>
    <row r="27" spans="1:38" s="9" customFormat="1" x14ac:dyDescent="0.2"/>
    <row r="28" spans="1:38" s="9" customFormat="1" x14ac:dyDescent="0.2"/>
    <row r="29" spans="1:38" s="9" customFormat="1" x14ac:dyDescent="0.2"/>
    <row r="30" spans="1:38" s="9" customFormat="1" x14ac:dyDescent="0.2"/>
    <row r="31" spans="1:38" s="9" customFormat="1" x14ac:dyDescent="0.2"/>
    <row r="32" spans="1:38" s="9" customFormat="1" x14ac:dyDescent="0.2"/>
    <row r="33" s="9" customFormat="1" x14ac:dyDescent="0.2"/>
    <row r="34" s="9" customFormat="1" x14ac:dyDescent="0.2"/>
    <row r="35" s="9" customFormat="1" x14ac:dyDescent="0.2"/>
    <row r="36" s="9" customFormat="1" x14ac:dyDescent="0.2"/>
    <row r="37" s="9" customFormat="1" x14ac:dyDescent="0.2"/>
    <row r="38" s="9" customFormat="1" x14ac:dyDescent="0.2"/>
    <row r="39" s="9" customFormat="1" x14ac:dyDescent="0.2"/>
    <row r="40" s="9" customFormat="1" x14ac:dyDescent="0.2"/>
    <row r="41" s="9" customFormat="1" x14ac:dyDescent="0.2"/>
    <row r="42" s="9" customFormat="1" x14ac:dyDescent="0.2"/>
    <row r="43" s="9" customFormat="1" x14ac:dyDescent="0.2"/>
    <row r="44" s="9" customFormat="1" x14ac:dyDescent="0.2"/>
    <row r="45" s="9" customFormat="1" x14ac:dyDescent="0.2"/>
    <row r="46" s="9" customFormat="1" x14ac:dyDescent="0.2"/>
    <row r="47" s="9" customFormat="1" x14ac:dyDescent="0.2"/>
    <row r="48" s="9" customFormat="1" x14ac:dyDescent="0.2"/>
    <row r="49" s="9" customFormat="1" x14ac:dyDescent="0.2"/>
    <row r="50" s="9" customFormat="1" x14ac:dyDescent="0.2"/>
    <row r="51" s="9" customFormat="1" x14ac:dyDescent="0.2"/>
    <row r="52" s="9" customFormat="1" x14ac:dyDescent="0.2"/>
    <row r="53" s="9" customFormat="1" x14ac:dyDescent="0.2"/>
    <row r="54" s="9" customFormat="1" x14ac:dyDescent="0.2"/>
    <row r="55" s="9" customFormat="1" x14ac:dyDescent="0.2"/>
    <row r="56" s="9" customFormat="1" x14ac:dyDescent="0.2"/>
    <row r="57" s="9" customFormat="1" x14ac:dyDescent="0.2"/>
    <row r="58" s="9" customFormat="1" x14ac:dyDescent="0.2"/>
    <row r="59" s="9" customFormat="1" x14ac:dyDescent="0.2"/>
    <row r="60" s="9" customFormat="1" x14ac:dyDescent="0.2"/>
    <row r="61" s="9" customFormat="1" x14ac:dyDescent="0.2"/>
    <row r="62" s="9" customFormat="1" x14ac:dyDescent="0.2"/>
    <row r="63" s="9" customFormat="1" x14ac:dyDescent="0.2"/>
    <row r="64" s="9" customFormat="1" x14ac:dyDescent="0.2"/>
    <row r="65" s="9" customFormat="1" x14ac:dyDescent="0.2"/>
    <row r="66" s="9" customFormat="1" x14ac:dyDescent="0.2"/>
    <row r="67" s="9" customFormat="1" x14ac:dyDescent="0.2"/>
    <row r="68" s="9" customFormat="1" x14ac:dyDescent="0.2"/>
    <row r="69" s="9" customFormat="1" x14ac:dyDescent="0.2"/>
    <row r="70" s="9" customFormat="1" x14ac:dyDescent="0.2"/>
    <row r="71" s="9" customFormat="1" x14ac:dyDescent="0.2"/>
    <row r="72" s="9" customFormat="1" x14ac:dyDescent="0.2"/>
    <row r="73" s="9" customFormat="1" x14ac:dyDescent="0.2"/>
    <row r="74" s="9" customFormat="1" x14ac:dyDescent="0.2"/>
    <row r="75" s="9" customFormat="1" x14ac:dyDescent="0.2"/>
    <row r="76" s="9" customFormat="1" x14ac:dyDescent="0.2"/>
    <row r="77" s="9" customFormat="1" x14ac:dyDescent="0.2"/>
    <row r="78" s="9" customFormat="1" x14ac:dyDescent="0.2"/>
    <row r="79" s="9" customFormat="1" x14ac:dyDescent="0.2"/>
    <row r="80" s="9" customFormat="1" x14ac:dyDescent="0.2"/>
    <row r="81" s="9" customFormat="1" x14ac:dyDescent="0.2"/>
    <row r="82" s="9" customFormat="1" x14ac:dyDescent="0.2"/>
    <row r="83" s="9" customFormat="1" x14ac:dyDescent="0.2"/>
    <row r="84" s="9" customFormat="1" x14ac:dyDescent="0.2"/>
    <row r="85" s="9" customFormat="1" x14ac:dyDescent="0.2"/>
    <row r="86" s="9" customFormat="1" x14ac:dyDescent="0.2"/>
    <row r="87" s="9" customFormat="1" x14ac:dyDescent="0.2"/>
    <row r="88" s="9" customFormat="1" x14ac:dyDescent="0.2"/>
    <row r="89" s="9" customFormat="1" x14ac:dyDescent="0.2"/>
    <row r="90" s="9" customFormat="1" x14ac:dyDescent="0.2"/>
    <row r="91" s="9" customFormat="1" x14ac:dyDescent="0.2"/>
    <row r="92" s="9" customFormat="1" x14ac:dyDescent="0.2"/>
    <row r="93" s="9" customFormat="1" x14ac:dyDescent="0.2"/>
    <row r="94" s="9" customFormat="1" x14ac:dyDescent="0.2"/>
    <row r="95" s="9" customFormat="1" x14ac:dyDescent="0.2"/>
    <row r="96" s="9" customFormat="1" x14ac:dyDescent="0.2"/>
    <row r="97" s="9" customFormat="1" x14ac:dyDescent="0.2"/>
    <row r="98" s="9" customFormat="1" x14ac:dyDescent="0.2"/>
    <row r="99" s="9" customFormat="1" x14ac:dyDescent="0.2"/>
    <row r="100" s="9" customFormat="1" x14ac:dyDescent="0.2"/>
    <row r="101" s="9" customFormat="1" x14ac:dyDescent="0.2"/>
    <row r="102" s="9" customFormat="1" x14ac:dyDescent="0.2"/>
    <row r="103" s="9" customFormat="1" x14ac:dyDescent="0.2"/>
    <row r="104" s="9" customFormat="1" x14ac:dyDescent="0.2"/>
    <row r="105" s="9" customFormat="1" x14ac:dyDescent="0.2"/>
    <row r="106" s="9" customFormat="1" x14ac:dyDescent="0.2"/>
    <row r="107" s="9" customFormat="1" x14ac:dyDescent="0.2"/>
    <row r="108" s="9" customFormat="1" x14ac:dyDescent="0.2"/>
    <row r="109" s="9" customFormat="1" x14ac:dyDescent="0.2"/>
    <row r="110" s="9" customFormat="1" x14ac:dyDescent="0.2"/>
    <row r="111" s="9" customFormat="1" x14ac:dyDescent="0.2"/>
    <row r="112" s="9" customFormat="1" x14ac:dyDescent="0.2"/>
    <row r="113" s="9" customFormat="1" x14ac:dyDescent="0.2"/>
    <row r="114" s="9" customFormat="1" x14ac:dyDescent="0.2"/>
    <row r="115" s="9" customFormat="1" x14ac:dyDescent="0.2"/>
    <row r="116" s="9" customFormat="1" x14ac:dyDescent="0.2"/>
    <row r="117" s="9" customFormat="1" x14ac:dyDescent="0.2"/>
    <row r="118" s="9" customFormat="1" x14ac:dyDescent="0.2"/>
    <row r="119" s="9" customFormat="1" x14ac:dyDescent="0.2"/>
    <row r="120" s="9" customFormat="1" x14ac:dyDescent="0.2"/>
    <row r="121" s="9" customFormat="1" x14ac:dyDescent="0.2"/>
    <row r="122" s="9" customFormat="1" x14ac:dyDescent="0.2"/>
    <row r="123" s="9" customFormat="1" x14ac:dyDescent="0.2"/>
    <row r="124" s="9" customFormat="1" x14ac:dyDescent="0.2"/>
    <row r="125" s="9" customFormat="1" x14ac:dyDescent="0.2"/>
    <row r="126" s="9" customFormat="1" x14ac:dyDescent="0.2"/>
    <row r="127" s="9" customFormat="1" x14ac:dyDescent="0.2"/>
    <row r="128" s="9" customFormat="1" x14ac:dyDescent="0.2"/>
    <row r="129" s="9" customFormat="1" x14ac:dyDescent="0.2"/>
    <row r="130" s="9" customFormat="1" x14ac:dyDescent="0.2"/>
    <row r="131" s="9" customFormat="1" x14ac:dyDescent="0.2"/>
    <row r="132" s="9" customFormat="1" x14ac:dyDescent="0.2"/>
    <row r="133" s="9" customFormat="1" x14ac:dyDescent="0.2"/>
    <row r="134" s="9" customFormat="1" x14ac:dyDescent="0.2"/>
    <row r="135" s="9" customFormat="1" x14ac:dyDescent="0.2"/>
    <row r="136" s="9" customFormat="1" x14ac:dyDescent="0.2"/>
    <row r="137" s="9" customFormat="1" x14ac:dyDescent="0.2"/>
    <row r="138" s="9" customFormat="1" x14ac:dyDescent="0.2"/>
    <row r="139" s="9" customFormat="1" x14ac:dyDescent="0.2"/>
    <row r="140" s="9" customFormat="1" x14ac:dyDescent="0.2"/>
    <row r="141" s="9" customFormat="1" x14ac:dyDescent="0.2"/>
    <row r="142" s="9" customFormat="1" x14ac:dyDescent="0.2"/>
    <row r="143" s="9" customFormat="1" x14ac:dyDescent="0.2"/>
    <row r="144" s="9" customFormat="1" x14ac:dyDescent="0.2"/>
    <row r="145" s="9" customFormat="1" x14ac:dyDescent="0.2"/>
    <row r="146" s="9" customFormat="1" x14ac:dyDescent="0.2"/>
    <row r="147" s="9" customFormat="1" x14ac:dyDescent="0.2"/>
    <row r="148" s="9" customFormat="1" x14ac:dyDescent="0.2"/>
    <row r="149" s="9" customFormat="1" x14ac:dyDescent="0.2"/>
    <row r="150" s="9" customFormat="1" x14ac:dyDescent="0.2"/>
    <row r="151" s="9" customFormat="1" x14ac:dyDescent="0.2"/>
    <row r="152" s="9" customFormat="1" x14ac:dyDescent="0.2"/>
    <row r="153" s="9" customFormat="1" x14ac:dyDescent="0.2"/>
    <row r="154" s="9" customFormat="1" x14ac:dyDescent="0.2"/>
    <row r="155" s="9" customFormat="1" x14ac:dyDescent="0.2"/>
    <row r="156" s="9" customFormat="1" x14ac:dyDescent="0.2"/>
    <row r="157" s="9" customFormat="1" x14ac:dyDescent="0.2"/>
    <row r="158" s="9" customFormat="1" x14ac:dyDescent="0.2"/>
    <row r="159" s="9" customFormat="1" x14ac:dyDescent="0.2"/>
    <row r="160" s="9" customFormat="1" x14ac:dyDescent="0.2"/>
    <row r="161" s="9" customFormat="1" x14ac:dyDescent="0.2"/>
    <row r="162" s="9" customFormat="1" x14ac:dyDescent="0.2"/>
    <row r="163" s="9" customFormat="1" x14ac:dyDescent="0.2"/>
    <row r="164" s="9" customFormat="1" x14ac:dyDescent="0.2"/>
    <row r="165" s="9" customFormat="1" x14ac:dyDescent="0.2"/>
    <row r="166" s="9" customFormat="1" x14ac:dyDescent="0.2"/>
    <row r="167" s="9" customFormat="1" x14ac:dyDescent="0.2"/>
    <row r="168" s="9" customFormat="1" x14ac:dyDescent="0.2"/>
    <row r="169" s="9" customFormat="1" x14ac:dyDescent="0.2"/>
    <row r="170" s="9" customFormat="1" x14ac:dyDescent="0.2"/>
    <row r="171" s="9" customFormat="1" x14ac:dyDescent="0.2"/>
    <row r="172" s="9" customFormat="1" x14ac:dyDescent="0.2"/>
    <row r="173" s="9" customFormat="1" x14ac:dyDescent="0.2"/>
    <row r="174" s="9" customFormat="1" x14ac:dyDescent="0.2"/>
    <row r="175" s="9" customFormat="1" x14ac:dyDescent="0.2"/>
    <row r="176" s="9" customFormat="1" x14ac:dyDescent="0.2"/>
    <row r="177" s="9" customFormat="1" x14ac:dyDescent="0.2"/>
    <row r="178" s="9" customFormat="1" x14ac:dyDescent="0.2"/>
    <row r="179" s="9" customFormat="1" x14ac:dyDescent="0.2"/>
    <row r="180" s="9" customFormat="1" x14ac:dyDescent="0.2"/>
    <row r="181" s="9" customFormat="1" x14ac:dyDescent="0.2"/>
    <row r="182" s="9" customFormat="1" x14ac:dyDescent="0.2"/>
    <row r="183" s="9" customFormat="1" x14ac:dyDescent="0.2"/>
    <row r="184" s="9" customFormat="1" x14ac:dyDescent="0.2"/>
    <row r="185" s="9" customFormat="1" x14ac:dyDescent="0.2"/>
    <row r="186" s="9" customFormat="1" x14ac:dyDescent="0.2"/>
    <row r="187" s="9" customFormat="1" x14ac:dyDescent="0.2"/>
    <row r="188" s="9" customFormat="1" x14ac:dyDescent="0.2"/>
    <row r="189" s="9" customFormat="1" x14ac:dyDescent="0.2"/>
    <row r="190" s="9" customFormat="1" x14ac:dyDescent="0.2"/>
    <row r="191" s="9" customFormat="1" x14ac:dyDescent="0.2"/>
    <row r="192" s="9" customFormat="1" x14ac:dyDescent="0.2"/>
    <row r="193" s="9" customFormat="1" x14ac:dyDescent="0.2"/>
    <row r="194" s="9" customFormat="1" x14ac:dyDescent="0.2"/>
    <row r="195" s="9" customFormat="1" x14ac:dyDescent="0.2"/>
    <row r="196" s="9" customFormat="1" x14ac:dyDescent="0.2"/>
    <row r="197" s="9" customFormat="1" x14ac:dyDescent="0.2"/>
    <row r="198" s="9" customFormat="1" x14ac:dyDescent="0.2"/>
    <row r="199" s="9" customFormat="1" x14ac:dyDescent="0.2"/>
    <row r="200" s="9" customFormat="1" x14ac:dyDescent="0.2"/>
    <row r="201" s="9" customFormat="1" x14ac:dyDescent="0.2"/>
    <row r="202" s="9" customFormat="1" x14ac:dyDescent="0.2"/>
    <row r="203" s="9" customFormat="1" x14ac:dyDescent="0.2"/>
    <row r="204" s="9" customFormat="1" x14ac:dyDescent="0.2"/>
    <row r="205" s="9" customFormat="1" x14ac:dyDescent="0.2"/>
    <row r="206" s="9" customFormat="1" x14ac:dyDescent="0.2"/>
    <row r="207" s="9" customFormat="1" x14ac:dyDescent="0.2"/>
    <row r="208" s="9" customFormat="1" x14ac:dyDescent="0.2"/>
    <row r="209" s="9" customFormat="1" x14ac:dyDescent="0.2"/>
    <row r="210" s="9" customFormat="1" x14ac:dyDescent="0.2"/>
    <row r="211" s="9" customFormat="1" x14ac:dyDescent="0.2"/>
    <row r="212" s="9" customFormat="1" x14ac:dyDescent="0.2"/>
    <row r="213" s="9" customFormat="1" x14ac:dyDescent="0.2"/>
    <row r="214" s="9" customFormat="1" x14ac:dyDescent="0.2"/>
    <row r="215" s="9" customFormat="1" x14ac:dyDescent="0.2"/>
    <row r="216" s="9" customFormat="1" x14ac:dyDescent="0.2"/>
    <row r="217" s="9" customFormat="1" x14ac:dyDescent="0.2"/>
    <row r="218" s="9" customFormat="1" x14ac:dyDescent="0.2"/>
    <row r="219" s="9" customFormat="1" x14ac:dyDescent="0.2"/>
    <row r="220" s="9" customFormat="1" x14ac:dyDescent="0.2"/>
    <row r="221" s="9" customFormat="1" x14ac:dyDescent="0.2"/>
    <row r="222" s="9" customFormat="1" x14ac:dyDescent="0.2"/>
    <row r="223" s="9" customFormat="1" x14ac:dyDescent="0.2"/>
    <row r="224" s="9" customFormat="1" x14ac:dyDescent="0.2"/>
    <row r="225" s="9" customFormat="1" x14ac:dyDescent="0.2"/>
    <row r="226" s="9" customFormat="1" x14ac:dyDescent="0.2"/>
    <row r="227" s="9" customFormat="1" x14ac:dyDescent="0.2"/>
    <row r="228" s="9" customFormat="1" x14ac:dyDescent="0.2"/>
    <row r="229" s="9" customFormat="1" x14ac:dyDescent="0.2"/>
    <row r="230" s="9" customFormat="1" x14ac:dyDescent="0.2"/>
    <row r="231" s="9" customFormat="1" x14ac:dyDescent="0.2"/>
    <row r="232" s="9" customFormat="1" x14ac:dyDescent="0.2"/>
    <row r="233" s="9" customFormat="1" x14ac:dyDescent="0.2"/>
    <row r="234" s="9" customFormat="1" x14ac:dyDescent="0.2"/>
    <row r="235" s="9" customFormat="1" x14ac:dyDescent="0.2"/>
    <row r="236" s="9" customFormat="1" x14ac:dyDescent="0.2"/>
    <row r="237" s="9" customFormat="1" x14ac:dyDescent="0.2"/>
    <row r="238" s="9" customFormat="1" x14ac:dyDescent="0.2"/>
    <row r="239" s="9" customFormat="1" x14ac:dyDescent="0.2"/>
    <row r="240" s="9" customFormat="1" x14ac:dyDescent="0.2"/>
    <row r="241" s="9" customFormat="1" x14ac:dyDescent="0.2"/>
    <row r="242" s="9" customFormat="1" x14ac:dyDescent="0.2"/>
    <row r="243" s="9" customFormat="1" x14ac:dyDescent="0.2"/>
    <row r="244" s="9" customFormat="1" x14ac:dyDescent="0.2"/>
    <row r="245" s="9" customFormat="1" x14ac:dyDescent="0.2"/>
    <row r="246" s="9" customFormat="1" x14ac:dyDescent="0.2"/>
    <row r="247" s="9" customFormat="1" x14ac:dyDescent="0.2"/>
    <row r="248" s="9" customFormat="1" x14ac:dyDescent="0.2"/>
    <row r="249" s="9" customFormat="1" x14ac:dyDescent="0.2"/>
    <row r="250" s="9" customFormat="1" x14ac:dyDescent="0.2"/>
    <row r="251" s="9" customFormat="1" x14ac:dyDescent="0.2"/>
    <row r="252" s="9" customFormat="1" x14ac:dyDescent="0.2"/>
    <row r="253" s="9" customFormat="1" x14ac:dyDescent="0.2"/>
    <row r="254" s="9" customFormat="1" x14ac:dyDescent="0.2"/>
    <row r="255" s="9" customFormat="1" x14ac:dyDescent="0.2"/>
    <row r="256" s="9" customFormat="1" x14ac:dyDescent="0.2"/>
    <row r="257" s="9" customFormat="1" x14ac:dyDescent="0.2"/>
    <row r="258" s="9" customFormat="1" x14ac:dyDescent="0.2"/>
    <row r="259" s="9" customFormat="1" x14ac:dyDescent="0.2"/>
    <row r="260" s="9" customFormat="1" x14ac:dyDescent="0.2"/>
    <row r="261" s="9" customFormat="1" x14ac:dyDescent="0.2"/>
    <row r="262" s="9" customFormat="1" x14ac:dyDescent="0.2"/>
    <row r="263" s="9" customFormat="1" x14ac:dyDescent="0.2"/>
    <row r="264" s="9" customFormat="1" x14ac:dyDescent="0.2"/>
    <row r="265" s="9" customFormat="1" x14ac:dyDescent="0.2"/>
    <row r="266" s="9" customFormat="1" x14ac:dyDescent="0.2"/>
    <row r="267" s="9" customFormat="1" x14ac:dyDescent="0.2"/>
    <row r="268" s="9" customFormat="1" x14ac:dyDescent="0.2"/>
    <row r="269" s="9" customFormat="1" x14ac:dyDescent="0.2"/>
    <row r="270" s="9" customFormat="1" x14ac:dyDescent="0.2"/>
    <row r="271" s="9" customFormat="1" x14ac:dyDescent="0.2"/>
    <row r="272" s="9" customFormat="1" x14ac:dyDescent="0.2"/>
    <row r="273" s="9" customFormat="1" x14ac:dyDescent="0.2"/>
    <row r="274" s="9" customFormat="1" x14ac:dyDescent="0.2"/>
    <row r="275" s="9" customFormat="1" x14ac:dyDescent="0.2"/>
    <row r="276" s="9" customFormat="1" x14ac:dyDescent="0.2"/>
    <row r="277" s="9" customFormat="1" x14ac:dyDescent="0.2"/>
    <row r="278" s="9" customFormat="1" x14ac:dyDescent="0.2"/>
    <row r="279" s="9" customFormat="1" x14ac:dyDescent="0.2"/>
    <row r="280" s="9" customFormat="1" x14ac:dyDescent="0.2"/>
    <row r="281" s="9" customFormat="1" x14ac:dyDescent="0.2"/>
    <row r="282" s="9" customFormat="1" x14ac:dyDescent="0.2"/>
    <row r="283" s="9" customFormat="1" x14ac:dyDescent="0.2"/>
    <row r="284" s="9" customFormat="1" x14ac:dyDescent="0.2"/>
    <row r="285" s="9" customFormat="1" x14ac:dyDescent="0.2"/>
    <row r="286" s="9" customFormat="1" x14ac:dyDescent="0.2"/>
    <row r="287" s="9" customFormat="1" x14ac:dyDescent="0.2"/>
    <row r="288" s="9" customFormat="1" x14ac:dyDescent="0.2"/>
    <row r="289" s="9" customFormat="1" x14ac:dyDescent="0.2"/>
    <row r="290" s="9" customFormat="1" x14ac:dyDescent="0.2"/>
    <row r="291" s="9" customFormat="1" x14ac:dyDescent="0.2"/>
    <row r="292" s="9" customFormat="1" x14ac:dyDescent="0.2"/>
    <row r="293" s="9" customFormat="1" x14ac:dyDescent="0.2"/>
    <row r="294" s="9" customFormat="1" x14ac:dyDescent="0.2"/>
    <row r="295" s="9" customFormat="1" x14ac:dyDescent="0.2"/>
    <row r="296" s="9" customFormat="1" x14ac:dyDescent="0.2"/>
    <row r="297" s="9" customFormat="1" x14ac:dyDescent="0.2"/>
    <row r="298" s="9" customFormat="1" x14ac:dyDescent="0.2"/>
    <row r="299" s="9" customFormat="1" x14ac:dyDescent="0.2"/>
    <row r="300" s="9" customFormat="1" x14ac:dyDescent="0.2"/>
    <row r="301" s="9" customFormat="1" x14ac:dyDescent="0.2"/>
    <row r="302" s="9" customFormat="1" x14ac:dyDescent="0.2"/>
    <row r="303" s="9" customFormat="1" x14ac:dyDescent="0.2"/>
    <row r="304" s="9" customFormat="1" x14ac:dyDescent="0.2"/>
    <row r="305" s="9" customFormat="1" x14ac:dyDescent="0.2"/>
    <row r="306" s="9" customFormat="1" x14ac:dyDescent="0.2"/>
    <row r="307" s="9" customFormat="1" x14ac:dyDescent="0.2"/>
    <row r="308" s="9" customFormat="1" x14ac:dyDescent="0.2"/>
    <row r="309" s="9" customFormat="1" x14ac:dyDescent="0.2"/>
    <row r="310" s="9" customFormat="1" x14ac:dyDescent="0.2"/>
    <row r="311" s="9" customFormat="1" x14ac:dyDescent="0.2"/>
    <row r="312" s="9" customFormat="1" x14ac:dyDescent="0.2"/>
    <row r="313" s="9" customFormat="1" x14ac:dyDescent="0.2"/>
    <row r="314" s="9" customFormat="1" x14ac:dyDescent="0.2"/>
    <row r="315" s="9" customFormat="1" x14ac:dyDescent="0.2"/>
    <row r="316" s="9" customFormat="1" x14ac:dyDescent="0.2"/>
    <row r="317" s="9" customFormat="1" x14ac:dyDescent="0.2"/>
    <row r="318" s="9" customFormat="1" x14ac:dyDescent="0.2"/>
    <row r="319" s="9" customFormat="1" x14ac:dyDescent="0.2"/>
    <row r="320" s="9" customFormat="1" x14ac:dyDescent="0.2"/>
    <row r="321" s="9" customFormat="1" x14ac:dyDescent="0.2"/>
    <row r="322" s="9" customFormat="1" x14ac:dyDescent="0.2"/>
    <row r="323" s="9" customFormat="1" x14ac:dyDescent="0.2"/>
    <row r="324" s="9" customFormat="1" x14ac:dyDescent="0.2"/>
    <row r="325" s="9" customFormat="1" x14ac:dyDescent="0.2"/>
    <row r="326" s="9" customFormat="1" x14ac:dyDescent="0.2"/>
    <row r="327" s="9" customFormat="1" x14ac:dyDescent="0.2"/>
    <row r="328" s="9" customFormat="1" x14ac:dyDescent="0.2"/>
    <row r="329" s="9" customFormat="1" x14ac:dyDescent="0.2"/>
    <row r="330" s="9" customFormat="1" x14ac:dyDescent="0.2"/>
    <row r="331" s="9" customFormat="1" x14ac:dyDescent="0.2"/>
    <row r="332" s="9" customFormat="1" x14ac:dyDescent="0.2"/>
    <row r="333" s="9" customFormat="1" x14ac:dyDescent="0.2"/>
    <row r="334" s="9" customFormat="1" x14ac:dyDescent="0.2"/>
    <row r="335" s="9" customFormat="1" x14ac:dyDescent="0.2"/>
    <row r="336" s="9" customFormat="1" x14ac:dyDescent="0.2"/>
    <row r="337" s="9" customFormat="1" x14ac:dyDescent="0.2"/>
    <row r="338" s="9" customFormat="1" x14ac:dyDescent="0.2"/>
    <row r="339" s="9" customFormat="1" x14ac:dyDescent="0.2"/>
    <row r="340" s="9" customFormat="1" x14ac:dyDescent="0.2"/>
    <row r="341" s="9" customFormat="1" x14ac:dyDescent="0.2"/>
    <row r="342" s="9" customFormat="1" x14ac:dyDescent="0.2"/>
    <row r="343" s="9" customFormat="1" x14ac:dyDescent="0.2"/>
    <row r="344" s="9" customFormat="1" x14ac:dyDescent="0.2"/>
    <row r="345" s="9" customFormat="1" x14ac:dyDescent="0.2"/>
    <row r="346" s="9" customFormat="1" x14ac:dyDescent="0.2"/>
    <row r="347" s="9" customFormat="1" x14ac:dyDescent="0.2"/>
    <row r="348" s="9" customFormat="1" x14ac:dyDescent="0.2"/>
    <row r="349" s="9" customFormat="1" x14ac:dyDescent="0.2"/>
    <row r="350" s="9" customFormat="1" x14ac:dyDescent="0.2"/>
    <row r="351" s="9" customFormat="1" x14ac:dyDescent="0.2"/>
    <row r="352" s="9" customFormat="1" x14ac:dyDescent="0.2"/>
    <row r="353" s="9" customFormat="1" x14ac:dyDescent="0.2"/>
    <row r="354" s="9" customFormat="1" x14ac:dyDescent="0.2"/>
    <row r="355" s="9" customFormat="1" x14ac:dyDescent="0.2"/>
    <row r="356" s="9" customFormat="1" x14ac:dyDescent="0.2"/>
  </sheetData>
  <sheetProtection sheet="1" objects="1" scenarios="1" selectLockedCells="1"/>
  <conditionalFormatting sqref="D11">
    <cfRule type="cellIs" dxfId="19" priority="2" stopIfTrue="1" operator="lessThan">
      <formula>$D$12</formula>
    </cfRule>
    <cfRule type="cellIs" dxfId="18" priority="3" stopIfTrue="1" operator="greaterThan">
      <formula>$D$12</formula>
    </cfRule>
  </conditionalFormatting>
  <conditionalFormatting sqref="D20">
    <cfRule type="cellIs" dxfId="17" priority="1" stopIfTrue="1" operator="greaterThan">
      <formula>$H$20</formula>
    </cfRule>
  </conditionalFormatting>
  <dataValidations xWindow="685" yWindow="288" count="6">
    <dataValidation type="decimal" allowBlank="1" showInputMessage="1" showErrorMessage="1" errorTitle="FUERA DE RANGO" error="VALORES ADMISIBLES ENTRE Ts Y 374°C" prompt="valores entre_x000a_Ts y 374°C" sqref="D11" xr:uid="{00000000-0002-0000-0200-000000000000}">
      <formula1>D12</formula1>
      <formula2>374</formula2>
    </dataValidation>
    <dataValidation type="list" allowBlank="1" showInputMessage="1" showErrorMessage="1" sqref="F17" xr:uid="{00000000-0002-0000-0200-000001000000}">
      <formula1>"No corregir de condensacion, Corregir de condensación"</formula1>
    </dataValidation>
    <dataValidation type="decimal" allowBlank="1" showInputMessage="1" showErrorMessage="1" errorTitle="DATO FUERA DE RANGO" error="Valores entre 0 y 220" prompt="valores entre_x000a_0 y 220" sqref="D10" xr:uid="{00000000-0002-0000-0200-000002000000}">
      <formula1>0</formula1>
      <formula2>220</formula2>
    </dataValidation>
    <dataValidation type="decimal" showInputMessage="1" showErrorMessage="1" errorTitle="DATO FUERA DE RANGO" error="Valores válidos entre 5 y 2000_x000a_" prompt="valores entre 5 y 2000" sqref="D5" xr:uid="{00000000-0002-0000-0200-000003000000}">
      <formula1>5</formula1>
      <formula2>2000</formula2>
    </dataValidation>
    <dataValidation type="list" allowBlank="1" showInputMessage="1" showErrorMessage="1" sqref="F7" xr:uid="{00000000-0002-0000-0200-000004000000}">
      <formula1>"Aproximacion automatica, Manual"</formula1>
    </dataValidation>
    <dataValidation type="list" allowBlank="1" showInputMessage="1" showErrorMessage="1" sqref="F3" xr:uid="{00000000-0002-0000-0200-000005000000}">
      <formula1>material</formula1>
    </dataValidation>
  </dataValidations>
  <pageMargins left="0.7" right="0.7" top="0.75" bottom="0.75" header="0.3" footer="0.3"/>
  <pageSetup paperSize="9" orientation="portrait" horizontalDpi="300" verticalDpi="0" r:id="rId1"/>
  <drawing r:id="rId2"/>
  <legacyDrawing r:id="rId3"/>
  <controls>
    <mc:AlternateContent xmlns:mc="http://schemas.openxmlformats.org/markup-compatibility/2006">
      <mc:Choice Requires="x14">
        <control shapeId="4116" r:id="rId4" name="CommandButton1">
          <controlPr defaultSize="0" autoFill="0" autoLine="0" r:id="rId5">
            <anchor moveWithCells="1">
              <from>
                <xdr:col>6</xdr:col>
                <xdr:colOff>304800</xdr:colOff>
                <xdr:row>20</xdr:row>
                <xdr:rowOff>133350</xdr:rowOff>
              </from>
              <to>
                <xdr:col>7</xdr:col>
                <xdr:colOff>361950</xdr:colOff>
                <xdr:row>23</xdr:row>
                <xdr:rowOff>38100</xdr:rowOff>
              </to>
            </anchor>
          </controlPr>
        </control>
      </mc:Choice>
      <mc:Fallback>
        <control shapeId="4116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C21"/>
  <sheetViews>
    <sheetView workbookViewId="0">
      <selection activeCell="B24" sqref="B24"/>
    </sheetView>
  </sheetViews>
  <sheetFormatPr baseColWidth="10" defaultRowHeight="15" x14ac:dyDescent="0.25"/>
  <cols>
    <col min="1" max="1" width="31.85546875" bestFit="1" customWidth="1"/>
  </cols>
  <sheetData>
    <row r="1" spans="1:3" ht="20.25" customHeight="1" x14ac:dyDescent="0.4">
      <c r="B1" s="94" t="s">
        <v>0</v>
      </c>
      <c r="C1" s="94"/>
    </row>
    <row r="2" spans="1:3" ht="28.5" x14ac:dyDescent="0.4">
      <c r="B2" s="1"/>
      <c r="C2" s="1"/>
    </row>
    <row r="3" spans="1:3" x14ac:dyDescent="0.25">
      <c r="A3" t="s">
        <v>42</v>
      </c>
    </row>
    <row r="4" spans="1:3" x14ac:dyDescent="0.25">
      <c r="A4" t="s">
        <v>3</v>
      </c>
      <c r="B4">
        <v>0</v>
      </c>
    </row>
    <row r="5" spans="1:3" x14ac:dyDescent="0.25">
      <c r="A5" t="s">
        <v>44</v>
      </c>
      <c r="B5">
        <v>7.0000000000000001E-3</v>
      </c>
    </row>
    <row r="6" spans="1:3" x14ac:dyDescent="0.25">
      <c r="A6" t="s">
        <v>43</v>
      </c>
      <c r="B6">
        <v>2.5000000000000001E-2</v>
      </c>
    </row>
    <row r="7" spans="1:3" x14ac:dyDescent="0.25">
      <c r="A7" t="s">
        <v>4</v>
      </c>
      <c r="B7">
        <v>0.05</v>
      </c>
    </row>
    <row r="8" spans="1:3" x14ac:dyDescent="0.25">
      <c r="A8" t="s">
        <v>5</v>
      </c>
      <c r="B8">
        <v>0.15</v>
      </c>
      <c r="C8">
        <v>0.25</v>
      </c>
    </row>
    <row r="9" spans="1:3" x14ac:dyDescent="0.25">
      <c r="A9" t="s">
        <v>6</v>
      </c>
      <c r="B9">
        <v>1.5</v>
      </c>
      <c r="C9">
        <v>3</v>
      </c>
    </row>
    <row r="10" spans="1:3" x14ac:dyDescent="0.25">
      <c r="A10" t="s">
        <v>7</v>
      </c>
      <c r="B10">
        <v>1.4999999999999999E-2</v>
      </c>
    </row>
    <row r="11" spans="1:3" x14ac:dyDescent="0.25">
      <c r="A11" t="s">
        <v>8</v>
      </c>
      <c r="B11">
        <v>0.03</v>
      </c>
      <c r="C11">
        <v>0.1</v>
      </c>
    </row>
    <row r="12" spans="1:3" x14ac:dyDescent="0.25">
      <c r="A12" t="s">
        <v>9</v>
      </c>
      <c r="B12">
        <v>0.4</v>
      </c>
    </row>
    <row r="13" spans="1:3" x14ac:dyDescent="0.25">
      <c r="A13" t="s">
        <v>10</v>
      </c>
      <c r="B13">
        <v>2.5000000000000001E-2</v>
      </c>
      <c r="C13">
        <v>0.2</v>
      </c>
    </row>
    <row r="14" spans="1:3" x14ac:dyDescent="0.25">
      <c r="A14" t="s">
        <v>45</v>
      </c>
      <c r="B14">
        <v>0.25</v>
      </c>
    </row>
    <row r="15" spans="1:3" x14ac:dyDescent="0.25">
      <c r="A15" t="s">
        <v>46</v>
      </c>
      <c r="B15">
        <v>1</v>
      </c>
      <c r="C15">
        <v>1.5</v>
      </c>
    </row>
    <row r="16" spans="1:3" x14ac:dyDescent="0.25">
      <c r="A16" t="s">
        <v>47</v>
      </c>
      <c r="B16">
        <v>0.04</v>
      </c>
    </row>
    <row r="17" spans="1:2" x14ac:dyDescent="0.25">
      <c r="A17" t="s">
        <v>11</v>
      </c>
      <c r="B17">
        <v>2.5000000000000001E-2</v>
      </c>
    </row>
    <row r="18" spans="1:2" x14ac:dyDescent="0.25">
      <c r="A18" t="s">
        <v>48</v>
      </c>
      <c r="B18">
        <v>6.9999999999999999E-4</v>
      </c>
    </row>
    <row r="19" spans="1:2" x14ac:dyDescent="0.25">
      <c r="A19" t="s">
        <v>57</v>
      </c>
      <c r="B19">
        <v>2E-3</v>
      </c>
    </row>
    <row r="20" spans="1:2" x14ac:dyDescent="0.25">
      <c r="A20" t="s">
        <v>58</v>
      </c>
      <c r="B20">
        <v>1E-3</v>
      </c>
    </row>
    <row r="21" spans="1:2" x14ac:dyDescent="0.25">
      <c r="A21" t="s">
        <v>27</v>
      </c>
      <c r="B21">
        <v>5.0000000000000001E-3</v>
      </c>
    </row>
  </sheetData>
  <mergeCells count="1">
    <mergeCell ref="B1:C1"/>
  </mergeCell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pageSetUpPr fitToPage="1"/>
  </sheetPr>
  <dimension ref="A1:AL356"/>
  <sheetViews>
    <sheetView showGridLines="0" showRowColHeaders="0" zoomScaleNormal="100" zoomScaleSheetLayoutView="145" workbookViewId="0">
      <selection activeCell="F3" sqref="F3"/>
    </sheetView>
  </sheetViews>
  <sheetFormatPr baseColWidth="10" defaultColWidth="11.42578125" defaultRowHeight="12.75" x14ac:dyDescent="0.2"/>
  <cols>
    <col min="1" max="1" width="4.28515625" style="9" customWidth="1"/>
    <col min="2" max="2" width="37" style="10" customWidth="1"/>
    <col min="3" max="3" width="5.5703125" style="10" bestFit="1" customWidth="1"/>
    <col min="4" max="4" width="11.5703125" style="10" customWidth="1"/>
    <col min="5" max="5" width="9.42578125" style="10" bestFit="1" customWidth="1"/>
    <col min="6" max="6" width="36.85546875" style="10" bestFit="1" customWidth="1"/>
    <col min="7" max="7" width="15" style="10" bestFit="1" customWidth="1"/>
    <col min="8" max="8" width="4.7109375" style="10" bestFit="1" customWidth="1"/>
    <col min="9" max="9" width="11.42578125" style="9"/>
    <col min="10" max="10" width="8.42578125" style="9" hidden="1" customWidth="1"/>
    <col min="11" max="11" width="12.28515625" style="9" hidden="1" customWidth="1"/>
    <col min="12" max="12" width="8.85546875" style="9" hidden="1" customWidth="1"/>
    <col min="13" max="13" width="8.140625" style="9" hidden="1" customWidth="1"/>
    <col min="14" max="38" width="11.42578125" style="9"/>
    <col min="39" max="16384" width="11.42578125" style="10"/>
  </cols>
  <sheetData>
    <row r="1" spans="1:38" s="4" customFormat="1" ht="27.75" customHeight="1" x14ac:dyDescent="0.25">
      <c r="A1" s="22"/>
      <c r="B1" s="45" t="s">
        <v>86</v>
      </c>
      <c r="C1" s="6"/>
      <c r="D1" s="6"/>
      <c r="E1" s="6"/>
      <c r="F1" s="6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</row>
    <row r="2" spans="1:38" s="4" customFormat="1" ht="18" x14ac:dyDescent="0.25">
      <c r="A2" s="22"/>
      <c r="B2" s="40" t="s">
        <v>55</v>
      </c>
      <c r="C2" s="76"/>
      <c r="D2" s="3"/>
      <c r="E2" s="3"/>
      <c r="F2" s="3"/>
      <c r="G2" s="23"/>
      <c r="H2" s="3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</row>
    <row r="3" spans="1:38" s="4" customFormat="1" ht="13.5" x14ac:dyDescent="0.25">
      <c r="A3" s="22"/>
      <c r="B3" s="4" t="s">
        <v>13</v>
      </c>
      <c r="C3" s="24" t="s">
        <v>0</v>
      </c>
      <c r="D3" s="25">
        <f>IF(F3="introducción manual de rugosidad &gt;&gt;",G3,VLOOKUP(F3,Hoja2!A3:C21,2,FALSE))</f>
        <v>0.05</v>
      </c>
      <c r="E3" s="25" t="s">
        <v>12</v>
      </c>
      <c r="F3" s="11" t="s">
        <v>4</v>
      </c>
      <c r="G3" s="11">
        <v>0.02</v>
      </c>
      <c r="H3" s="4" t="s">
        <v>12</v>
      </c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</row>
    <row r="4" spans="1:38" s="4" customFormat="1" ht="13.5" x14ac:dyDescent="0.25">
      <c r="A4" s="22"/>
      <c r="B4" s="4" t="s">
        <v>14</v>
      </c>
      <c r="C4" s="24" t="s">
        <v>215</v>
      </c>
      <c r="D4" s="26">
        <f>D3/D5</f>
        <v>9.2182596636277629E-4</v>
      </c>
      <c r="E4" s="25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</row>
    <row r="5" spans="1:38" s="4" customFormat="1" ht="13.5" x14ac:dyDescent="0.25">
      <c r="A5" s="22"/>
      <c r="B5" s="4" t="s">
        <v>15</v>
      </c>
      <c r="C5" s="4" t="s">
        <v>1</v>
      </c>
      <c r="D5" s="27">
        <f>DiaTub(D17,D3,F25,D15)</f>
        <v>54.240173117799714</v>
      </c>
      <c r="E5" s="25" t="s">
        <v>12</v>
      </c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</row>
    <row r="6" spans="1:38" s="4" customFormat="1" ht="13.5" x14ac:dyDescent="0.25">
      <c r="A6" s="22"/>
      <c r="B6" s="4" t="s">
        <v>68</v>
      </c>
      <c r="C6" s="4" t="s">
        <v>53</v>
      </c>
      <c r="D6" s="28">
        <v>38</v>
      </c>
      <c r="E6" s="4" t="s">
        <v>20</v>
      </c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</row>
    <row r="7" spans="1:38" s="4" customFormat="1" ht="13.5" x14ac:dyDescent="0.25">
      <c r="A7" s="22"/>
      <c r="B7" s="4" t="s">
        <v>64</v>
      </c>
      <c r="C7" s="4" t="s">
        <v>74</v>
      </c>
      <c r="D7" s="29">
        <f>IF(F7="Manual",G7,IF(D6&gt;100,D6*0.1,D6*0.2))</f>
        <v>15</v>
      </c>
      <c r="E7" s="25" t="s">
        <v>20</v>
      </c>
      <c r="F7" s="11" t="s">
        <v>66</v>
      </c>
      <c r="G7" s="11">
        <v>15</v>
      </c>
      <c r="H7" s="4" t="s">
        <v>20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</row>
    <row r="8" spans="1:38" s="4" customFormat="1" ht="13.5" x14ac:dyDescent="0.25">
      <c r="A8" s="22"/>
      <c r="B8" s="4" t="s">
        <v>65</v>
      </c>
      <c r="C8" s="4" t="s">
        <v>75</v>
      </c>
      <c r="D8" s="29">
        <f>D6+D7</f>
        <v>53</v>
      </c>
      <c r="E8" s="25" t="s">
        <v>20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</row>
    <row r="9" spans="1:38" s="4" customFormat="1" ht="15.75" x14ac:dyDescent="0.25">
      <c r="A9" s="22"/>
      <c r="B9" s="40" t="s">
        <v>56</v>
      </c>
      <c r="C9" s="3"/>
      <c r="D9" s="44" t="s">
        <v>61</v>
      </c>
      <c r="E9" s="3"/>
      <c r="F9" s="3"/>
      <c r="G9" s="3"/>
      <c r="H9" s="3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</row>
    <row r="10" spans="1:38" s="4" customFormat="1" ht="13.5" x14ac:dyDescent="0.25">
      <c r="A10" s="22"/>
      <c r="B10" s="4" t="s">
        <v>103</v>
      </c>
      <c r="C10" s="4" t="s">
        <v>29</v>
      </c>
      <c r="D10" s="11">
        <v>12</v>
      </c>
      <c r="E10" s="4" t="s">
        <v>31</v>
      </c>
      <c r="F10" s="30">
        <f>(2*D10-D24)/2</f>
        <v>11.75</v>
      </c>
      <c r="G10" s="25" t="s">
        <v>31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</row>
    <row r="11" spans="1:38" s="4" customFormat="1" ht="13.5" x14ac:dyDescent="0.25">
      <c r="A11" s="22"/>
      <c r="B11" s="4" t="s">
        <v>104</v>
      </c>
      <c r="C11" s="4" t="s">
        <v>30</v>
      </c>
      <c r="D11" s="11">
        <v>240</v>
      </c>
      <c r="E11" s="4" t="s">
        <v>32</v>
      </c>
      <c r="F11" s="8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</row>
    <row r="12" spans="1:38" s="4" customFormat="1" ht="13.5" x14ac:dyDescent="0.25">
      <c r="A12" s="22"/>
      <c r="B12" s="4" t="s">
        <v>105</v>
      </c>
      <c r="C12" s="4" t="s">
        <v>76</v>
      </c>
      <c r="D12" s="31">
        <f>tSatW(F10+1.01325)-273.15</f>
        <v>190.7694780175994</v>
      </c>
      <c r="E12" s="25" t="s">
        <v>32</v>
      </c>
      <c r="F12" s="8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</row>
    <row r="13" spans="1:38" s="4" customFormat="1" ht="13.5" x14ac:dyDescent="0.25">
      <c r="A13" s="22"/>
      <c r="B13" s="4" t="s">
        <v>106</v>
      </c>
      <c r="C13" s="24" t="s">
        <v>81</v>
      </c>
      <c r="D13" s="32">
        <f>IF(D11&gt;D12,densW(D11+273.15,F10+1.01325),IF(D11&lt;D12,densSatLiqTW(D11+273.15),densSatVapPW(F10+1.01325)))</f>
        <v>5.6783745022575891</v>
      </c>
      <c r="E13" s="25" t="s">
        <v>18</v>
      </c>
      <c r="F13" s="8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</row>
    <row r="14" spans="1:38" s="4" customFormat="1" ht="13.5" x14ac:dyDescent="0.25">
      <c r="A14" s="22"/>
      <c r="B14" s="4" t="s">
        <v>107</v>
      </c>
      <c r="C14" s="24" t="s">
        <v>20</v>
      </c>
      <c r="D14" s="32">
        <f>IF(D11&gt;D12,viscW(D11+273.15,F10+1.01325),IF(D11&lt;D12,viscSatLiqTW(D11+273.15),viscSatVapPW(F10+1.01325)))*1000</f>
        <v>1.7557947978987659E-2</v>
      </c>
      <c r="E14" s="25" t="s">
        <v>83</v>
      </c>
      <c r="F14" s="8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</row>
    <row r="15" spans="1:38" s="4" customFormat="1" ht="13.5" x14ac:dyDescent="0.25">
      <c r="A15" s="22"/>
      <c r="B15" s="4" t="s">
        <v>108</v>
      </c>
      <c r="C15" s="24" t="s">
        <v>24</v>
      </c>
      <c r="D15" s="32">
        <f>1000*D14/D13</f>
        <v>3.0920729113599377</v>
      </c>
      <c r="E15" s="25" t="s">
        <v>25</v>
      </c>
      <c r="F15" s="8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</row>
    <row r="16" spans="1:38" s="4" customFormat="1" ht="15.75" x14ac:dyDescent="0.25">
      <c r="A16" s="22"/>
      <c r="B16" s="40" t="s">
        <v>69</v>
      </c>
      <c r="C16" s="3"/>
      <c r="D16" s="44" t="s">
        <v>62</v>
      </c>
      <c r="E16" s="3"/>
      <c r="F16" s="3"/>
      <c r="G16" s="3"/>
      <c r="H16" s="3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</row>
    <row r="17" spans="1:38" s="4" customFormat="1" ht="13.5" x14ac:dyDescent="0.25">
      <c r="A17" s="22"/>
      <c r="B17" s="4" t="s">
        <v>36</v>
      </c>
      <c r="C17" s="4" t="s">
        <v>23</v>
      </c>
      <c r="D17" s="33">
        <f>D19/D13</f>
        <v>254.47423367822987</v>
      </c>
      <c r="E17" s="25" t="s">
        <v>19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</row>
    <row r="18" spans="1:38" s="4" customFormat="1" ht="13.5" x14ac:dyDescent="0.25">
      <c r="A18" s="22"/>
      <c r="B18" s="4" t="s">
        <v>33</v>
      </c>
      <c r="C18" s="4" t="s">
        <v>77</v>
      </c>
      <c r="D18" s="34">
        <v>1445</v>
      </c>
      <c r="E18" s="4" t="s">
        <v>34</v>
      </c>
      <c r="F18" s="11" t="s">
        <v>63</v>
      </c>
      <c r="I18" s="22"/>
      <c r="J18" s="22" t="s">
        <v>49</v>
      </c>
      <c r="K18" s="22" t="s">
        <v>51</v>
      </c>
      <c r="L18" s="22" t="s">
        <v>50</v>
      </c>
      <c r="M18" s="22" t="s">
        <v>52</v>
      </c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</row>
    <row r="19" spans="1:38" s="4" customFormat="1" ht="13.5" x14ac:dyDescent="0.25">
      <c r="A19" s="22"/>
      <c r="B19" s="4" t="s">
        <v>59</v>
      </c>
      <c r="C19" s="4" t="s">
        <v>78</v>
      </c>
      <c r="D19" s="33">
        <f>IF(F18="Corregir de condensación",D18*(1+D8/3000),D18)</f>
        <v>1445</v>
      </c>
      <c r="E19" s="25" t="s">
        <v>34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</row>
    <row r="20" spans="1:38" s="4" customFormat="1" ht="13.5" x14ac:dyDescent="0.25">
      <c r="A20" s="22"/>
      <c r="B20" s="4" t="s">
        <v>21</v>
      </c>
      <c r="C20" s="4" t="s">
        <v>22</v>
      </c>
      <c r="D20" s="31">
        <f>353.7*D17/D5^2</f>
        <v>30.594033720943326</v>
      </c>
      <c r="E20" s="25" t="s">
        <v>26</v>
      </c>
      <c r="F20" s="47" t="str">
        <f>IF(D24&gt;D10,"PERDIDA DE CARGA INADMISIBLE",IF(D20&gt;H20,"VELOCIDAD FUERA DE RANGO",""))</f>
        <v/>
      </c>
      <c r="H20" s="7">
        <f>IF(D11&gt;D12,60,IF(D11&lt;D12,40,50))</f>
        <v>60</v>
      </c>
      <c r="I20" s="22"/>
      <c r="J20" s="22">
        <v>20</v>
      </c>
      <c r="K20" s="22">
        <v>40</v>
      </c>
      <c r="L20" s="22">
        <v>50</v>
      </c>
      <c r="M20" s="22">
        <v>60</v>
      </c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</row>
    <row r="21" spans="1:38" s="4" customFormat="1" ht="13.5" x14ac:dyDescent="0.25">
      <c r="A21" s="22"/>
      <c r="B21" s="4" t="s">
        <v>41</v>
      </c>
      <c r="C21" s="4" t="s">
        <v>2</v>
      </c>
      <c r="D21" s="35">
        <f>10^9*4*D17/PI()/D5/D15/3600</f>
        <v>536637.03329345817</v>
      </c>
      <c r="E21" s="25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</row>
    <row r="22" spans="1:38" s="4" customFormat="1" ht="13.5" x14ac:dyDescent="0.25">
      <c r="A22" s="22"/>
      <c r="B22" s="4" t="s">
        <v>35</v>
      </c>
      <c r="C22" s="4" t="s">
        <v>79</v>
      </c>
      <c r="D22" s="32">
        <f>colebrook($D$3,$D$5,$D$21)</f>
        <v>1.9845923035016644E-2</v>
      </c>
      <c r="E22" s="25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</row>
    <row r="23" spans="1:38" s="4" customFormat="1" ht="13.5" x14ac:dyDescent="0.25">
      <c r="A23" s="22"/>
      <c r="B23" s="4" t="s">
        <v>82</v>
      </c>
      <c r="C23" s="4" t="s">
        <v>54</v>
      </c>
      <c r="D23" s="31">
        <f>D24*10^5/D13/9.8</f>
        <v>898.50375566072262</v>
      </c>
      <c r="E23" s="25" t="s">
        <v>84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</row>
    <row r="24" spans="1:38" s="4" customFormat="1" ht="13.5" x14ac:dyDescent="0.25">
      <c r="A24" s="22"/>
      <c r="B24" s="4" t="s">
        <v>82</v>
      </c>
      <c r="C24" s="4" t="s">
        <v>54</v>
      </c>
      <c r="D24" s="36">
        <v>0.5</v>
      </c>
      <c r="E24" s="37" t="s">
        <v>31</v>
      </c>
      <c r="F24" s="38">
        <f>D10-D24</f>
        <v>11.5</v>
      </c>
      <c r="G24" s="25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</row>
    <row r="25" spans="1:38" s="9" customFormat="1" ht="13.5" x14ac:dyDescent="0.25">
      <c r="F25" s="39">
        <f>12960000*$D$23*PI()^2*9.8/8/$D$8/$D$17^2</f>
        <v>41020.148888188087</v>
      </c>
    </row>
    <row r="26" spans="1:38" s="9" customFormat="1" x14ac:dyDescent="0.2"/>
    <row r="27" spans="1:38" s="9" customFormat="1" x14ac:dyDescent="0.2"/>
    <row r="28" spans="1:38" s="9" customFormat="1" x14ac:dyDescent="0.2"/>
    <row r="29" spans="1:38" s="9" customFormat="1" x14ac:dyDescent="0.2"/>
    <row r="30" spans="1:38" s="9" customFormat="1" x14ac:dyDescent="0.2"/>
    <row r="31" spans="1:38" s="9" customFormat="1" x14ac:dyDescent="0.2"/>
    <row r="32" spans="1:38" s="9" customFormat="1" x14ac:dyDescent="0.2"/>
    <row r="33" s="9" customFormat="1" x14ac:dyDescent="0.2"/>
    <row r="34" s="9" customFormat="1" x14ac:dyDescent="0.2"/>
    <row r="35" s="9" customFormat="1" x14ac:dyDescent="0.2"/>
    <row r="36" s="9" customFormat="1" x14ac:dyDescent="0.2"/>
    <row r="37" s="9" customFormat="1" x14ac:dyDescent="0.2"/>
    <row r="38" s="9" customFormat="1" x14ac:dyDescent="0.2"/>
    <row r="39" s="9" customFormat="1" x14ac:dyDescent="0.2"/>
    <row r="40" s="9" customFormat="1" x14ac:dyDescent="0.2"/>
    <row r="41" s="9" customFormat="1" x14ac:dyDescent="0.2"/>
    <row r="42" s="9" customFormat="1" x14ac:dyDescent="0.2"/>
    <row r="43" s="9" customFormat="1" x14ac:dyDescent="0.2"/>
    <row r="44" s="9" customFormat="1" x14ac:dyDescent="0.2"/>
    <row r="45" s="9" customFormat="1" x14ac:dyDescent="0.2"/>
    <row r="46" s="9" customFormat="1" x14ac:dyDescent="0.2"/>
    <row r="47" s="9" customFormat="1" x14ac:dyDescent="0.2"/>
    <row r="48" s="9" customFormat="1" x14ac:dyDescent="0.2"/>
    <row r="49" s="9" customFormat="1" x14ac:dyDescent="0.2"/>
    <row r="50" s="9" customFormat="1" x14ac:dyDescent="0.2"/>
    <row r="51" s="9" customFormat="1" x14ac:dyDescent="0.2"/>
    <row r="52" s="9" customFormat="1" x14ac:dyDescent="0.2"/>
    <row r="53" s="9" customFormat="1" x14ac:dyDescent="0.2"/>
    <row r="54" s="9" customFormat="1" x14ac:dyDescent="0.2"/>
    <row r="55" s="9" customFormat="1" x14ac:dyDescent="0.2"/>
    <row r="56" s="9" customFormat="1" x14ac:dyDescent="0.2"/>
    <row r="57" s="9" customFormat="1" x14ac:dyDescent="0.2"/>
    <row r="58" s="9" customFormat="1" x14ac:dyDescent="0.2"/>
    <row r="59" s="9" customFormat="1" x14ac:dyDescent="0.2"/>
    <row r="60" s="9" customFormat="1" x14ac:dyDescent="0.2"/>
    <row r="61" s="9" customFormat="1" x14ac:dyDescent="0.2"/>
    <row r="62" s="9" customFormat="1" x14ac:dyDescent="0.2"/>
    <row r="63" s="9" customFormat="1" x14ac:dyDescent="0.2"/>
    <row r="64" s="9" customFormat="1" x14ac:dyDescent="0.2"/>
    <row r="65" s="9" customFormat="1" x14ac:dyDescent="0.2"/>
    <row r="66" s="9" customFormat="1" x14ac:dyDescent="0.2"/>
    <row r="67" s="9" customFormat="1" x14ac:dyDescent="0.2"/>
    <row r="68" s="9" customFormat="1" x14ac:dyDescent="0.2"/>
    <row r="69" s="9" customFormat="1" x14ac:dyDescent="0.2"/>
    <row r="70" s="9" customFormat="1" x14ac:dyDescent="0.2"/>
    <row r="71" s="9" customFormat="1" x14ac:dyDescent="0.2"/>
    <row r="72" s="9" customFormat="1" x14ac:dyDescent="0.2"/>
    <row r="73" s="9" customFormat="1" x14ac:dyDescent="0.2"/>
    <row r="74" s="9" customFormat="1" x14ac:dyDescent="0.2"/>
    <row r="75" s="9" customFormat="1" x14ac:dyDescent="0.2"/>
    <row r="76" s="9" customFormat="1" x14ac:dyDescent="0.2"/>
    <row r="77" s="9" customFormat="1" x14ac:dyDescent="0.2"/>
    <row r="78" s="9" customFormat="1" x14ac:dyDescent="0.2"/>
    <row r="79" s="9" customFormat="1" x14ac:dyDescent="0.2"/>
    <row r="80" s="9" customFormat="1" x14ac:dyDescent="0.2"/>
    <row r="81" s="9" customFormat="1" x14ac:dyDescent="0.2"/>
    <row r="82" s="9" customFormat="1" x14ac:dyDescent="0.2"/>
    <row r="83" s="9" customFormat="1" x14ac:dyDescent="0.2"/>
    <row r="84" s="9" customFormat="1" x14ac:dyDescent="0.2"/>
    <row r="85" s="9" customFormat="1" x14ac:dyDescent="0.2"/>
    <row r="86" s="9" customFormat="1" x14ac:dyDescent="0.2"/>
    <row r="87" s="9" customFormat="1" x14ac:dyDescent="0.2"/>
    <row r="88" s="9" customFormat="1" x14ac:dyDescent="0.2"/>
    <row r="89" s="9" customFormat="1" x14ac:dyDescent="0.2"/>
    <row r="90" s="9" customFormat="1" x14ac:dyDescent="0.2"/>
    <row r="91" s="9" customFormat="1" x14ac:dyDescent="0.2"/>
    <row r="92" s="9" customFormat="1" x14ac:dyDescent="0.2"/>
    <row r="93" s="9" customFormat="1" x14ac:dyDescent="0.2"/>
    <row r="94" s="9" customFormat="1" x14ac:dyDescent="0.2"/>
    <row r="95" s="9" customFormat="1" x14ac:dyDescent="0.2"/>
    <row r="96" s="9" customFormat="1" x14ac:dyDescent="0.2"/>
    <row r="97" s="9" customFormat="1" x14ac:dyDescent="0.2"/>
    <row r="98" s="9" customFormat="1" x14ac:dyDescent="0.2"/>
    <row r="99" s="9" customFormat="1" x14ac:dyDescent="0.2"/>
    <row r="100" s="9" customFormat="1" x14ac:dyDescent="0.2"/>
    <row r="101" s="9" customFormat="1" x14ac:dyDescent="0.2"/>
    <row r="102" s="9" customFormat="1" x14ac:dyDescent="0.2"/>
    <row r="103" s="9" customFormat="1" x14ac:dyDescent="0.2"/>
    <row r="104" s="9" customFormat="1" x14ac:dyDescent="0.2"/>
    <row r="105" s="9" customFormat="1" x14ac:dyDescent="0.2"/>
    <row r="106" s="9" customFormat="1" x14ac:dyDescent="0.2"/>
    <row r="107" s="9" customFormat="1" x14ac:dyDescent="0.2"/>
    <row r="108" s="9" customFormat="1" x14ac:dyDescent="0.2"/>
    <row r="109" s="9" customFormat="1" x14ac:dyDescent="0.2"/>
    <row r="110" s="9" customFormat="1" x14ac:dyDescent="0.2"/>
    <row r="111" s="9" customFormat="1" x14ac:dyDescent="0.2"/>
    <row r="112" s="9" customFormat="1" x14ac:dyDescent="0.2"/>
    <row r="113" s="9" customFormat="1" x14ac:dyDescent="0.2"/>
    <row r="114" s="9" customFormat="1" x14ac:dyDescent="0.2"/>
    <row r="115" s="9" customFormat="1" x14ac:dyDescent="0.2"/>
    <row r="116" s="9" customFormat="1" x14ac:dyDescent="0.2"/>
    <row r="117" s="9" customFormat="1" x14ac:dyDescent="0.2"/>
    <row r="118" s="9" customFormat="1" x14ac:dyDescent="0.2"/>
    <row r="119" s="9" customFormat="1" x14ac:dyDescent="0.2"/>
    <row r="120" s="9" customFormat="1" x14ac:dyDescent="0.2"/>
    <row r="121" s="9" customFormat="1" x14ac:dyDescent="0.2"/>
    <row r="122" s="9" customFormat="1" x14ac:dyDescent="0.2"/>
    <row r="123" s="9" customFormat="1" x14ac:dyDescent="0.2"/>
    <row r="124" s="9" customFormat="1" x14ac:dyDescent="0.2"/>
    <row r="125" s="9" customFormat="1" x14ac:dyDescent="0.2"/>
    <row r="126" s="9" customFormat="1" x14ac:dyDescent="0.2"/>
    <row r="127" s="9" customFormat="1" x14ac:dyDescent="0.2"/>
    <row r="128" s="9" customFormat="1" x14ac:dyDescent="0.2"/>
    <row r="129" s="9" customFormat="1" x14ac:dyDescent="0.2"/>
    <row r="130" s="9" customFormat="1" x14ac:dyDescent="0.2"/>
    <row r="131" s="9" customFormat="1" x14ac:dyDescent="0.2"/>
    <row r="132" s="9" customFormat="1" x14ac:dyDescent="0.2"/>
    <row r="133" s="9" customFormat="1" x14ac:dyDescent="0.2"/>
    <row r="134" s="9" customFormat="1" x14ac:dyDescent="0.2"/>
    <row r="135" s="9" customFormat="1" x14ac:dyDescent="0.2"/>
    <row r="136" s="9" customFormat="1" x14ac:dyDescent="0.2"/>
    <row r="137" s="9" customFormat="1" x14ac:dyDescent="0.2"/>
    <row r="138" s="9" customFormat="1" x14ac:dyDescent="0.2"/>
    <row r="139" s="9" customFormat="1" x14ac:dyDescent="0.2"/>
    <row r="140" s="9" customFormat="1" x14ac:dyDescent="0.2"/>
    <row r="141" s="9" customFormat="1" x14ac:dyDescent="0.2"/>
    <row r="142" s="9" customFormat="1" x14ac:dyDescent="0.2"/>
    <row r="143" s="9" customFormat="1" x14ac:dyDescent="0.2"/>
    <row r="144" s="9" customFormat="1" x14ac:dyDescent="0.2"/>
    <row r="145" s="9" customFormat="1" x14ac:dyDescent="0.2"/>
    <row r="146" s="9" customFormat="1" x14ac:dyDescent="0.2"/>
    <row r="147" s="9" customFormat="1" x14ac:dyDescent="0.2"/>
    <row r="148" s="9" customFormat="1" x14ac:dyDescent="0.2"/>
    <row r="149" s="9" customFormat="1" x14ac:dyDescent="0.2"/>
    <row r="150" s="9" customFormat="1" x14ac:dyDescent="0.2"/>
    <row r="151" s="9" customFormat="1" x14ac:dyDescent="0.2"/>
    <row r="152" s="9" customFormat="1" x14ac:dyDescent="0.2"/>
    <row r="153" s="9" customFormat="1" x14ac:dyDescent="0.2"/>
    <row r="154" s="9" customFormat="1" x14ac:dyDescent="0.2"/>
    <row r="155" s="9" customFormat="1" x14ac:dyDescent="0.2"/>
    <row r="156" s="9" customFormat="1" x14ac:dyDescent="0.2"/>
    <row r="157" s="9" customFormat="1" x14ac:dyDescent="0.2"/>
    <row r="158" s="9" customFormat="1" x14ac:dyDescent="0.2"/>
    <row r="159" s="9" customFormat="1" x14ac:dyDescent="0.2"/>
    <row r="160" s="9" customFormat="1" x14ac:dyDescent="0.2"/>
    <row r="161" s="9" customFormat="1" x14ac:dyDescent="0.2"/>
    <row r="162" s="9" customFormat="1" x14ac:dyDescent="0.2"/>
    <row r="163" s="9" customFormat="1" x14ac:dyDescent="0.2"/>
    <row r="164" s="9" customFormat="1" x14ac:dyDescent="0.2"/>
    <row r="165" s="9" customFormat="1" x14ac:dyDescent="0.2"/>
    <row r="166" s="9" customFormat="1" x14ac:dyDescent="0.2"/>
    <row r="167" s="9" customFormat="1" x14ac:dyDescent="0.2"/>
    <row r="168" s="9" customFormat="1" x14ac:dyDescent="0.2"/>
    <row r="169" s="9" customFormat="1" x14ac:dyDescent="0.2"/>
    <row r="170" s="9" customFormat="1" x14ac:dyDescent="0.2"/>
    <row r="171" s="9" customFormat="1" x14ac:dyDescent="0.2"/>
    <row r="172" s="9" customFormat="1" x14ac:dyDescent="0.2"/>
    <row r="173" s="9" customFormat="1" x14ac:dyDescent="0.2"/>
    <row r="174" s="9" customFormat="1" x14ac:dyDescent="0.2"/>
    <row r="175" s="9" customFormat="1" x14ac:dyDescent="0.2"/>
    <row r="176" s="9" customFormat="1" x14ac:dyDescent="0.2"/>
    <row r="177" s="9" customFormat="1" x14ac:dyDescent="0.2"/>
    <row r="178" s="9" customFormat="1" x14ac:dyDescent="0.2"/>
    <row r="179" s="9" customFormat="1" x14ac:dyDescent="0.2"/>
    <row r="180" s="9" customFormat="1" x14ac:dyDescent="0.2"/>
    <row r="181" s="9" customFormat="1" x14ac:dyDescent="0.2"/>
    <row r="182" s="9" customFormat="1" x14ac:dyDescent="0.2"/>
    <row r="183" s="9" customFormat="1" x14ac:dyDescent="0.2"/>
    <row r="184" s="9" customFormat="1" x14ac:dyDescent="0.2"/>
    <row r="185" s="9" customFormat="1" x14ac:dyDescent="0.2"/>
    <row r="186" s="9" customFormat="1" x14ac:dyDescent="0.2"/>
    <row r="187" s="9" customFormat="1" x14ac:dyDescent="0.2"/>
    <row r="188" s="9" customFormat="1" x14ac:dyDescent="0.2"/>
    <row r="189" s="9" customFormat="1" x14ac:dyDescent="0.2"/>
    <row r="190" s="9" customFormat="1" x14ac:dyDescent="0.2"/>
    <row r="191" s="9" customFormat="1" x14ac:dyDescent="0.2"/>
    <row r="192" s="9" customFormat="1" x14ac:dyDescent="0.2"/>
    <row r="193" s="9" customFormat="1" x14ac:dyDescent="0.2"/>
    <row r="194" s="9" customFormat="1" x14ac:dyDescent="0.2"/>
    <row r="195" s="9" customFormat="1" x14ac:dyDescent="0.2"/>
    <row r="196" s="9" customFormat="1" x14ac:dyDescent="0.2"/>
    <row r="197" s="9" customFormat="1" x14ac:dyDescent="0.2"/>
    <row r="198" s="9" customFormat="1" x14ac:dyDescent="0.2"/>
    <row r="199" s="9" customFormat="1" x14ac:dyDescent="0.2"/>
    <row r="200" s="9" customFormat="1" x14ac:dyDescent="0.2"/>
    <row r="201" s="9" customFormat="1" x14ac:dyDescent="0.2"/>
    <row r="202" s="9" customFormat="1" x14ac:dyDescent="0.2"/>
    <row r="203" s="9" customFormat="1" x14ac:dyDescent="0.2"/>
    <row r="204" s="9" customFormat="1" x14ac:dyDescent="0.2"/>
    <row r="205" s="9" customFormat="1" x14ac:dyDescent="0.2"/>
    <row r="206" s="9" customFormat="1" x14ac:dyDescent="0.2"/>
    <row r="207" s="9" customFormat="1" x14ac:dyDescent="0.2"/>
    <row r="208" s="9" customFormat="1" x14ac:dyDescent="0.2"/>
    <row r="209" s="9" customFormat="1" x14ac:dyDescent="0.2"/>
    <row r="210" s="9" customFormat="1" x14ac:dyDescent="0.2"/>
    <row r="211" s="9" customFormat="1" x14ac:dyDescent="0.2"/>
    <row r="212" s="9" customFormat="1" x14ac:dyDescent="0.2"/>
    <row r="213" s="9" customFormat="1" x14ac:dyDescent="0.2"/>
    <row r="214" s="9" customFormat="1" x14ac:dyDescent="0.2"/>
    <row r="215" s="9" customFormat="1" x14ac:dyDescent="0.2"/>
    <row r="216" s="9" customFormat="1" x14ac:dyDescent="0.2"/>
    <row r="217" s="9" customFormat="1" x14ac:dyDescent="0.2"/>
    <row r="218" s="9" customFormat="1" x14ac:dyDescent="0.2"/>
    <row r="219" s="9" customFormat="1" x14ac:dyDescent="0.2"/>
    <row r="220" s="9" customFormat="1" x14ac:dyDescent="0.2"/>
    <row r="221" s="9" customFormat="1" x14ac:dyDescent="0.2"/>
    <row r="222" s="9" customFormat="1" x14ac:dyDescent="0.2"/>
    <row r="223" s="9" customFormat="1" x14ac:dyDescent="0.2"/>
    <row r="224" s="9" customFormat="1" x14ac:dyDescent="0.2"/>
    <row r="225" s="9" customFormat="1" x14ac:dyDescent="0.2"/>
    <row r="226" s="9" customFormat="1" x14ac:dyDescent="0.2"/>
    <row r="227" s="9" customFormat="1" x14ac:dyDescent="0.2"/>
    <row r="228" s="9" customFormat="1" x14ac:dyDescent="0.2"/>
    <row r="229" s="9" customFormat="1" x14ac:dyDescent="0.2"/>
    <row r="230" s="9" customFormat="1" x14ac:dyDescent="0.2"/>
    <row r="231" s="9" customFormat="1" x14ac:dyDescent="0.2"/>
    <row r="232" s="9" customFormat="1" x14ac:dyDescent="0.2"/>
    <row r="233" s="9" customFormat="1" x14ac:dyDescent="0.2"/>
    <row r="234" s="9" customFormat="1" x14ac:dyDescent="0.2"/>
    <row r="235" s="9" customFormat="1" x14ac:dyDescent="0.2"/>
    <row r="236" s="9" customFormat="1" x14ac:dyDescent="0.2"/>
    <row r="237" s="9" customFormat="1" x14ac:dyDescent="0.2"/>
    <row r="238" s="9" customFormat="1" x14ac:dyDescent="0.2"/>
    <row r="239" s="9" customFormat="1" x14ac:dyDescent="0.2"/>
    <row r="240" s="9" customFormat="1" x14ac:dyDescent="0.2"/>
    <row r="241" s="9" customFormat="1" x14ac:dyDescent="0.2"/>
    <row r="242" s="9" customFormat="1" x14ac:dyDescent="0.2"/>
    <row r="243" s="9" customFormat="1" x14ac:dyDescent="0.2"/>
    <row r="244" s="9" customFormat="1" x14ac:dyDescent="0.2"/>
    <row r="245" s="9" customFormat="1" x14ac:dyDescent="0.2"/>
    <row r="246" s="9" customFormat="1" x14ac:dyDescent="0.2"/>
    <row r="247" s="9" customFormat="1" x14ac:dyDescent="0.2"/>
    <row r="248" s="9" customFormat="1" x14ac:dyDescent="0.2"/>
    <row r="249" s="9" customFormat="1" x14ac:dyDescent="0.2"/>
    <row r="250" s="9" customFormat="1" x14ac:dyDescent="0.2"/>
    <row r="251" s="9" customFormat="1" x14ac:dyDescent="0.2"/>
    <row r="252" s="9" customFormat="1" x14ac:dyDescent="0.2"/>
    <row r="253" s="9" customFormat="1" x14ac:dyDescent="0.2"/>
    <row r="254" s="9" customFormat="1" x14ac:dyDescent="0.2"/>
    <row r="255" s="9" customFormat="1" x14ac:dyDescent="0.2"/>
    <row r="256" s="9" customFormat="1" x14ac:dyDescent="0.2"/>
    <row r="257" s="9" customFormat="1" x14ac:dyDescent="0.2"/>
    <row r="258" s="9" customFormat="1" x14ac:dyDescent="0.2"/>
    <row r="259" s="9" customFormat="1" x14ac:dyDescent="0.2"/>
    <row r="260" s="9" customFormat="1" x14ac:dyDescent="0.2"/>
    <row r="261" s="9" customFormat="1" x14ac:dyDescent="0.2"/>
    <row r="262" s="9" customFormat="1" x14ac:dyDescent="0.2"/>
    <row r="263" s="9" customFormat="1" x14ac:dyDescent="0.2"/>
    <row r="264" s="9" customFormat="1" x14ac:dyDescent="0.2"/>
    <row r="265" s="9" customFormat="1" x14ac:dyDescent="0.2"/>
    <row r="266" s="9" customFormat="1" x14ac:dyDescent="0.2"/>
    <row r="267" s="9" customFormat="1" x14ac:dyDescent="0.2"/>
    <row r="268" s="9" customFormat="1" x14ac:dyDescent="0.2"/>
    <row r="269" s="9" customFormat="1" x14ac:dyDescent="0.2"/>
    <row r="270" s="9" customFormat="1" x14ac:dyDescent="0.2"/>
    <row r="271" s="9" customFormat="1" x14ac:dyDescent="0.2"/>
    <row r="272" s="9" customFormat="1" x14ac:dyDescent="0.2"/>
    <row r="273" s="9" customFormat="1" x14ac:dyDescent="0.2"/>
    <row r="274" s="9" customFormat="1" x14ac:dyDescent="0.2"/>
    <row r="275" s="9" customFormat="1" x14ac:dyDescent="0.2"/>
    <row r="276" s="9" customFormat="1" x14ac:dyDescent="0.2"/>
    <row r="277" s="9" customFormat="1" x14ac:dyDescent="0.2"/>
    <row r="278" s="9" customFormat="1" x14ac:dyDescent="0.2"/>
    <row r="279" s="9" customFormat="1" x14ac:dyDescent="0.2"/>
    <row r="280" s="9" customFormat="1" x14ac:dyDescent="0.2"/>
    <row r="281" s="9" customFormat="1" x14ac:dyDescent="0.2"/>
    <row r="282" s="9" customFormat="1" x14ac:dyDescent="0.2"/>
    <row r="283" s="9" customFormat="1" x14ac:dyDescent="0.2"/>
    <row r="284" s="9" customFormat="1" x14ac:dyDescent="0.2"/>
    <row r="285" s="9" customFormat="1" x14ac:dyDescent="0.2"/>
    <row r="286" s="9" customFormat="1" x14ac:dyDescent="0.2"/>
    <row r="287" s="9" customFormat="1" x14ac:dyDescent="0.2"/>
    <row r="288" s="9" customFormat="1" x14ac:dyDescent="0.2"/>
    <row r="289" s="9" customFormat="1" x14ac:dyDescent="0.2"/>
    <row r="290" s="9" customFormat="1" x14ac:dyDescent="0.2"/>
    <row r="291" s="9" customFormat="1" x14ac:dyDescent="0.2"/>
    <row r="292" s="9" customFormat="1" x14ac:dyDescent="0.2"/>
    <row r="293" s="9" customFormat="1" x14ac:dyDescent="0.2"/>
    <row r="294" s="9" customFormat="1" x14ac:dyDescent="0.2"/>
    <row r="295" s="9" customFormat="1" x14ac:dyDescent="0.2"/>
    <row r="296" s="9" customFormat="1" x14ac:dyDescent="0.2"/>
    <row r="297" s="9" customFormat="1" x14ac:dyDescent="0.2"/>
    <row r="298" s="9" customFormat="1" x14ac:dyDescent="0.2"/>
    <row r="299" s="9" customFormat="1" x14ac:dyDescent="0.2"/>
    <row r="300" s="9" customFormat="1" x14ac:dyDescent="0.2"/>
    <row r="301" s="9" customFormat="1" x14ac:dyDescent="0.2"/>
    <row r="302" s="9" customFormat="1" x14ac:dyDescent="0.2"/>
    <row r="303" s="9" customFormat="1" x14ac:dyDescent="0.2"/>
    <row r="304" s="9" customFormat="1" x14ac:dyDescent="0.2"/>
    <row r="305" s="9" customFormat="1" x14ac:dyDescent="0.2"/>
    <row r="306" s="9" customFormat="1" x14ac:dyDescent="0.2"/>
    <row r="307" s="9" customFormat="1" x14ac:dyDescent="0.2"/>
    <row r="308" s="9" customFormat="1" x14ac:dyDescent="0.2"/>
    <row r="309" s="9" customFormat="1" x14ac:dyDescent="0.2"/>
    <row r="310" s="9" customFormat="1" x14ac:dyDescent="0.2"/>
    <row r="311" s="9" customFormat="1" x14ac:dyDescent="0.2"/>
    <row r="312" s="9" customFormat="1" x14ac:dyDescent="0.2"/>
    <row r="313" s="9" customFormat="1" x14ac:dyDescent="0.2"/>
    <row r="314" s="9" customFormat="1" x14ac:dyDescent="0.2"/>
    <row r="315" s="9" customFormat="1" x14ac:dyDescent="0.2"/>
    <row r="316" s="9" customFormat="1" x14ac:dyDescent="0.2"/>
    <row r="317" s="9" customFormat="1" x14ac:dyDescent="0.2"/>
    <row r="318" s="9" customFormat="1" x14ac:dyDescent="0.2"/>
    <row r="319" s="9" customFormat="1" x14ac:dyDescent="0.2"/>
    <row r="320" s="9" customFormat="1" x14ac:dyDescent="0.2"/>
    <row r="321" s="9" customFormat="1" x14ac:dyDescent="0.2"/>
    <row r="322" s="9" customFormat="1" x14ac:dyDescent="0.2"/>
    <row r="323" s="9" customFormat="1" x14ac:dyDescent="0.2"/>
    <row r="324" s="9" customFormat="1" x14ac:dyDescent="0.2"/>
    <row r="325" s="9" customFormat="1" x14ac:dyDescent="0.2"/>
    <row r="326" s="9" customFormat="1" x14ac:dyDescent="0.2"/>
    <row r="327" s="9" customFormat="1" x14ac:dyDescent="0.2"/>
    <row r="328" s="9" customFormat="1" x14ac:dyDescent="0.2"/>
    <row r="329" s="9" customFormat="1" x14ac:dyDescent="0.2"/>
    <row r="330" s="9" customFormat="1" x14ac:dyDescent="0.2"/>
    <row r="331" s="9" customFormat="1" x14ac:dyDescent="0.2"/>
    <row r="332" s="9" customFormat="1" x14ac:dyDescent="0.2"/>
    <row r="333" s="9" customFormat="1" x14ac:dyDescent="0.2"/>
    <row r="334" s="9" customFormat="1" x14ac:dyDescent="0.2"/>
    <row r="335" s="9" customFormat="1" x14ac:dyDescent="0.2"/>
    <row r="336" s="9" customFormat="1" x14ac:dyDescent="0.2"/>
    <row r="337" s="9" customFormat="1" x14ac:dyDescent="0.2"/>
    <row r="338" s="9" customFormat="1" x14ac:dyDescent="0.2"/>
    <row r="339" s="9" customFormat="1" x14ac:dyDescent="0.2"/>
    <row r="340" s="9" customFormat="1" x14ac:dyDescent="0.2"/>
    <row r="341" s="9" customFormat="1" x14ac:dyDescent="0.2"/>
    <row r="342" s="9" customFormat="1" x14ac:dyDescent="0.2"/>
    <row r="343" s="9" customFormat="1" x14ac:dyDescent="0.2"/>
    <row r="344" s="9" customFormat="1" x14ac:dyDescent="0.2"/>
    <row r="345" s="9" customFormat="1" x14ac:dyDescent="0.2"/>
    <row r="346" s="9" customFormat="1" x14ac:dyDescent="0.2"/>
    <row r="347" s="9" customFormat="1" x14ac:dyDescent="0.2"/>
    <row r="348" s="9" customFormat="1" x14ac:dyDescent="0.2"/>
    <row r="349" s="9" customFormat="1" x14ac:dyDescent="0.2"/>
    <row r="350" s="9" customFormat="1" x14ac:dyDescent="0.2"/>
    <row r="351" s="9" customFormat="1" x14ac:dyDescent="0.2"/>
    <row r="352" s="9" customFormat="1" x14ac:dyDescent="0.2"/>
    <row r="353" s="9" customFormat="1" x14ac:dyDescent="0.2"/>
    <row r="354" s="9" customFormat="1" x14ac:dyDescent="0.2"/>
    <row r="355" s="9" customFormat="1" x14ac:dyDescent="0.2"/>
    <row r="356" s="9" customFormat="1" x14ac:dyDescent="0.2"/>
  </sheetData>
  <sheetProtection password="D96D" sheet="1" objects="1" scenarios="1" selectLockedCells="1"/>
  <conditionalFormatting sqref="D11">
    <cfRule type="cellIs" dxfId="16" priority="2" stopIfTrue="1" operator="lessThan">
      <formula>$D$12</formula>
    </cfRule>
    <cfRule type="cellIs" dxfId="15" priority="3" stopIfTrue="1" operator="greaterThan">
      <formula>$D$12</formula>
    </cfRule>
  </conditionalFormatting>
  <conditionalFormatting sqref="D20">
    <cfRule type="cellIs" dxfId="14" priority="1" stopIfTrue="1" operator="greaterThan">
      <formula>$H$20</formula>
    </cfRule>
  </conditionalFormatting>
  <dataValidations xWindow="644" yWindow="405" count="6">
    <dataValidation type="decimal" allowBlank="1" showInputMessage="1" showErrorMessage="1" errorTitle="FUERA DE RANGO" error="VALORES ADMISIBLES ENTRE Ts Y 374°C" prompt="valores entre_x000a_Ts y 374°C" sqref="D11" xr:uid="{00000000-0002-0000-0400-000000000000}">
      <formula1>D12</formula1>
      <formula2>374</formula2>
    </dataValidation>
    <dataValidation type="decimal" allowBlank="1" showInputMessage="1" showErrorMessage="1" errorTitle="DATO FUERA DE RANGO" error="Valores entre 0 y 220" prompt="valores entre_x000a_0 y 220" sqref="D10" xr:uid="{00000000-0002-0000-0400-000001000000}">
      <formula1>0</formula1>
      <formula2>220</formula2>
    </dataValidation>
    <dataValidation showInputMessage="1" showErrorMessage="1" errorTitle="DATO FUERA DE RANGO" error="Valores válidos entre 5 y 2000_x000a_" prompt="valores entre 5 y 2000" sqref="D5" xr:uid="{00000000-0002-0000-0400-000002000000}"/>
    <dataValidation type="list" allowBlank="1" showInputMessage="1" showErrorMessage="1" sqref="F7" xr:uid="{00000000-0002-0000-0400-000003000000}">
      <formula1>"Aproximacion automatica, Manual"</formula1>
    </dataValidation>
    <dataValidation type="list" allowBlank="1" showInputMessage="1" showErrorMessage="1" sqref="F3" xr:uid="{00000000-0002-0000-0400-000004000000}">
      <formula1>material</formula1>
    </dataValidation>
    <dataValidation type="list" allowBlank="1" showInputMessage="1" showErrorMessage="1" sqref="F18" xr:uid="{00000000-0002-0000-0400-000005000000}">
      <formula1>"No corregir de condensacion, Corregir de condensación"</formula1>
    </dataValidation>
  </dataValidations>
  <pageMargins left="0.70866141732283472" right="0.70866141732283472" top="0.74803149606299213" bottom="0.74803149606299213" header="0.31496062992125984" footer="0.31496062992125984"/>
  <pageSetup paperSize="9" scale="10" orientation="landscape" horizontalDpi="300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Fill="0" autoLine="0" r:id="rId5">
            <anchor moveWithCells="1">
              <from>
                <xdr:col>6</xdr:col>
                <xdr:colOff>323850</xdr:colOff>
                <xdr:row>20</xdr:row>
                <xdr:rowOff>133350</xdr:rowOff>
              </from>
              <to>
                <xdr:col>7</xdr:col>
                <xdr:colOff>142875</xdr:colOff>
                <xdr:row>23</xdr:row>
                <xdr:rowOff>47625</xdr:rowOff>
              </to>
            </anchor>
          </controlPr>
        </control>
      </mc:Choice>
      <mc:Fallback>
        <control shapeId="8193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8"/>
  <dimension ref="A1:AL356"/>
  <sheetViews>
    <sheetView showGridLines="0" showRowColHeaders="0" zoomScaleNormal="100" zoomScaleSheetLayoutView="145" workbookViewId="0">
      <selection activeCell="F3" sqref="F3"/>
    </sheetView>
  </sheetViews>
  <sheetFormatPr baseColWidth="10" defaultColWidth="11.42578125" defaultRowHeight="12.75" x14ac:dyDescent="0.2"/>
  <cols>
    <col min="1" max="1" width="4.28515625" style="9" customWidth="1"/>
    <col min="2" max="2" width="34.7109375" style="10" customWidth="1"/>
    <col min="3" max="3" width="5.5703125" style="10" bestFit="1" customWidth="1"/>
    <col min="4" max="4" width="14.5703125" style="10" customWidth="1"/>
    <col min="5" max="5" width="9.42578125" style="10" bestFit="1" customWidth="1"/>
    <col min="6" max="6" width="36.85546875" style="10" bestFit="1" customWidth="1"/>
    <col min="7" max="7" width="12" style="10" customWidth="1"/>
    <col min="8" max="8" width="7" style="10" customWidth="1"/>
    <col min="9" max="9" width="11.42578125" style="9"/>
    <col min="10" max="10" width="8.42578125" style="9" hidden="1" customWidth="1"/>
    <col min="11" max="11" width="12.28515625" style="9" hidden="1" customWidth="1"/>
    <col min="12" max="12" width="8.85546875" style="9" hidden="1" customWidth="1"/>
    <col min="13" max="13" width="8.140625" style="9" hidden="1" customWidth="1"/>
    <col min="14" max="38" width="11.42578125" style="9"/>
    <col min="39" max="16384" width="11.42578125" style="10"/>
  </cols>
  <sheetData>
    <row r="1" spans="1:38" s="4" customFormat="1" ht="27.75" customHeight="1" x14ac:dyDescent="0.25">
      <c r="A1" s="22"/>
      <c r="B1" s="45" t="s">
        <v>86</v>
      </c>
      <c r="C1" s="6"/>
      <c r="D1" s="6"/>
      <c r="E1" s="6"/>
      <c r="F1" s="6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</row>
    <row r="2" spans="1:38" s="4" customFormat="1" ht="18" x14ac:dyDescent="0.25">
      <c r="A2" s="22"/>
      <c r="B2" s="40" t="s">
        <v>55</v>
      </c>
      <c r="C2" s="76"/>
      <c r="D2" s="3"/>
      <c r="E2" s="3"/>
      <c r="F2" s="3"/>
      <c r="G2" s="23"/>
      <c r="H2" s="3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</row>
    <row r="3" spans="1:38" s="4" customFormat="1" ht="13.5" x14ac:dyDescent="0.25">
      <c r="A3" s="22"/>
      <c r="B3" s="4" t="s">
        <v>13</v>
      </c>
      <c r="C3" s="24" t="s">
        <v>0</v>
      </c>
      <c r="D3" s="25">
        <f>IF(F3="introducción manual de rugosidad &gt;&gt;",G3,VLOOKUP(F3,Hoja2!A3:C21,2,FALSE))</f>
        <v>0.05</v>
      </c>
      <c r="E3" s="25" t="s">
        <v>12</v>
      </c>
      <c r="F3" s="11" t="s">
        <v>4</v>
      </c>
      <c r="G3" s="11">
        <v>0.02</v>
      </c>
      <c r="H3" s="4" t="s">
        <v>12</v>
      </c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</row>
    <row r="4" spans="1:38" s="4" customFormat="1" ht="13.5" x14ac:dyDescent="0.25">
      <c r="A4" s="22"/>
      <c r="B4" s="4" t="s">
        <v>14</v>
      </c>
      <c r="C4" s="24" t="s">
        <v>215</v>
      </c>
      <c r="D4" s="26">
        <f>D3/D5</f>
        <v>9.1447574596470265E-4</v>
      </c>
      <c r="E4" s="25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</row>
    <row r="5" spans="1:38" s="4" customFormat="1" ht="13.5" x14ac:dyDescent="0.25">
      <c r="A5" s="22"/>
      <c r="B5" s="4" t="s">
        <v>15</v>
      </c>
      <c r="C5" s="4" t="s">
        <v>1</v>
      </c>
      <c r="D5" s="27">
        <f>DiaTub(D17,D3,F25,D15)</f>
        <v>54.676135721077863</v>
      </c>
      <c r="E5" s="25" t="s">
        <v>12</v>
      </c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</row>
    <row r="6" spans="1:38" s="4" customFormat="1" ht="13.5" x14ac:dyDescent="0.25">
      <c r="A6" s="22"/>
      <c r="B6" s="4" t="s">
        <v>68</v>
      </c>
      <c r="C6" s="4" t="s">
        <v>53</v>
      </c>
      <c r="D6" s="28">
        <v>6</v>
      </c>
      <c r="E6" s="4" t="s">
        <v>20</v>
      </c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</row>
    <row r="7" spans="1:38" s="4" customFormat="1" ht="13.5" x14ac:dyDescent="0.25">
      <c r="A7" s="22"/>
      <c r="B7" s="4" t="s">
        <v>64</v>
      </c>
      <c r="C7" s="4" t="s">
        <v>74</v>
      </c>
      <c r="D7" s="29">
        <f>IF(F7="Manual",G7,IF(D6&gt;100,D6*0.1,D6*0.2))</f>
        <v>3</v>
      </c>
      <c r="E7" s="25" t="s">
        <v>20</v>
      </c>
      <c r="F7" s="11" t="s">
        <v>66</v>
      </c>
      <c r="G7" s="11">
        <v>3</v>
      </c>
      <c r="H7" s="4" t="s">
        <v>20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</row>
    <row r="8" spans="1:38" s="4" customFormat="1" ht="13.5" x14ac:dyDescent="0.25">
      <c r="A8" s="22"/>
      <c r="B8" s="4" t="s">
        <v>65</v>
      </c>
      <c r="C8" s="4" t="s">
        <v>75</v>
      </c>
      <c r="D8" s="29">
        <f>D6+D7</f>
        <v>9</v>
      </c>
      <c r="E8" s="25" t="s">
        <v>20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</row>
    <row r="9" spans="1:38" s="4" customFormat="1" ht="15.75" x14ac:dyDescent="0.25">
      <c r="A9" s="22"/>
      <c r="B9" s="40" t="s">
        <v>56</v>
      </c>
      <c r="C9" s="3"/>
      <c r="D9" s="44" t="s">
        <v>61</v>
      </c>
      <c r="E9" s="3"/>
      <c r="F9" s="3"/>
      <c r="G9" s="3"/>
      <c r="H9" s="3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</row>
    <row r="10" spans="1:38" s="4" customFormat="1" ht="13.5" x14ac:dyDescent="0.25">
      <c r="A10" s="22"/>
      <c r="B10" s="4" t="s">
        <v>40</v>
      </c>
      <c r="C10" s="4" t="s">
        <v>29</v>
      </c>
      <c r="D10" s="11">
        <v>13.81</v>
      </c>
      <c r="E10" s="4" t="s">
        <v>31</v>
      </c>
      <c r="F10" s="30">
        <f>(2*D10-D24)/2</f>
        <v>13.775</v>
      </c>
      <c r="G10" s="25" t="s">
        <v>31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</row>
    <row r="11" spans="1:38" s="4" customFormat="1" ht="13.5" x14ac:dyDescent="0.25">
      <c r="A11" s="22"/>
      <c r="B11" s="4" t="s">
        <v>28</v>
      </c>
      <c r="C11" s="4" t="s">
        <v>30</v>
      </c>
      <c r="D11" s="11">
        <v>240</v>
      </c>
      <c r="E11" s="4" t="s">
        <v>32</v>
      </c>
      <c r="F11" s="8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</row>
    <row r="12" spans="1:38" s="4" customFormat="1" ht="13.5" x14ac:dyDescent="0.25">
      <c r="A12" s="22"/>
      <c r="B12" s="4" t="s">
        <v>39</v>
      </c>
      <c r="C12" s="4" t="s">
        <v>76</v>
      </c>
      <c r="D12" s="31">
        <f>tSatW(F10+1.01325)-273.15</f>
        <v>197.62193340917651</v>
      </c>
      <c r="E12" s="25" t="s">
        <v>32</v>
      </c>
      <c r="F12" s="8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</row>
    <row r="13" spans="1:38" s="4" customFormat="1" ht="13.5" x14ac:dyDescent="0.25">
      <c r="A13" s="22"/>
      <c r="B13" s="4" t="s">
        <v>16</v>
      </c>
      <c r="C13" s="24" t="s">
        <v>81</v>
      </c>
      <c r="D13" s="32">
        <f>IF(D11&gt;D12,densW(D11+273.15,F10+1.01325),IF(D11&lt;D12,densSatLiqTW(D11+273.15),densSatVapPW(F10+1.01325)))</f>
        <v>6.641454236228344</v>
      </c>
      <c r="E13" s="25" t="s">
        <v>18</v>
      </c>
      <c r="F13" s="8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</row>
    <row r="14" spans="1:38" s="4" customFormat="1" ht="13.5" x14ac:dyDescent="0.25">
      <c r="A14" s="22"/>
      <c r="B14" s="4" t="s">
        <v>38</v>
      </c>
      <c r="C14" s="24" t="s">
        <v>20</v>
      </c>
      <c r="D14" s="32">
        <f>IF(D11&gt;D12,viscW(D11+273.15,F10+1.01325),IF(D11&lt;D12,viscSatLiqTW(D11+273.15),viscSatVapPW(F10+1.01325)))*1000</f>
        <v>1.7515279661608967E-2</v>
      </c>
      <c r="E14" s="25" t="s">
        <v>83</v>
      </c>
      <c r="F14" s="8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</row>
    <row r="15" spans="1:38" s="4" customFormat="1" ht="13.5" x14ac:dyDescent="0.25">
      <c r="A15" s="22"/>
      <c r="B15" s="4" t="s">
        <v>37</v>
      </c>
      <c r="C15" s="24" t="s">
        <v>24</v>
      </c>
      <c r="D15" s="32">
        <f>1000*D14/D13</f>
        <v>2.6372657310601042</v>
      </c>
      <c r="E15" s="25" t="s">
        <v>25</v>
      </c>
      <c r="F15" s="8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</row>
    <row r="16" spans="1:38" s="4" customFormat="1" ht="15.75" x14ac:dyDescent="0.25">
      <c r="A16" s="22"/>
      <c r="B16" s="40" t="s">
        <v>69</v>
      </c>
      <c r="C16" s="3"/>
      <c r="D16" s="44" t="s">
        <v>62</v>
      </c>
      <c r="E16" s="3"/>
      <c r="F16" s="3"/>
      <c r="G16" s="3"/>
      <c r="H16" s="3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</row>
    <row r="17" spans="1:38" s="4" customFormat="1" ht="13.5" x14ac:dyDescent="0.25">
      <c r="A17" s="22"/>
      <c r="B17" s="4" t="s">
        <v>36</v>
      </c>
      <c r="C17" s="4" t="s">
        <v>111</v>
      </c>
      <c r="D17" s="41">
        <v>218.18</v>
      </c>
      <c r="E17" s="37" t="s">
        <v>19</v>
      </c>
      <c r="F17" s="11" t="s">
        <v>63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</row>
    <row r="18" spans="1:38" s="4" customFormat="1" ht="13.5" x14ac:dyDescent="0.25">
      <c r="A18" s="22"/>
      <c r="B18" s="4" t="s">
        <v>109</v>
      </c>
      <c r="C18" s="4" t="s">
        <v>110</v>
      </c>
      <c r="D18" s="33">
        <f>IF(F17="Corregir de condensación",D17*(1+D6/3000),D17)</f>
        <v>218.18</v>
      </c>
      <c r="E18" s="25" t="s">
        <v>19</v>
      </c>
      <c r="I18" s="22"/>
      <c r="J18" s="22" t="s">
        <v>49</v>
      </c>
      <c r="K18" s="22" t="s">
        <v>51</v>
      </c>
      <c r="L18" s="22" t="s">
        <v>50</v>
      </c>
      <c r="M18" s="22" t="s">
        <v>52</v>
      </c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</row>
    <row r="19" spans="1:38" s="4" customFormat="1" ht="13.5" x14ac:dyDescent="0.25">
      <c r="A19" s="22"/>
      <c r="B19" s="4" t="s">
        <v>112</v>
      </c>
      <c r="C19" s="4" t="s">
        <v>78</v>
      </c>
      <c r="D19" s="33">
        <f>D18*D13</f>
        <v>1449.0324852603001</v>
      </c>
      <c r="E19" s="25" t="s">
        <v>34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</row>
    <row r="20" spans="1:38" s="4" customFormat="1" ht="13.5" x14ac:dyDescent="0.25">
      <c r="A20" s="22"/>
      <c r="B20" s="4" t="s">
        <v>21</v>
      </c>
      <c r="C20" s="4" t="s">
        <v>22</v>
      </c>
      <c r="D20" s="31">
        <f>353.7*D17/D5^2</f>
        <v>25.813944469904953</v>
      </c>
      <c r="E20" s="25" t="s">
        <v>26</v>
      </c>
      <c r="F20" s="47" t="str">
        <f>IF(D24&gt;D10,"PERDIDA DE CARGA INADMISIBLE",IF(D20&gt;H20,"VELOCIDAD FUERA DE RANGO",""))</f>
        <v/>
      </c>
      <c r="H20" s="7">
        <f>IF(D11&gt;D12,60,IF(D11&lt;D12,40,50))</f>
        <v>60</v>
      </c>
      <c r="I20" s="22"/>
      <c r="J20" s="22">
        <v>20</v>
      </c>
      <c r="K20" s="22">
        <v>40</v>
      </c>
      <c r="L20" s="22">
        <v>50</v>
      </c>
      <c r="M20" s="22">
        <v>60</v>
      </c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</row>
    <row r="21" spans="1:38" s="4" customFormat="1" ht="13.5" x14ac:dyDescent="0.25">
      <c r="A21" s="22"/>
      <c r="B21" s="4" t="s">
        <v>41</v>
      </c>
      <c r="C21" s="4" t="s">
        <v>2</v>
      </c>
      <c r="D21" s="35">
        <f>10^9*4*D17/PI()/D5/D15/3600</f>
        <v>535144.23456751753</v>
      </c>
      <c r="E21" s="25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</row>
    <row r="22" spans="1:38" s="4" customFormat="1" ht="13.5" x14ac:dyDescent="0.25">
      <c r="A22" s="22"/>
      <c r="B22" s="4" t="s">
        <v>35</v>
      </c>
      <c r="C22" s="4" t="s">
        <v>79</v>
      </c>
      <c r="D22" s="32">
        <f>colebrook($D$3,$D$5,$D$21)</f>
        <v>1.9813738308428894E-2</v>
      </c>
      <c r="E22" s="25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</row>
    <row r="23" spans="1:38" s="4" customFormat="1" ht="13.5" x14ac:dyDescent="0.25">
      <c r="A23" s="22"/>
      <c r="B23" s="4" t="s">
        <v>82</v>
      </c>
      <c r="C23" s="4" t="s">
        <v>54</v>
      </c>
      <c r="D23" s="31">
        <f>D24*10^5/D13/9.8</f>
        <v>107.54959514579964</v>
      </c>
      <c r="E23" s="25" t="s">
        <v>84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</row>
    <row r="24" spans="1:38" s="4" customFormat="1" ht="13.5" x14ac:dyDescent="0.25">
      <c r="A24" s="22"/>
      <c r="B24" s="4" t="s">
        <v>82</v>
      </c>
      <c r="C24" s="4" t="s">
        <v>54</v>
      </c>
      <c r="D24" s="36">
        <v>7.0000000000000007E-2</v>
      </c>
      <c r="E24" s="37" t="s">
        <v>31</v>
      </c>
      <c r="F24" s="38">
        <f>D10-D24</f>
        <v>13.74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</row>
    <row r="25" spans="1:38" s="9" customFormat="1" ht="13.5" x14ac:dyDescent="0.25">
      <c r="F25" s="39">
        <f>12960000*$D$23*PI()^2*9.8/8/$D$8/$D$17^2</f>
        <v>39334.825806008172</v>
      </c>
    </row>
    <row r="26" spans="1:38" s="9" customFormat="1" x14ac:dyDescent="0.2"/>
    <row r="27" spans="1:38" s="9" customFormat="1" x14ac:dyDescent="0.2"/>
    <row r="28" spans="1:38" s="9" customFormat="1" x14ac:dyDescent="0.2"/>
    <row r="29" spans="1:38" s="9" customFormat="1" x14ac:dyDescent="0.2"/>
    <row r="30" spans="1:38" s="9" customFormat="1" x14ac:dyDescent="0.2"/>
    <row r="31" spans="1:38" s="9" customFormat="1" x14ac:dyDescent="0.2"/>
    <row r="32" spans="1:38" s="9" customFormat="1" x14ac:dyDescent="0.2"/>
    <row r="33" s="9" customFormat="1" x14ac:dyDescent="0.2"/>
    <row r="34" s="9" customFormat="1" x14ac:dyDescent="0.2"/>
    <row r="35" s="9" customFormat="1" x14ac:dyDescent="0.2"/>
    <row r="36" s="9" customFormat="1" x14ac:dyDescent="0.2"/>
    <row r="37" s="9" customFormat="1" x14ac:dyDescent="0.2"/>
    <row r="38" s="9" customFormat="1" x14ac:dyDescent="0.2"/>
    <row r="39" s="9" customFormat="1" x14ac:dyDescent="0.2"/>
    <row r="40" s="9" customFormat="1" x14ac:dyDescent="0.2"/>
    <row r="41" s="9" customFormat="1" x14ac:dyDescent="0.2"/>
    <row r="42" s="9" customFormat="1" x14ac:dyDescent="0.2"/>
    <row r="43" s="9" customFormat="1" x14ac:dyDescent="0.2"/>
    <row r="44" s="9" customFormat="1" x14ac:dyDescent="0.2"/>
    <row r="45" s="9" customFormat="1" x14ac:dyDescent="0.2"/>
    <row r="46" s="9" customFormat="1" x14ac:dyDescent="0.2"/>
    <row r="47" s="9" customFormat="1" x14ac:dyDescent="0.2"/>
    <row r="48" s="9" customFormat="1" x14ac:dyDescent="0.2"/>
    <row r="49" s="9" customFormat="1" x14ac:dyDescent="0.2"/>
    <row r="50" s="9" customFormat="1" x14ac:dyDescent="0.2"/>
    <row r="51" s="9" customFormat="1" x14ac:dyDescent="0.2"/>
    <row r="52" s="9" customFormat="1" x14ac:dyDescent="0.2"/>
    <row r="53" s="9" customFormat="1" x14ac:dyDescent="0.2"/>
    <row r="54" s="9" customFormat="1" x14ac:dyDescent="0.2"/>
    <row r="55" s="9" customFormat="1" x14ac:dyDescent="0.2"/>
    <row r="56" s="9" customFormat="1" x14ac:dyDescent="0.2"/>
    <row r="57" s="9" customFormat="1" x14ac:dyDescent="0.2"/>
    <row r="58" s="9" customFormat="1" x14ac:dyDescent="0.2"/>
    <row r="59" s="9" customFormat="1" x14ac:dyDescent="0.2"/>
    <row r="60" s="9" customFormat="1" x14ac:dyDescent="0.2"/>
    <row r="61" s="9" customFormat="1" x14ac:dyDescent="0.2"/>
    <row r="62" s="9" customFormat="1" x14ac:dyDescent="0.2"/>
    <row r="63" s="9" customFormat="1" x14ac:dyDescent="0.2"/>
    <row r="64" s="9" customFormat="1" x14ac:dyDescent="0.2"/>
    <row r="65" s="9" customFormat="1" x14ac:dyDescent="0.2"/>
    <row r="66" s="9" customFormat="1" x14ac:dyDescent="0.2"/>
    <row r="67" s="9" customFormat="1" x14ac:dyDescent="0.2"/>
    <row r="68" s="9" customFormat="1" x14ac:dyDescent="0.2"/>
    <row r="69" s="9" customFormat="1" x14ac:dyDescent="0.2"/>
    <row r="70" s="9" customFormat="1" x14ac:dyDescent="0.2"/>
    <row r="71" s="9" customFormat="1" x14ac:dyDescent="0.2"/>
    <row r="72" s="9" customFormat="1" x14ac:dyDescent="0.2"/>
    <row r="73" s="9" customFormat="1" x14ac:dyDescent="0.2"/>
    <row r="74" s="9" customFormat="1" x14ac:dyDescent="0.2"/>
    <row r="75" s="9" customFormat="1" x14ac:dyDescent="0.2"/>
    <row r="76" s="9" customFormat="1" x14ac:dyDescent="0.2"/>
    <row r="77" s="9" customFormat="1" x14ac:dyDescent="0.2"/>
    <row r="78" s="9" customFormat="1" x14ac:dyDescent="0.2"/>
    <row r="79" s="9" customFormat="1" x14ac:dyDescent="0.2"/>
    <row r="80" s="9" customFormat="1" x14ac:dyDescent="0.2"/>
    <row r="81" s="9" customFormat="1" x14ac:dyDescent="0.2"/>
    <row r="82" s="9" customFormat="1" x14ac:dyDescent="0.2"/>
    <row r="83" s="9" customFormat="1" x14ac:dyDescent="0.2"/>
    <row r="84" s="9" customFormat="1" x14ac:dyDescent="0.2"/>
    <row r="85" s="9" customFormat="1" x14ac:dyDescent="0.2"/>
    <row r="86" s="9" customFormat="1" x14ac:dyDescent="0.2"/>
    <row r="87" s="9" customFormat="1" x14ac:dyDescent="0.2"/>
    <row r="88" s="9" customFormat="1" x14ac:dyDescent="0.2"/>
    <row r="89" s="9" customFormat="1" x14ac:dyDescent="0.2"/>
    <row r="90" s="9" customFormat="1" x14ac:dyDescent="0.2"/>
    <row r="91" s="9" customFormat="1" x14ac:dyDescent="0.2"/>
    <row r="92" s="9" customFormat="1" x14ac:dyDescent="0.2"/>
    <row r="93" s="9" customFormat="1" x14ac:dyDescent="0.2"/>
    <row r="94" s="9" customFormat="1" x14ac:dyDescent="0.2"/>
    <row r="95" s="9" customFormat="1" x14ac:dyDescent="0.2"/>
    <row r="96" s="9" customFormat="1" x14ac:dyDescent="0.2"/>
    <row r="97" s="9" customFormat="1" x14ac:dyDescent="0.2"/>
    <row r="98" s="9" customFormat="1" x14ac:dyDescent="0.2"/>
    <row r="99" s="9" customFormat="1" x14ac:dyDescent="0.2"/>
    <row r="100" s="9" customFormat="1" x14ac:dyDescent="0.2"/>
    <row r="101" s="9" customFormat="1" x14ac:dyDescent="0.2"/>
    <row r="102" s="9" customFormat="1" x14ac:dyDescent="0.2"/>
    <row r="103" s="9" customFormat="1" x14ac:dyDescent="0.2"/>
    <row r="104" s="9" customFormat="1" x14ac:dyDescent="0.2"/>
    <row r="105" s="9" customFormat="1" x14ac:dyDescent="0.2"/>
    <row r="106" s="9" customFormat="1" x14ac:dyDescent="0.2"/>
    <row r="107" s="9" customFormat="1" x14ac:dyDescent="0.2"/>
    <row r="108" s="9" customFormat="1" x14ac:dyDescent="0.2"/>
    <row r="109" s="9" customFormat="1" x14ac:dyDescent="0.2"/>
    <row r="110" s="9" customFormat="1" x14ac:dyDescent="0.2"/>
    <row r="111" s="9" customFormat="1" x14ac:dyDescent="0.2"/>
    <row r="112" s="9" customFormat="1" x14ac:dyDescent="0.2"/>
    <row r="113" s="9" customFormat="1" x14ac:dyDescent="0.2"/>
    <row r="114" s="9" customFormat="1" x14ac:dyDescent="0.2"/>
    <row r="115" s="9" customFormat="1" x14ac:dyDescent="0.2"/>
    <row r="116" s="9" customFormat="1" x14ac:dyDescent="0.2"/>
    <row r="117" s="9" customFormat="1" x14ac:dyDescent="0.2"/>
    <row r="118" s="9" customFormat="1" x14ac:dyDescent="0.2"/>
    <row r="119" s="9" customFormat="1" x14ac:dyDescent="0.2"/>
    <row r="120" s="9" customFormat="1" x14ac:dyDescent="0.2"/>
    <row r="121" s="9" customFormat="1" x14ac:dyDescent="0.2"/>
    <row r="122" s="9" customFormat="1" x14ac:dyDescent="0.2"/>
    <row r="123" s="9" customFormat="1" x14ac:dyDescent="0.2"/>
    <row r="124" s="9" customFormat="1" x14ac:dyDescent="0.2"/>
    <row r="125" s="9" customFormat="1" x14ac:dyDescent="0.2"/>
    <row r="126" s="9" customFormat="1" x14ac:dyDescent="0.2"/>
    <row r="127" s="9" customFormat="1" x14ac:dyDescent="0.2"/>
    <row r="128" s="9" customFormat="1" x14ac:dyDescent="0.2"/>
    <row r="129" s="9" customFormat="1" x14ac:dyDescent="0.2"/>
    <row r="130" s="9" customFormat="1" x14ac:dyDescent="0.2"/>
    <row r="131" s="9" customFormat="1" x14ac:dyDescent="0.2"/>
    <row r="132" s="9" customFormat="1" x14ac:dyDescent="0.2"/>
    <row r="133" s="9" customFormat="1" x14ac:dyDescent="0.2"/>
    <row r="134" s="9" customFormat="1" x14ac:dyDescent="0.2"/>
    <row r="135" s="9" customFormat="1" x14ac:dyDescent="0.2"/>
    <row r="136" s="9" customFormat="1" x14ac:dyDescent="0.2"/>
    <row r="137" s="9" customFormat="1" x14ac:dyDescent="0.2"/>
    <row r="138" s="9" customFormat="1" x14ac:dyDescent="0.2"/>
    <row r="139" s="9" customFormat="1" x14ac:dyDescent="0.2"/>
    <row r="140" s="9" customFormat="1" x14ac:dyDescent="0.2"/>
    <row r="141" s="9" customFormat="1" x14ac:dyDescent="0.2"/>
    <row r="142" s="9" customFormat="1" x14ac:dyDescent="0.2"/>
    <row r="143" s="9" customFormat="1" x14ac:dyDescent="0.2"/>
    <row r="144" s="9" customFormat="1" x14ac:dyDescent="0.2"/>
    <row r="145" s="9" customFormat="1" x14ac:dyDescent="0.2"/>
    <row r="146" s="9" customFormat="1" x14ac:dyDescent="0.2"/>
    <row r="147" s="9" customFormat="1" x14ac:dyDescent="0.2"/>
    <row r="148" s="9" customFormat="1" x14ac:dyDescent="0.2"/>
    <row r="149" s="9" customFormat="1" x14ac:dyDescent="0.2"/>
    <row r="150" s="9" customFormat="1" x14ac:dyDescent="0.2"/>
    <row r="151" s="9" customFormat="1" x14ac:dyDescent="0.2"/>
    <row r="152" s="9" customFormat="1" x14ac:dyDescent="0.2"/>
    <row r="153" s="9" customFormat="1" x14ac:dyDescent="0.2"/>
    <row r="154" s="9" customFormat="1" x14ac:dyDescent="0.2"/>
    <row r="155" s="9" customFormat="1" x14ac:dyDescent="0.2"/>
    <row r="156" s="9" customFormat="1" x14ac:dyDescent="0.2"/>
    <row r="157" s="9" customFormat="1" x14ac:dyDescent="0.2"/>
    <row r="158" s="9" customFormat="1" x14ac:dyDescent="0.2"/>
    <row r="159" s="9" customFormat="1" x14ac:dyDescent="0.2"/>
    <row r="160" s="9" customFormat="1" x14ac:dyDescent="0.2"/>
    <row r="161" s="9" customFormat="1" x14ac:dyDescent="0.2"/>
    <row r="162" s="9" customFormat="1" x14ac:dyDescent="0.2"/>
    <row r="163" s="9" customFormat="1" x14ac:dyDescent="0.2"/>
    <row r="164" s="9" customFormat="1" x14ac:dyDescent="0.2"/>
    <row r="165" s="9" customFormat="1" x14ac:dyDescent="0.2"/>
    <row r="166" s="9" customFormat="1" x14ac:dyDescent="0.2"/>
    <row r="167" s="9" customFormat="1" x14ac:dyDescent="0.2"/>
    <row r="168" s="9" customFormat="1" x14ac:dyDescent="0.2"/>
    <row r="169" s="9" customFormat="1" x14ac:dyDescent="0.2"/>
    <row r="170" s="9" customFormat="1" x14ac:dyDescent="0.2"/>
    <row r="171" s="9" customFormat="1" x14ac:dyDescent="0.2"/>
    <row r="172" s="9" customFormat="1" x14ac:dyDescent="0.2"/>
    <row r="173" s="9" customFormat="1" x14ac:dyDescent="0.2"/>
    <row r="174" s="9" customFormat="1" x14ac:dyDescent="0.2"/>
    <row r="175" s="9" customFormat="1" x14ac:dyDescent="0.2"/>
    <row r="176" s="9" customFormat="1" x14ac:dyDescent="0.2"/>
    <row r="177" s="9" customFormat="1" x14ac:dyDescent="0.2"/>
    <row r="178" s="9" customFormat="1" x14ac:dyDescent="0.2"/>
    <row r="179" s="9" customFormat="1" x14ac:dyDescent="0.2"/>
    <row r="180" s="9" customFormat="1" x14ac:dyDescent="0.2"/>
    <row r="181" s="9" customFormat="1" x14ac:dyDescent="0.2"/>
    <row r="182" s="9" customFormat="1" x14ac:dyDescent="0.2"/>
    <row r="183" s="9" customFormat="1" x14ac:dyDescent="0.2"/>
    <row r="184" s="9" customFormat="1" x14ac:dyDescent="0.2"/>
    <row r="185" s="9" customFormat="1" x14ac:dyDescent="0.2"/>
    <row r="186" s="9" customFormat="1" x14ac:dyDescent="0.2"/>
    <row r="187" s="9" customFormat="1" x14ac:dyDescent="0.2"/>
    <row r="188" s="9" customFormat="1" x14ac:dyDescent="0.2"/>
    <row r="189" s="9" customFormat="1" x14ac:dyDescent="0.2"/>
    <row r="190" s="9" customFormat="1" x14ac:dyDescent="0.2"/>
    <row r="191" s="9" customFormat="1" x14ac:dyDescent="0.2"/>
    <row r="192" s="9" customFormat="1" x14ac:dyDescent="0.2"/>
    <row r="193" s="9" customFormat="1" x14ac:dyDescent="0.2"/>
    <row r="194" s="9" customFormat="1" x14ac:dyDescent="0.2"/>
    <row r="195" s="9" customFormat="1" x14ac:dyDescent="0.2"/>
    <row r="196" s="9" customFormat="1" x14ac:dyDescent="0.2"/>
    <row r="197" s="9" customFormat="1" x14ac:dyDescent="0.2"/>
    <row r="198" s="9" customFormat="1" x14ac:dyDescent="0.2"/>
    <row r="199" s="9" customFormat="1" x14ac:dyDescent="0.2"/>
    <row r="200" s="9" customFormat="1" x14ac:dyDescent="0.2"/>
    <row r="201" s="9" customFormat="1" x14ac:dyDescent="0.2"/>
    <row r="202" s="9" customFormat="1" x14ac:dyDescent="0.2"/>
    <row r="203" s="9" customFormat="1" x14ac:dyDescent="0.2"/>
    <row r="204" s="9" customFormat="1" x14ac:dyDescent="0.2"/>
    <row r="205" s="9" customFormat="1" x14ac:dyDescent="0.2"/>
    <row r="206" s="9" customFormat="1" x14ac:dyDescent="0.2"/>
    <row r="207" s="9" customFormat="1" x14ac:dyDescent="0.2"/>
    <row r="208" s="9" customFormat="1" x14ac:dyDescent="0.2"/>
    <row r="209" s="9" customFormat="1" x14ac:dyDescent="0.2"/>
    <row r="210" s="9" customFormat="1" x14ac:dyDescent="0.2"/>
    <row r="211" s="9" customFormat="1" x14ac:dyDescent="0.2"/>
    <row r="212" s="9" customFormat="1" x14ac:dyDescent="0.2"/>
    <row r="213" s="9" customFormat="1" x14ac:dyDescent="0.2"/>
    <row r="214" s="9" customFormat="1" x14ac:dyDescent="0.2"/>
    <row r="215" s="9" customFormat="1" x14ac:dyDescent="0.2"/>
    <row r="216" s="9" customFormat="1" x14ac:dyDescent="0.2"/>
    <row r="217" s="9" customFormat="1" x14ac:dyDescent="0.2"/>
    <row r="218" s="9" customFormat="1" x14ac:dyDescent="0.2"/>
    <row r="219" s="9" customFormat="1" x14ac:dyDescent="0.2"/>
    <row r="220" s="9" customFormat="1" x14ac:dyDescent="0.2"/>
    <row r="221" s="9" customFormat="1" x14ac:dyDescent="0.2"/>
    <row r="222" s="9" customFormat="1" x14ac:dyDescent="0.2"/>
    <row r="223" s="9" customFormat="1" x14ac:dyDescent="0.2"/>
    <row r="224" s="9" customFormat="1" x14ac:dyDescent="0.2"/>
    <row r="225" s="9" customFormat="1" x14ac:dyDescent="0.2"/>
    <row r="226" s="9" customFormat="1" x14ac:dyDescent="0.2"/>
    <row r="227" s="9" customFormat="1" x14ac:dyDescent="0.2"/>
    <row r="228" s="9" customFormat="1" x14ac:dyDescent="0.2"/>
    <row r="229" s="9" customFormat="1" x14ac:dyDescent="0.2"/>
    <row r="230" s="9" customFormat="1" x14ac:dyDescent="0.2"/>
    <row r="231" s="9" customFormat="1" x14ac:dyDescent="0.2"/>
    <row r="232" s="9" customFormat="1" x14ac:dyDescent="0.2"/>
    <row r="233" s="9" customFormat="1" x14ac:dyDescent="0.2"/>
    <row r="234" s="9" customFormat="1" x14ac:dyDescent="0.2"/>
    <row r="235" s="9" customFormat="1" x14ac:dyDescent="0.2"/>
    <row r="236" s="9" customFormat="1" x14ac:dyDescent="0.2"/>
    <row r="237" s="9" customFormat="1" x14ac:dyDescent="0.2"/>
    <row r="238" s="9" customFormat="1" x14ac:dyDescent="0.2"/>
    <row r="239" s="9" customFormat="1" x14ac:dyDescent="0.2"/>
    <row r="240" s="9" customFormat="1" x14ac:dyDescent="0.2"/>
    <row r="241" s="9" customFormat="1" x14ac:dyDescent="0.2"/>
    <row r="242" s="9" customFormat="1" x14ac:dyDescent="0.2"/>
    <row r="243" s="9" customFormat="1" x14ac:dyDescent="0.2"/>
    <row r="244" s="9" customFormat="1" x14ac:dyDescent="0.2"/>
    <row r="245" s="9" customFormat="1" x14ac:dyDescent="0.2"/>
    <row r="246" s="9" customFormat="1" x14ac:dyDescent="0.2"/>
    <row r="247" s="9" customFormat="1" x14ac:dyDescent="0.2"/>
    <row r="248" s="9" customFormat="1" x14ac:dyDescent="0.2"/>
    <row r="249" s="9" customFormat="1" x14ac:dyDescent="0.2"/>
    <row r="250" s="9" customFormat="1" x14ac:dyDescent="0.2"/>
    <row r="251" s="9" customFormat="1" x14ac:dyDescent="0.2"/>
    <row r="252" s="9" customFormat="1" x14ac:dyDescent="0.2"/>
    <row r="253" s="9" customFormat="1" x14ac:dyDescent="0.2"/>
    <row r="254" s="9" customFormat="1" x14ac:dyDescent="0.2"/>
    <row r="255" s="9" customFormat="1" x14ac:dyDescent="0.2"/>
    <row r="256" s="9" customFormat="1" x14ac:dyDescent="0.2"/>
    <row r="257" s="9" customFormat="1" x14ac:dyDescent="0.2"/>
    <row r="258" s="9" customFormat="1" x14ac:dyDescent="0.2"/>
    <row r="259" s="9" customFormat="1" x14ac:dyDescent="0.2"/>
    <row r="260" s="9" customFormat="1" x14ac:dyDescent="0.2"/>
    <row r="261" s="9" customFormat="1" x14ac:dyDescent="0.2"/>
    <row r="262" s="9" customFormat="1" x14ac:dyDescent="0.2"/>
    <row r="263" s="9" customFormat="1" x14ac:dyDescent="0.2"/>
    <row r="264" s="9" customFormat="1" x14ac:dyDescent="0.2"/>
    <row r="265" s="9" customFormat="1" x14ac:dyDescent="0.2"/>
    <row r="266" s="9" customFormat="1" x14ac:dyDescent="0.2"/>
    <row r="267" s="9" customFormat="1" x14ac:dyDescent="0.2"/>
    <row r="268" s="9" customFormat="1" x14ac:dyDescent="0.2"/>
    <row r="269" s="9" customFormat="1" x14ac:dyDescent="0.2"/>
    <row r="270" s="9" customFormat="1" x14ac:dyDescent="0.2"/>
    <row r="271" s="9" customFormat="1" x14ac:dyDescent="0.2"/>
    <row r="272" s="9" customFormat="1" x14ac:dyDescent="0.2"/>
    <row r="273" s="9" customFormat="1" x14ac:dyDescent="0.2"/>
    <row r="274" s="9" customFormat="1" x14ac:dyDescent="0.2"/>
    <row r="275" s="9" customFormat="1" x14ac:dyDescent="0.2"/>
    <row r="276" s="9" customFormat="1" x14ac:dyDescent="0.2"/>
    <row r="277" s="9" customFormat="1" x14ac:dyDescent="0.2"/>
    <row r="278" s="9" customFormat="1" x14ac:dyDescent="0.2"/>
    <row r="279" s="9" customFormat="1" x14ac:dyDescent="0.2"/>
    <row r="280" s="9" customFormat="1" x14ac:dyDescent="0.2"/>
    <row r="281" s="9" customFormat="1" x14ac:dyDescent="0.2"/>
    <row r="282" s="9" customFormat="1" x14ac:dyDescent="0.2"/>
    <row r="283" s="9" customFormat="1" x14ac:dyDescent="0.2"/>
    <row r="284" s="9" customFormat="1" x14ac:dyDescent="0.2"/>
    <row r="285" s="9" customFormat="1" x14ac:dyDescent="0.2"/>
    <row r="286" s="9" customFormat="1" x14ac:dyDescent="0.2"/>
    <row r="287" s="9" customFormat="1" x14ac:dyDescent="0.2"/>
    <row r="288" s="9" customFormat="1" x14ac:dyDescent="0.2"/>
    <row r="289" s="9" customFormat="1" x14ac:dyDescent="0.2"/>
    <row r="290" s="9" customFormat="1" x14ac:dyDescent="0.2"/>
    <row r="291" s="9" customFormat="1" x14ac:dyDescent="0.2"/>
    <row r="292" s="9" customFormat="1" x14ac:dyDescent="0.2"/>
    <row r="293" s="9" customFormat="1" x14ac:dyDescent="0.2"/>
    <row r="294" s="9" customFormat="1" x14ac:dyDescent="0.2"/>
    <row r="295" s="9" customFormat="1" x14ac:dyDescent="0.2"/>
    <row r="296" s="9" customFormat="1" x14ac:dyDescent="0.2"/>
    <row r="297" s="9" customFormat="1" x14ac:dyDescent="0.2"/>
    <row r="298" s="9" customFormat="1" x14ac:dyDescent="0.2"/>
    <row r="299" s="9" customFormat="1" x14ac:dyDescent="0.2"/>
    <row r="300" s="9" customFormat="1" x14ac:dyDescent="0.2"/>
    <row r="301" s="9" customFormat="1" x14ac:dyDescent="0.2"/>
    <row r="302" s="9" customFormat="1" x14ac:dyDescent="0.2"/>
    <row r="303" s="9" customFormat="1" x14ac:dyDescent="0.2"/>
    <row r="304" s="9" customFormat="1" x14ac:dyDescent="0.2"/>
    <row r="305" s="9" customFormat="1" x14ac:dyDescent="0.2"/>
    <row r="306" s="9" customFormat="1" x14ac:dyDescent="0.2"/>
    <row r="307" s="9" customFormat="1" x14ac:dyDescent="0.2"/>
    <row r="308" s="9" customFormat="1" x14ac:dyDescent="0.2"/>
    <row r="309" s="9" customFormat="1" x14ac:dyDescent="0.2"/>
    <row r="310" s="9" customFormat="1" x14ac:dyDescent="0.2"/>
    <row r="311" s="9" customFormat="1" x14ac:dyDescent="0.2"/>
    <row r="312" s="9" customFormat="1" x14ac:dyDescent="0.2"/>
    <row r="313" s="9" customFormat="1" x14ac:dyDescent="0.2"/>
    <row r="314" s="9" customFormat="1" x14ac:dyDescent="0.2"/>
    <row r="315" s="9" customFormat="1" x14ac:dyDescent="0.2"/>
    <row r="316" s="9" customFormat="1" x14ac:dyDescent="0.2"/>
    <row r="317" s="9" customFormat="1" x14ac:dyDescent="0.2"/>
    <row r="318" s="9" customFormat="1" x14ac:dyDescent="0.2"/>
    <row r="319" s="9" customFormat="1" x14ac:dyDescent="0.2"/>
    <row r="320" s="9" customFormat="1" x14ac:dyDescent="0.2"/>
    <row r="321" s="9" customFormat="1" x14ac:dyDescent="0.2"/>
    <row r="322" s="9" customFormat="1" x14ac:dyDescent="0.2"/>
    <row r="323" s="9" customFormat="1" x14ac:dyDescent="0.2"/>
    <row r="324" s="9" customFormat="1" x14ac:dyDescent="0.2"/>
    <row r="325" s="9" customFormat="1" x14ac:dyDescent="0.2"/>
    <row r="326" s="9" customFormat="1" x14ac:dyDescent="0.2"/>
    <row r="327" s="9" customFormat="1" x14ac:dyDescent="0.2"/>
    <row r="328" s="9" customFormat="1" x14ac:dyDescent="0.2"/>
    <row r="329" s="9" customFormat="1" x14ac:dyDescent="0.2"/>
    <row r="330" s="9" customFormat="1" x14ac:dyDescent="0.2"/>
    <row r="331" s="9" customFormat="1" x14ac:dyDescent="0.2"/>
    <row r="332" s="9" customFormat="1" x14ac:dyDescent="0.2"/>
    <row r="333" s="9" customFormat="1" x14ac:dyDescent="0.2"/>
    <row r="334" s="9" customFormat="1" x14ac:dyDescent="0.2"/>
    <row r="335" s="9" customFormat="1" x14ac:dyDescent="0.2"/>
    <row r="336" s="9" customFormat="1" x14ac:dyDescent="0.2"/>
    <row r="337" s="9" customFormat="1" x14ac:dyDescent="0.2"/>
    <row r="338" s="9" customFormat="1" x14ac:dyDescent="0.2"/>
    <row r="339" s="9" customFormat="1" x14ac:dyDescent="0.2"/>
    <row r="340" s="9" customFormat="1" x14ac:dyDescent="0.2"/>
    <row r="341" s="9" customFormat="1" x14ac:dyDescent="0.2"/>
    <row r="342" s="9" customFormat="1" x14ac:dyDescent="0.2"/>
    <row r="343" s="9" customFormat="1" x14ac:dyDescent="0.2"/>
    <row r="344" s="9" customFormat="1" x14ac:dyDescent="0.2"/>
    <row r="345" s="9" customFormat="1" x14ac:dyDescent="0.2"/>
    <row r="346" s="9" customFormat="1" x14ac:dyDescent="0.2"/>
    <row r="347" s="9" customFormat="1" x14ac:dyDescent="0.2"/>
    <row r="348" s="9" customFormat="1" x14ac:dyDescent="0.2"/>
    <row r="349" s="9" customFormat="1" x14ac:dyDescent="0.2"/>
    <row r="350" s="9" customFormat="1" x14ac:dyDescent="0.2"/>
    <row r="351" s="9" customFormat="1" x14ac:dyDescent="0.2"/>
    <row r="352" s="9" customFormat="1" x14ac:dyDescent="0.2"/>
    <row r="353" s="9" customFormat="1" x14ac:dyDescent="0.2"/>
    <row r="354" s="9" customFormat="1" x14ac:dyDescent="0.2"/>
    <row r="355" s="9" customFormat="1" x14ac:dyDescent="0.2"/>
    <row r="356" s="9" customFormat="1" x14ac:dyDescent="0.2"/>
  </sheetData>
  <sheetProtection sheet="1" objects="1" scenarios="1" selectLockedCells="1"/>
  <conditionalFormatting sqref="D11">
    <cfRule type="cellIs" dxfId="13" priority="2" stopIfTrue="1" operator="lessThan">
      <formula>$D$12</formula>
    </cfRule>
    <cfRule type="cellIs" dxfId="12" priority="3" stopIfTrue="1" operator="greaterThan">
      <formula>$D$12</formula>
    </cfRule>
  </conditionalFormatting>
  <conditionalFormatting sqref="D20">
    <cfRule type="cellIs" dxfId="11" priority="1" stopIfTrue="1" operator="greaterThan">
      <formula>$H$20</formula>
    </cfRule>
  </conditionalFormatting>
  <dataValidations xWindow="771" yWindow="481" count="6">
    <dataValidation type="list" allowBlank="1" showInputMessage="1" showErrorMessage="1" sqref="F17" xr:uid="{00000000-0002-0000-0500-000000000000}">
      <formula1>"No corregir de condensacion, Corregir de condensación"</formula1>
    </dataValidation>
    <dataValidation type="list" allowBlank="1" showInputMessage="1" showErrorMessage="1" sqref="F3" xr:uid="{00000000-0002-0000-0500-000001000000}">
      <formula1>material</formula1>
    </dataValidation>
    <dataValidation type="list" allowBlank="1" showInputMessage="1" showErrorMessage="1" sqref="F7" xr:uid="{00000000-0002-0000-0500-000002000000}">
      <formula1>"Aproximacion automatica, Manual"</formula1>
    </dataValidation>
    <dataValidation showInputMessage="1" showErrorMessage="1" errorTitle="DATO FUERA DE RANGO" error="Valores válidos entre 5 y 2000_x000a_" prompt="valores entre 5 y 2000" sqref="D5" xr:uid="{00000000-0002-0000-0500-000003000000}"/>
    <dataValidation type="decimal" allowBlank="1" showInputMessage="1" showErrorMessage="1" errorTitle="DATO FUERA DE RANGO" error="Valores entre 0 y 220" prompt="valores entre_x000a_0 y 220" sqref="D10" xr:uid="{00000000-0002-0000-0500-000004000000}">
      <formula1>0</formula1>
      <formula2>220</formula2>
    </dataValidation>
    <dataValidation type="decimal" allowBlank="1" showInputMessage="1" showErrorMessage="1" errorTitle="FUERA DE RANGO" error="VALORES ADMISIBLES ENTRE Ts Y 374°C" prompt="valores entre_x000a_Ts y 374°C" sqref="D11" xr:uid="{00000000-0002-0000-0500-000005000000}">
      <formula1>D12</formula1>
      <formula2>374</formula2>
    </dataValidation>
  </dataValidations>
  <pageMargins left="0.7" right="0.7" top="0.75" bottom="0.75" header="0.3" footer="0.3"/>
  <pageSetup paperSize="9" orientation="portrait" horizontalDpi="300" verticalDpi="0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Fill="0" autoLine="0" r:id="rId5">
            <anchor moveWithCells="1">
              <from>
                <xdr:col>6</xdr:col>
                <xdr:colOff>257175</xdr:colOff>
                <xdr:row>20</xdr:row>
                <xdr:rowOff>104775</xdr:rowOff>
              </from>
              <to>
                <xdr:col>7</xdr:col>
                <xdr:colOff>285750</xdr:colOff>
                <xdr:row>23</xdr:row>
                <xdr:rowOff>9525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9">
    <pageSetUpPr fitToPage="1"/>
  </sheetPr>
  <dimension ref="A1:AL348"/>
  <sheetViews>
    <sheetView showGridLines="0" showRowColHeaders="0" zoomScaleNormal="100" zoomScaleSheetLayoutView="145" workbookViewId="0">
      <selection activeCell="D14" sqref="D14"/>
    </sheetView>
  </sheetViews>
  <sheetFormatPr baseColWidth="10" defaultColWidth="11.42578125" defaultRowHeight="12.75" x14ac:dyDescent="0.2"/>
  <cols>
    <col min="1" max="1" width="4.28515625" style="9" customWidth="1"/>
    <col min="2" max="2" width="43.5703125" style="10" customWidth="1"/>
    <col min="3" max="3" width="3.28515625" style="10" bestFit="1" customWidth="1"/>
    <col min="4" max="4" width="12.140625" style="10" customWidth="1"/>
    <col min="5" max="5" width="8.140625" style="10" bestFit="1" customWidth="1"/>
    <col min="6" max="6" width="19.85546875" style="10" customWidth="1"/>
    <col min="7" max="7" width="15" style="10" bestFit="1" customWidth="1"/>
    <col min="8" max="8" width="3.140625" style="10" customWidth="1"/>
    <col min="9" max="9" width="11.42578125" style="9"/>
    <col min="10" max="10" width="8.42578125" style="9" hidden="1" customWidth="1"/>
    <col min="11" max="11" width="12.28515625" style="9" hidden="1" customWidth="1"/>
    <col min="12" max="12" width="8.85546875" style="9" hidden="1" customWidth="1"/>
    <col min="13" max="13" width="8.140625" style="9" hidden="1" customWidth="1"/>
    <col min="14" max="38" width="11.42578125" style="9"/>
    <col min="39" max="16384" width="11.42578125" style="10"/>
  </cols>
  <sheetData>
    <row r="1" spans="1:38" s="4" customFormat="1" ht="27.75" customHeight="1" x14ac:dyDescent="0.25">
      <c r="A1" s="22"/>
      <c r="B1" s="45" t="s">
        <v>101</v>
      </c>
      <c r="C1" s="6"/>
      <c r="D1" s="6"/>
      <c r="E1" s="6"/>
      <c r="F1" s="6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</row>
    <row r="2" spans="1:38" s="4" customFormat="1" ht="18" x14ac:dyDescent="0.25">
      <c r="A2" s="22"/>
      <c r="B2" s="40" t="s">
        <v>56</v>
      </c>
      <c r="C2" s="76"/>
      <c r="D2" s="44" t="s">
        <v>61</v>
      </c>
      <c r="E2" s="3"/>
      <c r="F2" s="3"/>
      <c r="G2" s="3"/>
      <c r="H2" s="3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</row>
    <row r="3" spans="1:38" s="4" customFormat="1" ht="13.5" x14ac:dyDescent="0.25">
      <c r="A3" s="22"/>
      <c r="B3" s="4" t="s">
        <v>40</v>
      </c>
      <c r="C3" s="4" t="s">
        <v>217</v>
      </c>
      <c r="D3" s="11">
        <v>20</v>
      </c>
      <c r="E3" s="4" t="s">
        <v>31</v>
      </c>
      <c r="F3" s="8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</row>
    <row r="4" spans="1:38" s="4" customFormat="1" ht="13.5" x14ac:dyDescent="0.25">
      <c r="A4" s="22"/>
      <c r="B4" s="4" t="s">
        <v>28</v>
      </c>
      <c r="C4" s="4" t="s">
        <v>218</v>
      </c>
      <c r="D4" s="11">
        <v>240</v>
      </c>
      <c r="E4" s="4" t="s">
        <v>32</v>
      </c>
      <c r="F4" s="8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</row>
    <row r="5" spans="1:38" s="4" customFormat="1" ht="13.5" x14ac:dyDescent="0.25">
      <c r="A5" s="22"/>
      <c r="B5" s="4" t="s">
        <v>39</v>
      </c>
      <c r="C5" s="4" t="s">
        <v>76</v>
      </c>
      <c r="D5" s="31">
        <f>tSatW(D3+1.01325)-273.15</f>
        <v>214.89734071757999</v>
      </c>
      <c r="E5" s="25" t="s">
        <v>32</v>
      </c>
      <c r="F5" s="8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</row>
    <row r="6" spans="1:38" s="4" customFormat="1" ht="13.5" x14ac:dyDescent="0.25">
      <c r="A6" s="22"/>
      <c r="B6" s="4" t="s">
        <v>89</v>
      </c>
      <c r="C6" s="4" t="s">
        <v>219</v>
      </c>
      <c r="D6" s="32">
        <f>IF(D4&gt;D5,enthalpyW(D4+273.15,D3+1.01325)*0.0002777777,enthalpySatVapPW(D3+1.01325)*0.0002777777)</f>
        <v>0.79787324561247397</v>
      </c>
      <c r="E6" s="25" t="s">
        <v>88</v>
      </c>
      <c r="F6" s="8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</row>
    <row r="7" spans="1:38" s="4" customFormat="1" ht="15.75" x14ac:dyDescent="0.25">
      <c r="A7" s="22"/>
      <c r="B7" s="40" t="s">
        <v>87</v>
      </c>
      <c r="C7" s="3"/>
      <c r="D7" s="44" t="s">
        <v>61</v>
      </c>
      <c r="E7" s="3"/>
      <c r="F7" s="3"/>
      <c r="G7" s="3"/>
      <c r="H7" s="3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</row>
    <row r="8" spans="1:38" s="4" customFormat="1" ht="13.5" x14ac:dyDescent="0.25">
      <c r="A8" s="22"/>
      <c r="B8" s="4" t="s">
        <v>40</v>
      </c>
      <c r="C8" s="4" t="s">
        <v>217</v>
      </c>
      <c r="D8" s="11">
        <v>4</v>
      </c>
      <c r="E8" s="4" t="s">
        <v>31</v>
      </c>
      <c r="F8" s="8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</row>
    <row r="9" spans="1:38" s="4" customFormat="1" ht="13.5" x14ac:dyDescent="0.25">
      <c r="A9" s="22"/>
      <c r="B9" s="4" t="s">
        <v>28</v>
      </c>
      <c r="C9" s="4" t="s">
        <v>220</v>
      </c>
      <c r="D9" s="11">
        <v>151</v>
      </c>
      <c r="E9" s="4" t="s">
        <v>32</v>
      </c>
      <c r="F9" s="8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</row>
    <row r="10" spans="1:38" s="4" customFormat="1" ht="13.5" x14ac:dyDescent="0.25">
      <c r="A10" s="22"/>
      <c r="B10" s="4" t="s">
        <v>39</v>
      </c>
      <c r="C10" s="4" t="s">
        <v>76</v>
      </c>
      <c r="D10" s="31">
        <f>tSatW(D8+1.01325)-273.15</f>
        <v>151.93597693401904</v>
      </c>
      <c r="E10" s="25" t="s">
        <v>32</v>
      </c>
      <c r="F10" s="8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</row>
    <row r="11" spans="1:38" s="4" customFormat="1" ht="13.5" x14ac:dyDescent="0.25">
      <c r="A11" s="22"/>
      <c r="B11" s="4" t="s">
        <v>90</v>
      </c>
      <c r="C11" s="4" t="s">
        <v>221</v>
      </c>
      <c r="D11" s="32">
        <f>enthalpySatLiqTW(D9+273.15)*0.0002777777</f>
        <v>0.17682524647374401</v>
      </c>
      <c r="E11" s="25" t="s">
        <v>88</v>
      </c>
      <c r="F11" s="8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</row>
    <row r="12" spans="1:38" s="4" customFormat="1" ht="15.75" x14ac:dyDescent="0.25">
      <c r="A12" s="22"/>
      <c r="B12" s="40" t="s">
        <v>91</v>
      </c>
      <c r="C12" s="3"/>
      <c r="D12" s="5"/>
      <c r="E12" s="3"/>
      <c r="F12" s="3"/>
      <c r="G12" s="3"/>
      <c r="H12" s="3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</row>
    <row r="13" spans="1:38" s="4" customFormat="1" ht="13.5" x14ac:dyDescent="0.25">
      <c r="A13" s="22"/>
      <c r="B13" s="4" t="s">
        <v>92</v>
      </c>
      <c r="C13" s="4" t="s">
        <v>222</v>
      </c>
      <c r="D13" s="48">
        <f>D6-D11</f>
        <v>0.62104799913872999</v>
      </c>
      <c r="E13" s="25" t="s">
        <v>88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</row>
    <row r="14" spans="1:38" s="4" customFormat="1" ht="13.5" x14ac:dyDescent="0.25">
      <c r="A14" s="22"/>
      <c r="B14" s="4" t="s">
        <v>93</v>
      </c>
      <c r="C14" s="4" t="s">
        <v>23</v>
      </c>
      <c r="D14" s="49">
        <v>1000</v>
      </c>
      <c r="E14" s="4" t="s">
        <v>34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</row>
    <row r="15" spans="1:38" s="4" customFormat="1" ht="13.5" x14ac:dyDescent="0.25">
      <c r="A15" s="22"/>
      <c r="B15" s="4" t="s">
        <v>94</v>
      </c>
      <c r="C15" s="4" t="s">
        <v>102</v>
      </c>
      <c r="D15" s="50">
        <f>D13*D14</f>
        <v>621.04799913873001</v>
      </c>
      <c r="E15" s="25" t="s">
        <v>95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</row>
    <row r="16" spans="1:38" s="4" customFormat="1" ht="13.5" x14ac:dyDescent="0.25">
      <c r="A16" s="22"/>
      <c r="E16" s="37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</row>
    <row r="17" spans="6:6" s="9" customFormat="1" ht="13.5" x14ac:dyDescent="0.25">
      <c r="F17" s="39"/>
    </row>
    <row r="18" spans="6:6" s="9" customFormat="1" x14ac:dyDescent="0.2"/>
    <row r="19" spans="6:6" s="9" customFormat="1" x14ac:dyDescent="0.2"/>
    <row r="20" spans="6:6" s="9" customFormat="1" x14ac:dyDescent="0.2"/>
    <row r="21" spans="6:6" s="9" customFormat="1" x14ac:dyDescent="0.2"/>
    <row r="22" spans="6:6" s="9" customFormat="1" x14ac:dyDescent="0.2"/>
    <row r="23" spans="6:6" s="9" customFormat="1" x14ac:dyDescent="0.2"/>
    <row r="24" spans="6:6" s="9" customFormat="1" x14ac:dyDescent="0.2"/>
    <row r="25" spans="6:6" s="9" customFormat="1" x14ac:dyDescent="0.2"/>
    <row r="26" spans="6:6" s="9" customFormat="1" x14ac:dyDescent="0.2"/>
    <row r="27" spans="6:6" s="9" customFormat="1" x14ac:dyDescent="0.2"/>
    <row r="28" spans="6:6" s="9" customFormat="1" x14ac:dyDescent="0.2"/>
    <row r="29" spans="6:6" s="9" customFormat="1" x14ac:dyDescent="0.2"/>
    <row r="30" spans="6:6" s="9" customFormat="1" x14ac:dyDescent="0.2"/>
    <row r="31" spans="6:6" s="9" customFormat="1" x14ac:dyDescent="0.2"/>
    <row r="32" spans="6:6" s="9" customFormat="1" x14ac:dyDescent="0.2"/>
    <row r="33" s="9" customFormat="1" x14ac:dyDescent="0.2"/>
    <row r="34" s="9" customFormat="1" x14ac:dyDescent="0.2"/>
    <row r="35" s="9" customFormat="1" x14ac:dyDescent="0.2"/>
    <row r="36" s="9" customFormat="1" x14ac:dyDescent="0.2"/>
    <row r="37" s="9" customFormat="1" x14ac:dyDescent="0.2"/>
    <row r="38" s="9" customFormat="1" x14ac:dyDescent="0.2"/>
    <row r="39" s="9" customFormat="1" x14ac:dyDescent="0.2"/>
    <row r="40" s="9" customFormat="1" x14ac:dyDescent="0.2"/>
    <row r="41" s="9" customFormat="1" x14ac:dyDescent="0.2"/>
    <row r="42" s="9" customFormat="1" x14ac:dyDescent="0.2"/>
    <row r="43" s="9" customFormat="1" x14ac:dyDescent="0.2"/>
    <row r="44" s="9" customFormat="1" x14ac:dyDescent="0.2"/>
    <row r="45" s="9" customFormat="1" x14ac:dyDescent="0.2"/>
    <row r="46" s="9" customFormat="1" x14ac:dyDescent="0.2"/>
    <row r="47" s="9" customFormat="1" x14ac:dyDescent="0.2"/>
    <row r="48" s="9" customFormat="1" x14ac:dyDescent="0.2"/>
    <row r="49" s="9" customFormat="1" x14ac:dyDescent="0.2"/>
    <row r="50" s="9" customFormat="1" x14ac:dyDescent="0.2"/>
    <row r="51" s="9" customFormat="1" x14ac:dyDescent="0.2"/>
    <row r="52" s="9" customFormat="1" x14ac:dyDescent="0.2"/>
    <row r="53" s="9" customFormat="1" x14ac:dyDescent="0.2"/>
    <row r="54" s="9" customFormat="1" x14ac:dyDescent="0.2"/>
    <row r="55" s="9" customFormat="1" x14ac:dyDescent="0.2"/>
    <row r="56" s="9" customFormat="1" x14ac:dyDescent="0.2"/>
    <row r="57" s="9" customFormat="1" x14ac:dyDescent="0.2"/>
    <row r="58" s="9" customFormat="1" x14ac:dyDescent="0.2"/>
    <row r="59" s="9" customFormat="1" x14ac:dyDescent="0.2"/>
    <row r="60" s="9" customFormat="1" x14ac:dyDescent="0.2"/>
    <row r="61" s="9" customFormat="1" x14ac:dyDescent="0.2"/>
    <row r="62" s="9" customFormat="1" x14ac:dyDescent="0.2"/>
    <row r="63" s="9" customFormat="1" x14ac:dyDescent="0.2"/>
    <row r="64" s="9" customFormat="1" x14ac:dyDescent="0.2"/>
    <row r="65" s="9" customFormat="1" x14ac:dyDescent="0.2"/>
    <row r="66" s="9" customFormat="1" x14ac:dyDescent="0.2"/>
    <row r="67" s="9" customFormat="1" x14ac:dyDescent="0.2"/>
    <row r="68" s="9" customFormat="1" x14ac:dyDescent="0.2"/>
    <row r="69" s="9" customFormat="1" x14ac:dyDescent="0.2"/>
    <row r="70" s="9" customFormat="1" x14ac:dyDescent="0.2"/>
    <row r="71" s="9" customFormat="1" x14ac:dyDescent="0.2"/>
    <row r="72" s="9" customFormat="1" x14ac:dyDescent="0.2"/>
    <row r="73" s="9" customFormat="1" x14ac:dyDescent="0.2"/>
    <row r="74" s="9" customFormat="1" x14ac:dyDescent="0.2"/>
    <row r="75" s="9" customFormat="1" x14ac:dyDescent="0.2"/>
    <row r="76" s="9" customFormat="1" x14ac:dyDescent="0.2"/>
    <row r="77" s="9" customFormat="1" x14ac:dyDescent="0.2"/>
    <row r="78" s="9" customFormat="1" x14ac:dyDescent="0.2"/>
    <row r="79" s="9" customFormat="1" x14ac:dyDescent="0.2"/>
    <row r="80" s="9" customFormat="1" x14ac:dyDescent="0.2"/>
    <row r="81" s="9" customFormat="1" x14ac:dyDescent="0.2"/>
    <row r="82" s="9" customFormat="1" x14ac:dyDescent="0.2"/>
    <row r="83" s="9" customFormat="1" x14ac:dyDescent="0.2"/>
    <row r="84" s="9" customFormat="1" x14ac:dyDescent="0.2"/>
    <row r="85" s="9" customFormat="1" x14ac:dyDescent="0.2"/>
    <row r="86" s="9" customFormat="1" x14ac:dyDescent="0.2"/>
    <row r="87" s="9" customFormat="1" x14ac:dyDescent="0.2"/>
    <row r="88" s="9" customFormat="1" x14ac:dyDescent="0.2"/>
    <row r="89" s="9" customFormat="1" x14ac:dyDescent="0.2"/>
    <row r="90" s="9" customFormat="1" x14ac:dyDescent="0.2"/>
    <row r="91" s="9" customFormat="1" x14ac:dyDescent="0.2"/>
    <row r="92" s="9" customFormat="1" x14ac:dyDescent="0.2"/>
    <row r="93" s="9" customFormat="1" x14ac:dyDescent="0.2"/>
    <row r="94" s="9" customFormat="1" x14ac:dyDescent="0.2"/>
    <row r="95" s="9" customFormat="1" x14ac:dyDescent="0.2"/>
    <row r="96" s="9" customFormat="1" x14ac:dyDescent="0.2"/>
    <row r="97" s="9" customFormat="1" x14ac:dyDescent="0.2"/>
    <row r="98" s="9" customFormat="1" x14ac:dyDescent="0.2"/>
    <row r="99" s="9" customFormat="1" x14ac:dyDescent="0.2"/>
    <row r="100" s="9" customFormat="1" x14ac:dyDescent="0.2"/>
    <row r="101" s="9" customFormat="1" x14ac:dyDescent="0.2"/>
    <row r="102" s="9" customFormat="1" x14ac:dyDescent="0.2"/>
    <row r="103" s="9" customFormat="1" x14ac:dyDescent="0.2"/>
    <row r="104" s="9" customFormat="1" x14ac:dyDescent="0.2"/>
    <row r="105" s="9" customFormat="1" x14ac:dyDescent="0.2"/>
    <row r="106" s="9" customFormat="1" x14ac:dyDescent="0.2"/>
    <row r="107" s="9" customFormat="1" x14ac:dyDescent="0.2"/>
    <row r="108" s="9" customFormat="1" x14ac:dyDescent="0.2"/>
    <row r="109" s="9" customFormat="1" x14ac:dyDescent="0.2"/>
    <row r="110" s="9" customFormat="1" x14ac:dyDescent="0.2"/>
    <row r="111" s="9" customFormat="1" x14ac:dyDescent="0.2"/>
    <row r="112" s="9" customFormat="1" x14ac:dyDescent="0.2"/>
    <row r="113" s="9" customFormat="1" x14ac:dyDescent="0.2"/>
    <row r="114" s="9" customFormat="1" x14ac:dyDescent="0.2"/>
    <row r="115" s="9" customFormat="1" x14ac:dyDescent="0.2"/>
    <row r="116" s="9" customFormat="1" x14ac:dyDescent="0.2"/>
    <row r="117" s="9" customFormat="1" x14ac:dyDescent="0.2"/>
    <row r="118" s="9" customFormat="1" x14ac:dyDescent="0.2"/>
    <row r="119" s="9" customFormat="1" x14ac:dyDescent="0.2"/>
    <row r="120" s="9" customFormat="1" x14ac:dyDescent="0.2"/>
    <row r="121" s="9" customFormat="1" x14ac:dyDescent="0.2"/>
    <row r="122" s="9" customFormat="1" x14ac:dyDescent="0.2"/>
    <row r="123" s="9" customFormat="1" x14ac:dyDescent="0.2"/>
    <row r="124" s="9" customFormat="1" x14ac:dyDescent="0.2"/>
    <row r="125" s="9" customFormat="1" x14ac:dyDescent="0.2"/>
    <row r="126" s="9" customFormat="1" x14ac:dyDescent="0.2"/>
    <row r="127" s="9" customFormat="1" x14ac:dyDescent="0.2"/>
    <row r="128" s="9" customFormat="1" x14ac:dyDescent="0.2"/>
    <row r="129" s="9" customFormat="1" x14ac:dyDescent="0.2"/>
    <row r="130" s="9" customFormat="1" x14ac:dyDescent="0.2"/>
    <row r="131" s="9" customFormat="1" x14ac:dyDescent="0.2"/>
    <row r="132" s="9" customFormat="1" x14ac:dyDescent="0.2"/>
    <row r="133" s="9" customFormat="1" x14ac:dyDescent="0.2"/>
    <row r="134" s="9" customFormat="1" x14ac:dyDescent="0.2"/>
    <row r="135" s="9" customFormat="1" x14ac:dyDescent="0.2"/>
    <row r="136" s="9" customFormat="1" x14ac:dyDescent="0.2"/>
    <row r="137" s="9" customFormat="1" x14ac:dyDescent="0.2"/>
    <row r="138" s="9" customFormat="1" x14ac:dyDescent="0.2"/>
    <row r="139" s="9" customFormat="1" x14ac:dyDescent="0.2"/>
    <row r="140" s="9" customFormat="1" x14ac:dyDescent="0.2"/>
    <row r="141" s="9" customFormat="1" x14ac:dyDescent="0.2"/>
    <row r="142" s="9" customFormat="1" x14ac:dyDescent="0.2"/>
    <row r="143" s="9" customFormat="1" x14ac:dyDescent="0.2"/>
    <row r="144" s="9" customFormat="1" x14ac:dyDescent="0.2"/>
    <row r="145" s="9" customFormat="1" x14ac:dyDescent="0.2"/>
    <row r="146" s="9" customFormat="1" x14ac:dyDescent="0.2"/>
    <row r="147" s="9" customFormat="1" x14ac:dyDescent="0.2"/>
    <row r="148" s="9" customFormat="1" x14ac:dyDescent="0.2"/>
    <row r="149" s="9" customFormat="1" x14ac:dyDescent="0.2"/>
    <row r="150" s="9" customFormat="1" x14ac:dyDescent="0.2"/>
    <row r="151" s="9" customFormat="1" x14ac:dyDescent="0.2"/>
    <row r="152" s="9" customFormat="1" x14ac:dyDescent="0.2"/>
    <row r="153" s="9" customFormat="1" x14ac:dyDescent="0.2"/>
    <row r="154" s="9" customFormat="1" x14ac:dyDescent="0.2"/>
    <row r="155" s="9" customFormat="1" x14ac:dyDescent="0.2"/>
    <row r="156" s="9" customFormat="1" x14ac:dyDescent="0.2"/>
    <row r="157" s="9" customFormat="1" x14ac:dyDescent="0.2"/>
    <row r="158" s="9" customFormat="1" x14ac:dyDescent="0.2"/>
    <row r="159" s="9" customFormat="1" x14ac:dyDescent="0.2"/>
    <row r="160" s="9" customFormat="1" x14ac:dyDescent="0.2"/>
    <row r="161" s="9" customFormat="1" x14ac:dyDescent="0.2"/>
    <row r="162" s="9" customFormat="1" x14ac:dyDescent="0.2"/>
    <row r="163" s="9" customFormat="1" x14ac:dyDescent="0.2"/>
    <row r="164" s="9" customFormat="1" x14ac:dyDescent="0.2"/>
    <row r="165" s="9" customFormat="1" x14ac:dyDescent="0.2"/>
    <row r="166" s="9" customFormat="1" x14ac:dyDescent="0.2"/>
    <row r="167" s="9" customFormat="1" x14ac:dyDescent="0.2"/>
    <row r="168" s="9" customFormat="1" x14ac:dyDescent="0.2"/>
    <row r="169" s="9" customFormat="1" x14ac:dyDescent="0.2"/>
    <row r="170" s="9" customFormat="1" x14ac:dyDescent="0.2"/>
    <row r="171" s="9" customFormat="1" x14ac:dyDescent="0.2"/>
    <row r="172" s="9" customFormat="1" x14ac:dyDescent="0.2"/>
    <row r="173" s="9" customFormat="1" x14ac:dyDescent="0.2"/>
    <row r="174" s="9" customFormat="1" x14ac:dyDescent="0.2"/>
    <row r="175" s="9" customFormat="1" x14ac:dyDescent="0.2"/>
    <row r="176" s="9" customFormat="1" x14ac:dyDescent="0.2"/>
    <row r="177" s="9" customFormat="1" x14ac:dyDescent="0.2"/>
    <row r="178" s="9" customFormat="1" x14ac:dyDescent="0.2"/>
    <row r="179" s="9" customFormat="1" x14ac:dyDescent="0.2"/>
    <row r="180" s="9" customFormat="1" x14ac:dyDescent="0.2"/>
    <row r="181" s="9" customFormat="1" x14ac:dyDescent="0.2"/>
    <row r="182" s="9" customFormat="1" x14ac:dyDescent="0.2"/>
    <row r="183" s="9" customFormat="1" x14ac:dyDescent="0.2"/>
    <row r="184" s="9" customFormat="1" x14ac:dyDescent="0.2"/>
    <row r="185" s="9" customFormat="1" x14ac:dyDescent="0.2"/>
    <row r="186" s="9" customFormat="1" x14ac:dyDescent="0.2"/>
    <row r="187" s="9" customFormat="1" x14ac:dyDescent="0.2"/>
    <row r="188" s="9" customFormat="1" x14ac:dyDescent="0.2"/>
    <row r="189" s="9" customFormat="1" x14ac:dyDescent="0.2"/>
    <row r="190" s="9" customFormat="1" x14ac:dyDescent="0.2"/>
    <row r="191" s="9" customFormat="1" x14ac:dyDescent="0.2"/>
    <row r="192" s="9" customFormat="1" x14ac:dyDescent="0.2"/>
    <row r="193" s="9" customFormat="1" x14ac:dyDescent="0.2"/>
    <row r="194" s="9" customFormat="1" x14ac:dyDescent="0.2"/>
    <row r="195" s="9" customFormat="1" x14ac:dyDescent="0.2"/>
    <row r="196" s="9" customFormat="1" x14ac:dyDescent="0.2"/>
    <row r="197" s="9" customFormat="1" x14ac:dyDescent="0.2"/>
    <row r="198" s="9" customFormat="1" x14ac:dyDescent="0.2"/>
    <row r="199" s="9" customFormat="1" x14ac:dyDescent="0.2"/>
    <row r="200" s="9" customFormat="1" x14ac:dyDescent="0.2"/>
    <row r="201" s="9" customFormat="1" x14ac:dyDescent="0.2"/>
    <row r="202" s="9" customFormat="1" x14ac:dyDescent="0.2"/>
    <row r="203" s="9" customFormat="1" x14ac:dyDescent="0.2"/>
    <row r="204" s="9" customFormat="1" x14ac:dyDescent="0.2"/>
    <row r="205" s="9" customFormat="1" x14ac:dyDescent="0.2"/>
    <row r="206" s="9" customFormat="1" x14ac:dyDescent="0.2"/>
    <row r="207" s="9" customFormat="1" x14ac:dyDescent="0.2"/>
    <row r="208" s="9" customFormat="1" x14ac:dyDescent="0.2"/>
    <row r="209" s="9" customFormat="1" x14ac:dyDescent="0.2"/>
    <row r="210" s="9" customFormat="1" x14ac:dyDescent="0.2"/>
    <row r="211" s="9" customFormat="1" x14ac:dyDescent="0.2"/>
    <row r="212" s="9" customFormat="1" x14ac:dyDescent="0.2"/>
    <row r="213" s="9" customFormat="1" x14ac:dyDescent="0.2"/>
    <row r="214" s="9" customFormat="1" x14ac:dyDescent="0.2"/>
    <row r="215" s="9" customFormat="1" x14ac:dyDescent="0.2"/>
    <row r="216" s="9" customFormat="1" x14ac:dyDescent="0.2"/>
    <row r="217" s="9" customFormat="1" x14ac:dyDescent="0.2"/>
    <row r="218" s="9" customFormat="1" x14ac:dyDescent="0.2"/>
    <row r="219" s="9" customFormat="1" x14ac:dyDescent="0.2"/>
    <row r="220" s="9" customFormat="1" x14ac:dyDescent="0.2"/>
    <row r="221" s="9" customFormat="1" x14ac:dyDescent="0.2"/>
    <row r="222" s="9" customFormat="1" x14ac:dyDescent="0.2"/>
    <row r="223" s="9" customFormat="1" x14ac:dyDescent="0.2"/>
    <row r="224" s="9" customFormat="1" x14ac:dyDescent="0.2"/>
    <row r="225" s="9" customFormat="1" x14ac:dyDescent="0.2"/>
    <row r="226" s="9" customFormat="1" x14ac:dyDescent="0.2"/>
    <row r="227" s="9" customFormat="1" x14ac:dyDescent="0.2"/>
    <row r="228" s="9" customFormat="1" x14ac:dyDescent="0.2"/>
    <row r="229" s="9" customFormat="1" x14ac:dyDescent="0.2"/>
    <row r="230" s="9" customFormat="1" x14ac:dyDescent="0.2"/>
    <row r="231" s="9" customFormat="1" x14ac:dyDescent="0.2"/>
    <row r="232" s="9" customFormat="1" x14ac:dyDescent="0.2"/>
    <row r="233" s="9" customFormat="1" x14ac:dyDescent="0.2"/>
    <row r="234" s="9" customFormat="1" x14ac:dyDescent="0.2"/>
    <row r="235" s="9" customFormat="1" x14ac:dyDescent="0.2"/>
    <row r="236" s="9" customFormat="1" x14ac:dyDescent="0.2"/>
    <row r="237" s="9" customFormat="1" x14ac:dyDescent="0.2"/>
    <row r="238" s="9" customFormat="1" x14ac:dyDescent="0.2"/>
    <row r="239" s="9" customFormat="1" x14ac:dyDescent="0.2"/>
    <row r="240" s="9" customFormat="1" x14ac:dyDescent="0.2"/>
    <row r="241" s="9" customFormat="1" x14ac:dyDescent="0.2"/>
    <row r="242" s="9" customFormat="1" x14ac:dyDescent="0.2"/>
    <row r="243" s="9" customFormat="1" x14ac:dyDescent="0.2"/>
    <row r="244" s="9" customFormat="1" x14ac:dyDescent="0.2"/>
    <row r="245" s="9" customFormat="1" x14ac:dyDescent="0.2"/>
    <row r="246" s="9" customFormat="1" x14ac:dyDescent="0.2"/>
    <row r="247" s="9" customFormat="1" x14ac:dyDescent="0.2"/>
    <row r="248" s="9" customFormat="1" x14ac:dyDescent="0.2"/>
    <row r="249" s="9" customFormat="1" x14ac:dyDescent="0.2"/>
    <row r="250" s="9" customFormat="1" x14ac:dyDescent="0.2"/>
    <row r="251" s="9" customFormat="1" x14ac:dyDescent="0.2"/>
    <row r="252" s="9" customFormat="1" x14ac:dyDescent="0.2"/>
    <row r="253" s="9" customFormat="1" x14ac:dyDescent="0.2"/>
    <row r="254" s="9" customFormat="1" x14ac:dyDescent="0.2"/>
    <row r="255" s="9" customFormat="1" x14ac:dyDescent="0.2"/>
    <row r="256" s="9" customFormat="1" x14ac:dyDescent="0.2"/>
    <row r="257" s="9" customFormat="1" x14ac:dyDescent="0.2"/>
    <row r="258" s="9" customFormat="1" x14ac:dyDescent="0.2"/>
    <row r="259" s="9" customFormat="1" x14ac:dyDescent="0.2"/>
    <row r="260" s="9" customFormat="1" x14ac:dyDescent="0.2"/>
    <row r="261" s="9" customFormat="1" x14ac:dyDescent="0.2"/>
    <row r="262" s="9" customFormat="1" x14ac:dyDescent="0.2"/>
    <row r="263" s="9" customFormat="1" x14ac:dyDescent="0.2"/>
    <row r="264" s="9" customFormat="1" x14ac:dyDescent="0.2"/>
    <row r="265" s="9" customFormat="1" x14ac:dyDescent="0.2"/>
    <row r="266" s="9" customFormat="1" x14ac:dyDescent="0.2"/>
    <row r="267" s="9" customFormat="1" x14ac:dyDescent="0.2"/>
    <row r="268" s="9" customFormat="1" x14ac:dyDescent="0.2"/>
    <row r="269" s="9" customFormat="1" x14ac:dyDescent="0.2"/>
    <row r="270" s="9" customFormat="1" x14ac:dyDescent="0.2"/>
    <row r="271" s="9" customFormat="1" x14ac:dyDescent="0.2"/>
    <row r="272" s="9" customFormat="1" x14ac:dyDescent="0.2"/>
    <row r="273" s="9" customFormat="1" x14ac:dyDescent="0.2"/>
    <row r="274" s="9" customFormat="1" x14ac:dyDescent="0.2"/>
    <row r="275" s="9" customFormat="1" x14ac:dyDescent="0.2"/>
    <row r="276" s="9" customFormat="1" x14ac:dyDescent="0.2"/>
    <row r="277" s="9" customFormat="1" x14ac:dyDescent="0.2"/>
    <row r="278" s="9" customFormat="1" x14ac:dyDescent="0.2"/>
    <row r="279" s="9" customFormat="1" x14ac:dyDescent="0.2"/>
    <row r="280" s="9" customFormat="1" x14ac:dyDescent="0.2"/>
    <row r="281" s="9" customFormat="1" x14ac:dyDescent="0.2"/>
    <row r="282" s="9" customFormat="1" x14ac:dyDescent="0.2"/>
    <row r="283" s="9" customFormat="1" x14ac:dyDescent="0.2"/>
    <row r="284" s="9" customFormat="1" x14ac:dyDescent="0.2"/>
    <row r="285" s="9" customFormat="1" x14ac:dyDescent="0.2"/>
    <row r="286" s="9" customFormat="1" x14ac:dyDescent="0.2"/>
    <row r="287" s="9" customFormat="1" x14ac:dyDescent="0.2"/>
    <row r="288" s="9" customFormat="1" x14ac:dyDescent="0.2"/>
    <row r="289" s="9" customFormat="1" x14ac:dyDescent="0.2"/>
    <row r="290" s="9" customFormat="1" x14ac:dyDescent="0.2"/>
    <row r="291" s="9" customFormat="1" x14ac:dyDescent="0.2"/>
    <row r="292" s="9" customFormat="1" x14ac:dyDescent="0.2"/>
    <row r="293" s="9" customFormat="1" x14ac:dyDescent="0.2"/>
    <row r="294" s="9" customFormat="1" x14ac:dyDescent="0.2"/>
    <row r="295" s="9" customFormat="1" x14ac:dyDescent="0.2"/>
    <row r="296" s="9" customFormat="1" x14ac:dyDescent="0.2"/>
    <row r="297" s="9" customFormat="1" x14ac:dyDescent="0.2"/>
    <row r="298" s="9" customFormat="1" x14ac:dyDescent="0.2"/>
    <row r="299" s="9" customFormat="1" x14ac:dyDescent="0.2"/>
    <row r="300" s="9" customFormat="1" x14ac:dyDescent="0.2"/>
    <row r="301" s="9" customFormat="1" x14ac:dyDescent="0.2"/>
    <row r="302" s="9" customFormat="1" x14ac:dyDescent="0.2"/>
    <row r="303" s="9" customFormat="1" x14ac:dyDescent="0.2"/>
    <row r="304" s="9" customFormat="1" x14ac:dyDescent="0.2"/>
    <row r="305" s="9" customFormat="1" x14ac:dyDescent="0.2"/>
    <row r="306" s="9" customFormat="1" x14ac:dyDescent="0.2"/>
    <row r="307" s="9" customFormat="1" x14ac:dyDescent="0.2"/>
    <row r="308" s="9" customFormat="1" x14ac:dyDescent="0.2"/>
    <row r="309" s="9" customFormat="1" x14ac:dyDescent="0.2"/>
    <row r="310" s="9" customFormat="1" x14ac:dyDescent="0.2"/>
    <row r="311" s="9" customFormat="1" x14ac:dyDescent="0.2"/>
    <row r="312" s="9" customFormat="1" x14ac:dyDescent="0.2"/>
    <row r="313" s="9" customFormat="1" x14ac:dyDescent="0.2"/>
    <row r="314" s="9" customFormat="1" x14ac:dyDescent="0.2"/>
    <row r="315" s="9" customFormat="1" x14ac:dyDescent="0.2"/>
    <row r="316" s="9" customFormat="1" x14ac:dyDescent="0.2"/>
    <row r="317" s="9" customFormat="1" x14ac:dyDescent="0.2"/>
    <row r="318" s="9" customFormat="1" x14ac:dyDescent="0.2"/>
    <row r="319" s="9" customFormat="1" x14ac:dyDescent="0.2"/>
    <row r="320" s="9" customFormat="1" x14ac:dyDescent="0.2"/>
    <row r="321" s="9" customFormat="1" x14ac:dyDescent="0.2"/>
    <row r="322" s="9" customFormat="1" x14ac:dyDescent="0.2"/>
    <row r="323" s="9" customFormat="1" x14ac:dyDescent="0.2"/>
    <row r="324" s="9" customFormat="1" x14ac:dyDescent="0.2"/>
    <row r="325" s="9" customFormat="1" x14ac:dyDescent="0.2"/>
    <row r="326" s="9" customFormat="1" x14ac:dyDescent="0.2"/>
    <row r="327" s="9" customFormat="1" x14ac:dyDescent="0.2"/>
    <row r="328" s="9" customFormat="1" x14ac:dyDescent="0.2"/>
    <row r="329" s="9" customFormat="1" x14ac:dyDescent="0.2"/>
    <row r="330" s="9" customFormat="1" x14ac:dyDescent="0.2"/>
    <row r="331" s="9" customFormat="1" x14ac:dyDescent="0.2"/>
    <row r="332" s="9" customFormat="1" x14ac:dyDescent="0.2"/>
    <row r="333" s="9" customFormat="1" x14ac:dyDescent="0.2"/>
    <row r="334" s="9" customFormat="1" x14ac:dyDescent="0.2"/>
    <row r="335" s="9" customFormat="1" x14ac:dyDescent="0.2"/>
    <row r="336" s="9" customFormat="1" x14ac:dyDescent="0.2"/>
    <row r="337" s="9" customFormat="1" x14ac:dyDescent="0.2"/>
    <row r="338" s="9" customFormat="1" x14ac:dyDescent="0.2"/>
    <row r="339" s="9" customFormat="1" x14ac:dyDescent="0.2"/>
    <row r="340" s="9" customFormat="1" x14ac:dyDescent="0.2"/>
    <row r="341" s="9" customFormat="1" x14ac:dyDescent="0.2"/>
    <row r="342" s="9" customFormat="1" x14ac:dyDescent="0.2"/>
    <row r="343" s="9" customFormat="1" x14ac:dyDescent="0.2"/>
    <row r="344" s="9" customFormat="1" x14ac:dyDescent="0.2"/>
    <row r="345" s="9" customFormat="1" x14ac:dyDescent="0.2"/>
    <row r="346" s="9" customFormat="1" x14ac:dyDescent="0.2"/>
    <row r="347" s="9" customFormat="1" x14ac:dyDescent="0.2"/>
    <row r="348" s="9" customFormat="1" x14ac:dyDescent="0.2"/>
  </sheetData>
  <sheetProtection password="D96D" sheet="1" objects="1" scenarios="1" selectLockedCells="1"/>
  <conditionalFormatting sqref="D9 D4">
    <cfRule type="cellIs" dxfId="10" priority="4" stopIfTrue="1" operator="lessThan">
      <formula>$D$10</formula>
    </cfRule>
    <cfRule type="cellIs" dxfId="9" priority="5" stopIfTrue="1" operator="greaterThan">
      <formula>$D$10</formula>
    </cfRule>
  </conditionalFormatting>
  <dataValidations xWindow="650" yWindow="330" count="4">
    <dataValidation type="decimal" allowBlank="1" showInputMessage="1" showErrorMessage="1" errorTitle="FUERA DE RANGO" error="VALORES ADMISIBLES ENTRE Ts Y 374°C" prompt="valores entre_x000a_Ts y 374°C" sqref="D4" xr:uid="{00000000-0002-0000-0600-000000000000}">
      <formula1>D5</formula1>
      <formula2>374</formula2>
    </dataValidation>
    <dataValidation type="decimal" allowBlank="1" showInputMessage="1" showErrorMessage="1" errorTitle="FUERA DE RANGO" error="VALORES ADMISIBLES ENTRE 0,01 y Ts" prompt="valores entre_x000a_0,01 y Ts" sqref="D9" xr:uid="{00000000-0002-0000-0600-000001000000}">
      <formula1>0.01</formula1>
      <formula2>D10</formula2>
    </dataValidation>
    <dataValidation type="decimal" allowBlank="1" showInputMessage="1" showErrorMessage="1" errorTitle="DATO FUERA DE RANGO" error="Valores entre 0 y Pv" prompt="valores entre_x000a_0 y Pv" sqref="D8" xr:uid="{00000000-0002-0000-0600-000002000000}">
      <formula1>0</formula1>
      <formula2>D3</formula2>
    </dataValidation>
    <dataValidation type="decimal" allowBlank="1" showInputMessage="1" showErrorMessage="1" errorTitle="DATO FUERA DE RANGO" error="Valores entre 0 y 220" prompt="valores entre_x000a_0 y 220" sqref="D3" xr:uid="{00000000-0002-0000-0600-000003000000}">
      <formula1>0</formula1>
      <formula2>220</formula2>
    </dataValidation>
  </dataValidations>
  <pageMargins left="0.70866141732283472" right="0.70866141732283472" top="0.74803149606299213" bottom="0.74803149606299213" header="0.31496062992125984" footer="0.31496062992125984"/>
  <pageSetup paperSize="9" scale="10" orientation="landscape" horizontalDpi="300" verticalDpi="0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Fill="0" autoLine="0" r:id="rId5">
            <anchor moveWithCells="1">
              <from>
                <xdr:col>6</xdr:col>
                <xdr:colOff>257175</xdr:colOff>
                <xdr:row>13</xdr:row>
                <xdr:rowOff>0</xdr:rowOff>
              </from>
              <to>
                <xdr:col>7</xdr:col>
                <xdr:colOff>76200</xdr:colOff>
                <xdr:row>15</xdr:row>
                <xdr:rowOff>85725</xdr:rowOff>
              </to>
            </anchor>
          </controlPr>
        </control>
      </mc:Choice>
      <mc:Fallback>
        <control shapeId="10241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0"/>
  <dimension ref="A1:AL348"/>
  <sheetViews>
    <sheetView showGridLines="0" showRowColHeaders="0" zoomScaleNormal="100" zoomScaleSheetLayoutView="145" workbookViewId="0">
      <selection activeCell="D8" sqref="D8"/>
    </sheetView>
  </sheetViews>
  <sheetFormatPr baseColWidth="10" defaultColWidth="11.42578125" defaultRowHeight="12.75" x14ac:dyDescent="0.2"/>
  <cols>
    <col min="1" max="1" width="4.28515625" style="9" customWidth="1"/>
    <col min="2" max="2" width="43.42578125" style="10" customWidth="1"/>
    <col min="3" max="3" width="3.28515625" style="10" bestFit="1" customWidth="1"/>
    <col min="4" max="4" width="12.28515625" style="10" customWidth="1"/>
    <col min="5" max="5" width="8.140625" style="10" bestFit="1" customWidth="1"/>
    <col min="6" max="6" width="7.140625" style="10" customWidth="1"/>
    <col min="7" max="7" width="20.42578125" style="10" customWidth="1"/>
    <col min="8" max="8" width="7.85546875" style="10" bestFit="1" customWidth="1"/>
    <col min="9" max="9" width="11.42578125" style="9"/>
    <col min="10" max="10" width="8.42578125" style="9" hidden="1" customWidth="1"/>
    <col min="11" max="11" width="12.28515625" style="9" hidden="1" customWidth="1"/>
    <col min="12" max="12" width="8.85546875" style="9" hidden="1" customWidth="1"/>
    <col min="13" max="13" width="8.140625" style="9" hidden="1" customWidth="1"/>
    <col min="14" max="38" width="11.42578125" style="9"/>
    <col min="39" max="16384" width="11.42578125" style="10"/>
  </cols>
  <sheetData>
    <row r="1" spans="1:38" s="4" customFormat="1" ht="27.75" customHeight="1" x14ac:dyDescent="0.25">
      <c r="A1" s="22"/>
      <c r="B1" s="45" t="s">
        <v>101</v>
      </c>
      <c r="C1" s="6"/>
      <c r="D1" s="6"/>
      <c r="E1" s="6"/>
      <c r="F1" s="6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</row>
    <row r="2" spans="1:38" s="4" customFormat="1" ht="18" x14ac:dyDescent="0.25">
      <c r="A2" s="22"/>
      <c r="B2" s="40" t="s">
        <v>56</v>
      </c>
      <c r="C2" s="76"/>
      <c r="D2" s="44" t="s">
        <v>61</v>
      </c>
      <c r="E2" s="3"/>
      <c r="F2" s="3"/>
      <c r="G2" s="3"/>
      <c r="H2" s="3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</row>
    <row r="3" spans="1:38" s="4" customFormat="1" ht="13.5" x14ac:dyDescent="0.25">
      <c r="A3" s="22"/>
      <c r="B3" s="4" t="s">
        <v>40</v>
      </c>
      <c r="C3" s="4" t="s">
        <v>217</v>
      </c>
      <c r="D3" s="11">
        <v>4</v>
      </c>
      <c r="E3" s="4" t="s">
        <v>31</v>
      </c>
      <c r="F3" s="8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</row>
    <row r="4" spans="1:38" s="4" customFormat="1" ht="13.5" x14ac:dyDescent="0.25">
      <c r="A4" s="22"/>
      <c r="B4" s="4" t="s">
        <v>28</v>
      </c>
      <c r="C4" s="4" t="s">
        <v>218</v>
      </c>
      <c r="D4" s="11">
        <v>160</v>
      </c>
      <c r="E4" s="4" t="s">
        <v>32</v>
      </c>
      <c r="F4" s="8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</row>
    <row r="5" spans="1:38" s="4" customFormat="1" ht="13.5" x14ac:dyDescent="0.25">
      <c r="A5" s="22"/>
      <c r="B5" s="4" t="s">
        <v>39</v>
      </c>
      <c r="C5" s="4" t="s">
        <v>76</v>
      </c>
      <c r="D5" s="31">
        <f>tSatW(D3+1.01325)-273.15</f>
        <v>151.93597693401904</v>
      </c>
      <c r="E5" s="25" t="s">
        <v>32</v>
      </c>
      <c r="F5" s="8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</row>
    <row r="6" spans="1:38" s="4" customFormat="1" ht="13.5" x14ac:dyDescent="0.25">
      <c r="A6" s="22"/>
      <c r="B6" s="4" t="s">
        <v>89</v>
      </c>
      <c r="C6" s="4" t="s">
        <v>219</v>
      </c>
      <c r="D6" s="32">
        <f>IF(D4&gt;D5,enthalpyW(D4+273.15,D3+1.01325)*0.0002777777,enthalpySatVapPW(D3+1.01325)*0.0002777777)</f>
        <v>0.76868614777103783</v>
      </c>
      <c r="E6" s="25" t="s">
        <v>88</v>
      </c>
      <c r="F6" s="8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</row>
    <row r="7" spans="1:38" s="4" customFormat="1" ht="15.75" x14ac:dyDescent="0.25">
      <c r="A7" s="22"/>
      <c r="B7" s="40" t="s">
        <v>87</v>
      </c>
      <c r="C7" s="3"/>
      <c r="D7" s="44" t="s">
        <v>61</v>
      </c>
      <c r="E7" s="3"/>
      <c r="F7" s="3"/>
      <c r="G7" s="3"/>
      <c r="H7" s="3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</row>
    <row r="8" spans="1:38" s="4" customFormat="1" ht="13.5" x14ac:dyDescent="0.25">
      <c r="A8" s="22"/>
      <c r="B8" s="4" t="s">
        <v>40</v>
      </c>
      <c r="C8" s="4" t="s">
        <v>223</v>
      </c>
      <c r="D8" s="11">
        <v>4</v>
      </c>
      <c r="E8" s="4" t="s">
        <v>31</v>
      </c>
      <c r="F8" s="8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</row>
    <row r="9" spans="1:38" s="4" customFormat="1" ht="13.5" x14ac:dyDescent="0.25">
      <c r="A9" s="22"/>
      <c r="B9" s="4" t="s">
        <v>28</v>
      </c>
      <c r="C9" s="4" t="s">
        <v>220</v>
      </c>
      <c r="D9" s="11">
        <v>151</v>
      </c>
      <c r="E9" s="4" t="s">
        <v>32</v>
      </c>
      <c r="F9" s="8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</row>
    <row r="10" spans="1:38" s="4" customFormat="1" ht="13.5" x14ac:dyDescent="0.25">
      <c r="A10" s="22"/>
      <c r="B10" s="4" t="s">
        <v>39</v>
      </c>
      <c r="C10" s="4" t="s">
        <v>76</v>
      </c>
      <c r="D10" s="31">
        <f>tSatW(D8+1.01325)-273.15</f>
        <v>151.93597693401904</v>
      </c>
      <c r="E10" s="25" t="s">
        <v>32</v>
      </c>
      <c r="F10" s="8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</row>
    <row r="11" spans="1:38" s="4" customFormat="1" ht="13.5" x14ac:dyDescent="0.25">
      <c r="A11" s="22"/>
      <c r="B11" s="4" t="s">
        <v>90</v>
      </c>
      <c r="C11" s="4" t="s">
        <v>221</v>
      </c>
      <c r="D11" s="32">
        <f>enthalpySatLiqTW(D9+273.15)*0.0002777777</f>
        <v>0.17682524647374401</v>
      </c>
      <c r="E11" s="25" t="s">
        <v>88</v>
      </c>
      <c r="F11" s="8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</row>
    <row r="12" spans="1:38" s="4" customFormat="1" ht="15.75" x14ac:dyDescent="0.25">
      <c r="A12" s="22"/>
      <c r="B12" s="40" t="s">
        <v>91</v>
      </c>
      <c r="C12" s="3"/>
      <c r="D12" s="5"/>
      <c r="E12" s="3"/>
      <c r="F12" s="3"/>
      <c r="G12" s="3"/>
      <c r="H12" s="3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</row>
    <row r="13" spans="1:38" s="4" customFormat="1" ht="13.5" x14ac:dyDescent="0.25">
      <c r="A13" s="22"/>
      <c r="B13" s="4" t="s">
        <v>92</v>
      </c>
      <c r="C13" s="4" t="s">
        <v>222</v>
      </c>
      <c r="D13" s="48">
        <f>D6-D11</f>
        <v>0.59186090129729385</v>
      </c>
      <c r="E13" s="25" t="s">
        <v>88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</row>
    <row r="14" spans="1:38" s="4" customFormat="1" ht="13.5" x14ac:dyDescent="0.25">
      <c r="A14" s="22"/>
      <c r="B14" s="4" t="s">
        <v>93</v>
      </c>
      <c r="C14" s="4" t="s">
        <v>23</v>
      </c>
      <c r="D14" s="50">
        <f>D15/D13</f>
        <v>1689.5861811586308</v>
      </c>
      <c r="E14" s="25" t="s">
        <v>34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</row>
    <row r="15" spans="1:38" s="4" customFormat="1" ht="13.5" x14ac:dyDescent="0.25">
      <c r="A15" s="22"/>
      <c r="B15" s="4" t="s">
        <v>94</v>
      </c>
      <c r="C15" s="4" t="s">
        <v>102</v>
      </c>
      <c r="D15" s="49">
        <v>1000</v>
      </c>
      <c r="E15" s="4" t="s">
        <v>95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</row>
    <row r="16" spans="1:38" s="4" customFormat="1" ht="13.5" x14ac:dyDescent="0.25">
      <c r="A16" s="22"/>
      <c r="E16" s="37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</row>
    <row r="17" spans="6:6" s="9" customFormat="1" ht="13.5" x14ac:dyDescent="0.25">
      <c r="F17" s="39"/>
    </row>
    <row r="18" spans="6:6" s="9" customFormat="1" x14ac:dyDescent="0.2"/>
    <row r="19" spans="6:6" s="9" customFormat="1" x14ac:dyDescent="0.2"/>
    <row r="20" spans="6:6" s="9" customFormat="1" x14ac:dyDescent="0.2"/>
    <row r="21" spans="6:6" s="9" customFormat="1" x14ac:dyDescent="0.2"/>
    <row r="22" spans="6:6" s="9" customFormat="1" x14ac:dyDescent="0.2"/>
    <row r="23" spans="6:6" s="9" customFormat="1" x14ac:dyDescent="0.2"/>
    <row r="24" spans="6:6" s="9" customFormat="1" x14ac:dyDescent="0.2"/>
    <row r="25" spans="6:6" s="9" customFormat="1" x14ac:dyDescent="0.2"/>
    <row r="26" spans="6:6" s="9" customFormat="1" x14ac:dyDescent="0.2"/>
    <row r="27" spans="6:6" s="9" customFormat="1" x14ac:dyDescent="0.2"/>
    <row r="28" spans="6:6" s="9" customFormat="1" x14ac:dyDescent="0.2"/>
    <row r="29" spans="6:6" s="9" customFormat="1" x14ac:dyDescent="0.2"/>
    <row r="30" spans="6:6" s="9" customFormat="1" x14ac:dyDescent="0.2"/>
    <row r="31" spans="6:6" s="9" customFormat="1" x14ac:dyDescent="0.2"/>
    <row r="32" spans="6:6" s="9" customFormat="1" x14ac:dyDescent="0.2"/>
    <row r="33" s="9" customFormat="1" x14ac:dyDescent="0.2"/>
    <row r="34" s="9" customFormat="1" x14ac:dyDescent="0.2"/>
    <row r="35" s="9" customFormat="1" x14ac:dyDescent="0.2"/>
    <row r="36" s="9" customFormat="1" x14ac:dyDescent="0.2"/>
    <row r="37" s="9" customFormat="1" x14ac:dyDescent="0.2"/>
    <row r="38" s="9" customFormat="1" x14ac:dyDescent="0.2"/>
    <row r="39" s="9" customFormat="1" x14ac:dyDescent="0.2"/>
    <row r="40" s="9" customFormat="1" x14ac:dyDescent="0.2"/>
    <row r="41" s="9" customFormat="1" x14ac:dyDescent="0.2"/>
    <row r="42" s="9" customFormat="1" x14ac:dyDescent="0.2"/>
    <row r="43" s="9" customFormat="1" x14ac:dyDescent="0.2"/>
    <row r="44" s="9" customFormat="1" x14ac:dyDescent="0.2"/>
    <row r="45" s="9" customFormat="1" x14ac:dyDescent="0.2"/>
    <row r="46" s="9" customFormat="1" x14ac:dyDescent="0.2"/>
    <row r="47" s="9" customFormat="1" x14ac:dyDescent="0.2"/>
    <row r="48" s="9" customFormat="1" x14ac:dyDescent="0.2"/>
    <row r="49" s="9" customFormat="1" x14ac:dyDescent="0.2"/>
    <row r="50" s="9" customFormat="1" x14ac:dyDescent="0.2"/>
    <row r="51" s="9" customFormat="1" x14ac:dyDescent="0.2"/>
    <row r="52" s="9" customFormat="1" x14ac:dyDescent="0.2"/>
    <row r="53" s="9" customFormat="1" x14ac:dyDescent="0.2"/>
    <row r="54" s="9" customFormat="1" x14ac:dyDescent="0.2"/>
    <row r="55" s="9" customFormat="1" x14ac:dyDescent="0.2"/>
    <row r="56" s="9" customFormat="1" x14ac:dyDescent="0.2"/>
    <row r="57" s="9" customFormat="1" x14ac:dyDescent="0.2"/>
    <row r="58" s="9" customFormat="1" x14ac:dyDescent="0.2"/>
    <row r="59" s="9" customFormat="1" x14ac:dyDescent="0.2"/>
    <row r="60" s="9" customFormat="1" x14ac:dyDescent="0.2"/>
    <row r="61" s="9" customFormat="1" x14ac:dyDescent="0.2"/>
    <row r="62" s="9" customFormat="1" x14ac:dyDescent="0.2"/>
    <row r="63" s="9" customFormat="1" x14ac:dyDescent="0.2"/>
    <row r="64" s="9" customFormat="1" x14ac:dyDescent="0.2"/>
    <row r="65" s="9" customFormat="1" x14ac:dyDescent="0.2"/>
    <row r="66" s="9" customFormat="1" x14ac:dyDescent="0.2"/>
    <row r="67" s="9" customFormat="1" x14ac:dyDescent="0.2"/>
    <row r="68" s="9" customFormat="1" x14ac:dyDescent="0.2"/>
    <row r="69" s="9" customFormat="1" x14ac:dyDescent="0.2"/>
    <row r="70" s="9" customFormat="1" x14ac:dyDescent="0.2"/>
    <row r="71" s="9" customFormat="1" x14ac:dyDescent="0.2"/>
    <row r="72" s="9" customFormat="1" x14ac:dyDescent="0.2"/>
    <row r="73" s="9" customFormat="1" x14ac:dyDescent="0.2"/>
    <row r="74" s="9" customFormat="1" x14ac:dyDescent="0.2"/>
    <row r="75" s="9" customFormat="1" x14ac:dyDescent="0.2"/>
    <row r="76" s="9" customFormat="1" x14ac:dyDescent="0.2"/>
    <row r="77" s="9" customFormat="1" x14ac:dyDescent="0.2"/>
    <row r="78" s="9" customFormat="1" x14ac:dyDescent="0.2"/>
    <row r="79" s="9" customFormat="1" x14ac:dyDescent="0.2"/>
    <row r="80" s="9" customFormat="1" x14ac:dyDescent="0.2"/>
    <row r="81" s="9" customFormat="1" x14ac:dyDescent="0.2"/>
    <row r="82" s="9" customFormat="1" x14ac:dyDescent="0.2"/>
    <row r="83" s="9" customFormat="1" x14ac:dyDescent="0.2"/>
    <row r="84" s="9" customFormat="1" x14ac:dyDescent="0.2"/>
    <row r="85" s="9" customFormat="1" x14ac:dyDescent="0.2"/>
    <row r="86" s="9" customFormat="1" x14ac:dyDescent="0.2"/>
    <row r="87" s="9" customFormat="1" x14ac:dyDescent="0.2"/>
    <row r="88" s="9" customFormat="1" x14ac:dyDescent="0.2"/>
    <row r="89" s="9" customFormat="1" x14ac:dyDescent="0.2"/>
    <row r="90" s="9" customFormat="1" x14ac:dyDescent="0.2"/>
    <row r="91" s="9" customFormat="1" x14ac:dyDescent="0.2"/>
    <row r="92" s="9" customFormat="1" x14ac:dyDescent="0.2"/>
    <row r="93" s="9" customFormat="1" x14ac:dyDescent="0.2"/>
    <row r="94" s="9" customFormat="1" x14ac:dyDescent="0.2"/>
    <row r="95" s="9" customFormat="1" x14ac:dyDescent="0.2"/>
    <row r="96" s="9" customFormat="1" x14ac:dyDescent="0.2"/>
    <row r="97" s="9" customFormat="1" x14ac:dyDescent="0.2"/>
    <row r="98" s="9" customFormat="1" x14ac:dyDescent="0.2"/>
    <row r="99" s="9" customFormat="1" x14ac:dyDescent="0.2"/>
    <row r="100" s="9" customFormat="1" x14ac:dyDescent="0.2"/>
    <row r="101" s="9" customFormat="1" x14ac:dyDescent="0.2"/>
    <row r="102" s="9" customFormat="1" x14ac:dyDescent="0.2"/>
    <row r="103" s="9" customFormat="1" x14ac:dyDescent="0.2"/>
    <row r="104" s="9" customFormat="1" x14ac:dyDescent="0.2"/>
    <row r="105" s="9" customFormat="1" x14ac:dyDescent="0.2"/>
    <row r="106" s="9" customFormat="1" x14ac:dyDescent="0.2"/>
    <row r="107" s="9" customFormat="1" x14ac:dyDescent="0.2"/>
    <row r="108" s="9" customFormat="1" x14ac:dyDescent="0.2"/>
    <row r="109" s="9" customFormat="1" x14ac:dyDescent="0.2"/>
    <row r="110" s="9" customFormat="1" x14ac:dyDescent="0.2"/>
    <row r="111" s="9" customFormat="1" x14ac:dyDescent="0.2"/>
    <row r="112" s="9" customFormat="1" x14ac:dyDescent="0.2"/>
    <row r="113" s="9" customFormat="1" x14ac:dyDescent="0.2"/>
    <row r="114" s="9" customFormat="1" x14ac:dyDescent="0.2"/>
    <row r="115" s="9" customFormat="1" x14ac:dyDescent="0.2"/>
    <row r="116" s="9" customFormat="1" x14ac:dyDescent="0.2"/>
    <row r="117" s="9" customFormat="1" x14ac:dyDescent="0.2"/>
    <row r="118" s="9" customFormat="1" x14ac:dyDescent="0.2"/>
    <row r="119" s="9" customFormat="1" x14ac:dyDescent="0.2"/>
    <row r="120" s="9" customFormat="1" x14ac:dyDescent="0.2"/>
    <row r="121" s="9" customFormat="1" x14ac:dyDescent="0.2"/>
    <row r="122" s="9" customFormat="1" x14ac:dyDescent="0.2"/>
    <row r="123" s="9" customFormat="1" x14ac:dyDescent="0.2"/>
    <row r="124" s="9" customFormat="1" x14ac:dyDescent="0.2"/>
    <row r="125" s="9" customFormat="1" x14ac:dyDescent="0.2"/>
    <row r="126" s="9" customFormat="1" x14ac:dyDescent="0.2"/>
    <row r="127" s="9" customFormat="1" x14ac:dyDescent="0.2"/>
    <row r="128" s="9" customFormat="1" x14ac:dyDescent="0.2"/>
    <row r="129" s="9" customFormat="1" x14ac:dyDescent="0.2"/>
    <row r="130" s="9" customFormat="1" x14ac:dyDescent="0.2"/>
    <row r="131" s="9" customFormat="1" x14ac:dyDescent="0.2"/>
    <row r="132" s="9" customFormat="1" x14ac:dyDescent="0.2"/>
    <row r="133" s="9" customFormat="1" x14ac:dyDescent="0.2"/>
    <row r="134" s="9" customFormat="1" x14ac:dyDescent="0.2"/>
    <row r="135" s="9" customFormat="1" x14ac:dyDescent="0.2"/>
    <row r="136" s="9" customFormat="1" x14ac:dyDescent="0.2"/>
    <row r="137" s="9" customFormat="1" x14ac:dyDescent="0.2"/>
    <row r="138" s="9" customFormat="1" x14ac:dyDescent="0.2"/>
    <row r="139" s="9" customFormat="1" x14ac:dyDescent="0.2"/>
    <row r="140" s="9" customFormat="1" x14ac:dyDescent="0.2"/>
    <row r="141" s="9" customFormat="1" x14ac:dyDescent="0.2"/>
    <row r="142" s="9" customFormat="1" x14ac:dyDescent="0.2"/>
    <row r="143" s="9" customFormat="1" x14ac:dyDescent="0.2"/>
    <row r="144" s="9" customFormat="1" x14ac:dyDescent="0.2"/>
    <row r="145" s="9" customFormat="1" x14ac:dyDescent="0.2"/>
    <row r="146" s="9" customFormat="1" x14ac:dyDescent="0.2"/>
    <row r="147" s="9" customFormat="1" x14ac:dyDescent="0.2"/>
    <row r="148" s="9" customFormat="1" x14ac:dyDescent="0.2"/>
    <row r="149" s="9" customFormat="1" x14ac:dyDescent="0.2"/>
    <row r="150" s="9" customFormat="1" x14ac:dyDescent="0.2"/>
    <row r="151" s="9" customFormat="1" x14ac:dyDescent="0.2"/>
    <row r="152" s="9" customFormat="1" x14ac:dyDescent="0.2"/>
    <row r="153" s="9" customFormat="1" x14ac:dyDescent="0.2"/>
    <row r="154" s="9" customFormat="1" x14ac:dyDescent="0.2"/>
    <row r="155" s="9" customFormat="1" x14ac:dyDescent="0.2"/>
    <row r="156" s="9" customFormat="1" x14ac:dyDescent="0.2"/>
    <row r="157" s="9" customFormat="1" x14ac:dyDescent="0.2"/>
    <row r="158" s="9" customFormat="1" x14ac:dyDescent="0.2"/>
    <row r="159" s="9" customFormat="1" x14ac:dyDescent="0.2"/>
    <row r="160" s="9" customFormat="1" x14ac:dyDescent="0.2"/>
    <row r="161" s="9" customFormat="1" x14ac:dyDescent="0.2"/>
    <row r="162" s="9" customFormat="1" x14ac:dyDescent="0.2"/>
    <row r="163" s="9" customFormat="1" x14ac:dyDescent="0.2"/>
    <row r="164" s="9" customFormat="1" x14ac:dyDescent="0.2"/>
    <row r="165" s="9" customFormat="1" x14ac:dyDescent="0.2"/>
    <row r="166" s="9" customFormat="1" x14ac:dyDescent="0.2"/>
    <row r="167" s="9" customFormat="1" x14ac:dyDescent="0.2"/>
    <row r="168" s="9" customFormat="1" x14ac:dyDescent="0.2"/>
    <row r="169" s="9" customFormat="1" x14ac:dyDescent="0.2"/>
    <row r="170" s="9" customFormat="1" x14ac:dyDescent="0.2"/>
    <row r="171" s="9" customFormat="1" x14ac:dyDescent="0.2"/>
    <row r="172" s="9" customFormat="1" x14ac:dyDescent="0.2"/>
    <row r="173" s="9" customFormat="1" x14ac:dyDescent="0.2"/>
    <row r="174" s="9" customFormat="1" x14ac:dyDescent="0.2"/>
    <row r="175" s="9" customFormat="1" x14ac:dyDescent="0.2"/>
    <row r="176" s="9" customFormat="1" x14ac:dyDescent="0.2"/>
    <row r="177" s="9" customFormat="1" x14ac:dyDescent="0.2"/>
    <row r="178" s="9" customFormat="1" x14ac:dyDescent="0.2"/>
    <row r="179" s="9" customFormat="1" x14ac:dyDescent="0.2"/>
    <row r="180" s="9" customFormat="1" x14ac:dyDescent="0.2"/>
    <row r="181" s="9" customFormat="1" x14ac:dyDescent="0.2"/>
    <row r="182" s="9" customFormat="1" x14ac:dyDescent="0.2"/>
    <row r="183" s="9" customFormat="1" x14ac:dyDescent="0.2"/>
    <row r="184" s="9" customFormat="1" x14ac:dyDescent="0.2"/>
    <row r="185" s="9" customFormat="1" x14ac:dyDescent="0.2"/>
    <row r="186" s="9" customFormat="1" x14ac:dyDescent="0.2"/>
    <row r="187" s="9" customFormat="1" x14ac:dyDescent="0.2"/>
    <row r="188" s="9" customFormat="1" x14ac:dyDescent="0.2"/>
    <row r="189" s="9" customFormat="1" x14ac:dyDescent="0.2"/>
    <row r="190" s="9" customFormat="1" x14ac:dyDescent="0.2"/>
    <row r="191" s="9" customFormat="1" x14ac:dyDescent="0.2"/>
    <row r="192" s="9" customFormat="1" x14ac:dyDescent="0.2"/>
    <row r="193" s="9" customFormat="1" x14ac:dyDescent="0.2"/>
    <row r="194" s="9" customFormat="1" x14ac:dyDescent="0.2"/>
    <row r="195" s="9" customFormat="1" x14ac:dyDescent="0.2"/>
    <row r="196" s="9" customFormat="1" x14ac:dyDescent="0.2"/>
    <row r="197" s="9" customFormat="1" x14ac:dyDescent="0.2"/>
    <row r="198" s="9" customFormat="1" x14ac:dyDescent="0.2"/>
    <row r="199" s="9" customFormat="1" x14ac:dyDescent="0.2"/>
    <row r="200" s="9" customFormat="1" x14ac:dyDescent="0.2"/>
    <row r="201" s="9" customFormat="1" x14ac:dyDescent="0.2"/>
    <row r="202" s="9" customFormat="1" x14ac:dyDescent="0.2"/>
    <row r="203" s="9" customFormat="1" x14ac:dyDescent="0.2"/>
    <row r="204" s="9" customFormat="1" x14ac:dyDescent="0.2"/>
    <row r="205" s="9" customFormat="1" x14ac:dyDescent="0.2"/>
    <row r="206" s="9" customFormat="1" x14ac:dyDescent="0.2"/>
    <row r="207" s="9" customFormat="1" x14ac:dyDescent="0.2"/>
    <row r="208" s="9" customFormat="1" x14ac:dyDescent="0.2"/>
    <row r="209" s="9" customFormat="1" x14ac:dyDescent="0.2"/>
    <row r="210" s="9" customFormat="1" x14ac:dyDescent="0.2"/>
    <row r="211" s="9" customFormat="1" x14ac:dyDescent="0.2"/>
    <row r="212" s="9" customFormat="1" x14ac:dyDescent="0.2"/>
    <row r="213" s="9" customFormat="1" x14ac:dyDescent="0.2"/>
    <row r="214" s="9" customFormat="1" x14ac:dyDescent="0.2"/>
    <row r="215" s="9" customFormat="1" x14ac:dyDescent="0.2"/>
    <row r="216" s="9" customFormat="1" x14ac:dyDescent="0.2"/>
    <row r="217" s="9" customFormat="1" x14ac:dyDescent="0.2"/>
    <row r="218" s="9" customFormat="1" x14ac:dyDescent="0.2"/>
    <row r="219" s="9" customFormat="1" x14ac:dyDescent="0.2"/>
    <row r="220" s="9" customFormat="1" x14ac:dyDescent="0.2"/>
    <row r="221" s="9" customFormat="1" x14ac:dyDescent="0.2"/>
    <row r="222" s="9" customFormat="1" x14ac:dyDescent="0.2"/>
    <row r="223" s="9" customFormat="1" x14ac:dyDescent="0.2"/>
    <row r="224" s="9" customFormat="1" x14ac:dyDescent="0.2"/>
    <row r="225" s="9" customFormat="1" x14ac:dyDescent="0.2"/>
    <row r="226" s="9" customFormat="1" x14ac:dyDescent="0.2"/>
    <row r="227" s="9" customFormat="1" x14ac:dyDescent="0.2"/>
    <row r="228" s="9" customFormat="1" x14ac:dyDescent="0.2"/>
    <row r="229" s="9" customFormat="1" x14ac:dyDescent="0.2"/>
    <row r="230" s="9" customFormat="1" x14ac:dyDescent="0.2"/>
    <row r="231" s="9" customFormat="1" x14ac:dyDescent="0.2"/>
    <row r="232" s="9" customFormat="1" x14ac:dyDescent="0.2"/>
    <row r="233" s="9" customFormat="1" x14ac:dyDescent="0.2"/>
    <row r="234" s="9" customFormat="1" x14ac:dyDescent="0.2"/>
    <row r="235" s="9" customFormat="1" x14ac:dyDescent="0.2"/>
    <row r="236" s="9" customFormat="1" x14ac:dyDescent="0.2"/>
    <row r="237" s="9" customFormat="1" x14ac:dyDescent="0.2"/>
    <row r="238" s="9" customFormat="1" x14ac:dyDescent="0.2"/>
    <row r="239" s="9" customFormat="1" x14ac:dyDescent="0.2"/>
    <row r="240" s="9" customFormat="1" x14ac:dyDescent="0.2"/>
    <row r="241" s="9" customFormat="1" x14ac:dyDescent="0.2"/>
    <row r="242" s="9" customFormat="1" x14ac:dyDescent="0.2"/>
    <row r="243" s="9" customFormat="1" x14ac:dyDescent="0.2"/>
    <row r="244" s="9" customFormat="1" x14ac:dyDescent="0.2"/>
    <row r="245" s="9" customFormat="1" x14ac:dyDescent="0.2"/>
    <row r="246" s="9" customFormat="1" x14ac:dyDescent="0.2"/>
    <row r="247" s="9" customFormat="1" x14ac:dyDescent="0.2"/>
    <row r="248" s="9" customFormat="1" x14ac:dyDescent="0.2"/>
    <row r="249" s="9" customFormat="1" x14ac:dyDescent="0.2"/>
    <row r="250" s="9" customFormat="1" x14ac:dyDescent="0.2"/>
    <row r="251" s="9" customFormat="1" x14ac:dyDescent="0.2"/>
    <row r="252" s="9" customFormat="1" x14ac:dyDescent="0.2"/>
    <row r="253" s="9" customFormat="1" x14ac:dyDescent="0.2"/>
    <row r="254" s="9" customFormat="1" x14ac:dyDescent="0.2"/>
    <row r="255" s="9" customFormat="1" x14ac:dyDescent="0.2"/>
    <row r="256" s="9" customFormat="1" x14ac:dyDescent="0.2"/>
    <row r="257" s="9" customFormat="1" x14ac:dyDescent="0.2"/>
    <row r="258" s="9" customFormat="1" x14ac:dyDescent="0.2"/>
    <row r="259" s="9" customFormat="1" x14ac:dyDescent="0.2"/>
    <row r="260" s="9" customFormat="1" x14ac:dyDescent="0.2"/>
    <row r="261" s="9" customFormat="1" x14ac:dyDescent="0.2"/>
    <row r="262" s="9" customFormat="1" x14ac:dyDescent="0.2"/>
    <row r="263" s="9" customFormat="1" x14ac:dyDescent="0.2"/>
    <row r="264" s="9" customFormat="1" x14ac:dyDescent="0.2"/>
    <row r="265" s="9" customFormat="1" x14ac:dyDescent="0.2"/>
    <row r="266" s="9" customFormat="1" x14ac:dyDescent="0.2"/>
    <row r="267" s="9" customFormat="1" x14ac:dyDescent="0.2"/>
    <row r="268" s="9" customFormat="1" x14ac:dyDescent="0.2"/>
    <row r="269" s="9" customFormat="1" x14ac:dyDescent="0.2"/>
    <row r="270" s="9" customFormat="1" x14ac:dyDescent="0.2"/>
    <row r="271" s="9" customFormat="1" x14ac:dyDescent="0.2"/>
    <row r="272" s="9" customFormat="1" x14ac:dyDescent="0.2"/>
    <row r="273" s="9" customFormat="1" x14ac:dyDescent="0.2"/>
    <row r="274" s="9" customFormat="1" x14ac:dyDescent="0.2"/>
    <row r="275" s="9" customFormat="1" x14ac:dyDescent="0.2"/>
    <row r="276" s="9" customFormat="1" x14ac:dyDescent="0.2"/>
    <row r="277" s="9" customFormat="1" x14ac:dyDescent="0.2"/>
    <row r="278" s="9" customFormat="1" x14ac:dyDescent="0.2"/>
    <row r="279" s="9" customFormat="1" x14ac:dyDescent="0.2"/>
    <row r="280" s="9" customFormat="1" x14ac:dyDescent="0.2"/>
    <row r="281" s="9" customFormat="1" x14ac:dyDescent="0.2"/>
    <row r="282" s="9" customFormat="1" x14ac:dyDescent="0.2"/>
    <row r="283" s="9" customFormat="1" x14ac:dyDescent="0.2"/>
    <row r="284" s="9" customFormat="1" x14ac:dyDescent="0.2"/>
    <row r="285" s="9" customFormat="1" x14ac:dyDescent="0.2"/>
    <row r="286" s="9" customFormat="1" x14ac:dyDescent="0.2"/>
    <row r="287" s="9" customFormat="1" x14ac:dyDescent="0.2"/>
    <row r="288" s="9" customFormat="1" x14ac:dyDescent="0.2"/>
    <row r="289" s="9" customFormat="1" x14ac:dyDescent="0.2"/>
    <row r="290" s="9" customFormat="1" x14ac:dyDescent="0.2"/>
    <row r="291" s="9" customFormat="1" x14ac:dyDescent="0.2"/>
    <row r="292" s="9" customFormat="1" x14ac:dyDescent="0.2"/>
    <row r="293" s="9" customFormat="1" x14ac:dyDescent="0.2"/>
    <row r="294" s="9" customFormat="1" x14ac:dyDescent="0.2"/>
    <row r="295" s="9" customFormat="1" x14ac:dyDescent="0.2"/>
    <row r="296" s="9" customFormat="1" x14ac:dyDescent="0.2"/>
    <row r="297" s="9" customFormat="1" x14ac:dyDescent="0.2"/>
    <row r="298" s="9" customFormat="1" x14ac:dyDescent="0.2"/>
    <row r="299" s="9" customFormat="1" x14ac:dyDescent="0.2"/>
    <row r="300" s="9" customFormat="1" x14ac:dyDescent="0.2"/>
    <row r="301" s="9" customFormat="1" x14ac:dyDescent="0.2"/>
    <row r="302" s="9" customFormat="1" x14ac:dyDescent="0.2"/>
    <row r="303" s="9" customFormat="1" x14ac:dyDescent="0.2"/>
    <row r="304" s="9" customFormat="1" x14ac:dyDescent="0.2"/>
    <row r="305" s="9" customFormat="1" x14ac:dyDescent="0.2"/>
    <row r="306" s="9" customFormat="1" x14ac:dyDescent="0.2"/>
    <row r="307" s="9" customFormat="1" x14ac:dyDescent="0.2"/>
    <row r="308" s="9" customFormat="1" x14ac:dyDescent="0.2"/>
    <row r="309" s="9" customFormat="1" x14ac:dyDescent="0.2"/>
    <row r="310" s="9" customFormat="1" x14ac:dyDescent="0.2"/>
    <row r="311" s="9" customFormat="1" x14ac:dyDescent="0.2"/>
    <row r="312" s="9" customFormat="1" x14ac:dyDescent="0.2"/>
    <row r="313" s="9" customFormat="1" x14ac:dyDescent="0.2"/>
    <row r="314" s="9" customFormat="1" x14ac:dyDescent="0.2"/>
    <row r="315" s="9" customFormat="1" x14ac:dyDescent="0.2"/>
    <row r="316" s="9" customFormat="1" x14ac:dyDescent="0.2"/>
    <row r="317" s="9" customFormat="1" x14ac:dyDescent="0.2"/>
    <row r="318" s="9" customFormat="1" x14ac:dyDescent="0.2"/>
    <row r="319" s="9" customFormat="1" x14ac:dyDescent="0.2"/>
    <row r="320" s="9" customFormat="1" x14ac:dyDescent="0.2"/>
    <row r="321" s="9" customFormat="1" x14ac:dyDescent="0.2"/>
    <row r="322" s="9" customFormat="1" x14ac:dyDescent="0.2"/>
    <row r="323" s="9" customFormat="1" x14ac:dyDescent="0.2"/>
    <row r="324" s="9" customFormat="1" x14ac:dyDescent="0.2"/>
    <row r="325" s="9" customFormat="1" x14ac:dyDescent="0.2"/>
    <row r="326" s="9" customFormat="1" x14ac:dyDescent="0.2"/>
    <row r="327" s="9" customFormat="1" x14ac:dyDescent="0.2"/>
    <row r="328" s="9" customFormat="1" x14ac:dyDescent="0.2"/>
    <row r="329" s="9" customFormat="1" x14ac:dyDescent="0.2"/>
    <row r="330" s="9" customFormat="1" x14ac:dyDescent="0.2"/>
    <row r="331" s="9" customFormat="1" x14ac:dyDescent="0.2"/>
    <row r="332" s="9" customFormat="1" x14ac:dyDescent="0.2"/>
    <row r="333" s="9" customFormat="1" x14ac:dyDescent="0.2"/>
    <row r="334" s="9" customFormat="1" x14ac:dyDescent="0.2"/>
    <row r="335" s="9" customFormat="1" x14ac:dyDescent="0.2"/>
    <row r="336" s="9" customFormat="1" x14ac:dyDescent="0.2"/>
    <row r="337" s="9" customFormat="1" x14ac:dyDescent="0.2"/>
    <row r="338" s="9" customFormat="1" x14ac:dyDescent="0.2"/>
    <row r="339" s="9" customFormat="1" x14ac:dyDescent="0.2"/>
    <row r="340" s="9" customFormat="1" x14ac:dyDescent="0.2"/>
    <row r="341" s="9" customFormat="1" x14ac:dyDescent="0.2"/>
    <row r="342" s="9" customFormat="1" x14ac:dyDescent="0.2"/>
    <row r="343" s="9" customFormat="1" x14ac:dyDescent="0.2"/>
    <row r="344" s="9" customFormat="1" x14ac:dyDescent="0.2"/>
    <row r="345" s="9" customFormat="1" x14ac:dyDescent="0.2"/>
    <row r="346" s="9" customFormat="1" x14ac:dyDescent="0.2"/>
    <row r="347" s="9" customFormat="1" x14ac:dyDescent="0.2"/>
    <row r="348" s="9" customFormat="1" x14ac:dyDescent="0.2"/>
  </sheetData>
  <sheetProtection password="D96D" sheet="1" objects="1" scenarios="1" selectLockedCells="1"/>
  <conditionalFormatting sqref="D4 D9">
    <cfRule type="cellIs" dxfId="8" priority="3" stopIfTrue="1" operator="lessThan">
      <formula>$D$10</formula>
    </cfRule>
    <cfRule type="cellIs" dxfId="7" priority="4" stopIfTrue="1" operator="greaterThan">
      <formula>$D$10</formula>
    </cfRule>
  </conditionalFormatting>
  <dataValidations xWindow="535" yWindow="332" count="4">
    <dataValidation type="decimal" allowBlank="1" showInputMessage="1" showErrorMessage="1" errorTitle="DATO FUERA DE RANGO" error="Valores entre 0 y Pv" prompt="valores entre_x000a_0 y Pv" sqref="D8" xr:uid="{00000000-0002-0000-0700-000000000000}">
      <formula1>0</formula1>
      <formula2>D3</formula2>
    </dataValidation>
    <dataValidation type="decimal" allowBlank="1" showInputMessage="1" showErrorMessage="1" errorTitle="FUERA DE RANGO" error="VALORES ADMISIBLES ENTRE Ts Y 374°C" prompt="valores entre_x000a_Ts y 374°C" sqref="D4" xr:uid="{00000000-0002-0000-0700-000001000000}">
      <formula1>D5</formula1>
      <formula2>374</formula2>
    </dataValidation>
    <dataValidation type="decimal" allowBlank="1" showInputMessage="1" showErrorMessage="1" errorTitle="FUERA DE RANGO" error="VALORES ADMISIBLES ENTRE 0,01 y Ts" prompt="valores entre_x000a_0,01 y Ts" sqref="D9" xr:uid="{00000000-0002-0000-0700-000002000000}">
      <formula1>0.01</formula1>
      <formula2>D10</formula2>
    </dataValidation>
    <dataValidation type="decimal" allowBlank="1" showInputMessage="1" showErrorMessage="1" errorTitle="DATO FUERA DE RANGO" error="Valores entre 0 y 220" prompt="valores entre_x000a_0 y 220" sqref="D3" xr:uid="{00000000-0002-0000-0700-000003000000}">
      <formula1>0</formula1>
      <formula2>220</formula2>
    </dataValidation>
  </dataValidations>
  <pageMargins left="0.7" right="0.7" top="0.75" bottom="0.75" header="0.3" footer="0.3"/>
  <pageSetup paperSize="9" orientation="portrait" horizontalDpi="300" verticalDpi="0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Fill="0" autoLine="0" r:id="rId5">
            <anchor moveWithCells="1">
              <from>
                <xdr:col>6</xdr:col>
                <xdr:colOff>771525</xdr:colOff>
                <xdr:row>12</xdr:row>
                <xdr:rowOff>123825</xdr:rowOff>
              </from>
              <to>
                <xdr:col>7</xdr:col>
                <xdr:colOff>228600</xdr:colOff>
                <xdr:row>15</xdr:row>
                <xdr:rowOff>38100</xdr:rowOff>
              </to>
            </anchor>
          </controlPr>
        </control>
      </mc:Choice>
      <mc:Fallback>
        <control shapeId="11265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3">
    <pageSetUpPr fitToPage="1"/>
  </sheetPr>
  <dimension ref="A1:AL358"/>
  <sheetViews>
    <sheetView showGridLines="0" showRowColHeaders="0" zoomScale="93" zoomScaleNormal="115" zoomScaleSheetLayoutView="145" workbookViewId="0">
      <selection activeCell="D13" sqref="D13"/>
    </sheetView>
  </sheetViews>
  <sheetFormatPr baseColWidth="10" defaultColWidth="11.42578125" defaultRowHeight="12.75" x14ac:dyDescent="0.2"/>
  <cols>
    <col min="1" max="1" width="4.28515625" style="9" customWidth="1"/>
    <col min="2" max="2" width="39.5703125" style="10" customWidth="1"/>
    <col min="3" max="3" width="6.140625" style="10" bestFit="1" customWidth="1"/>
    <col min="4" max="4" width="13.42578125" style="10" customWidth="1"/>
    <col min="5" max="5" width="9.42578125" style="10" bestFit="1" customWidth="1"/>
    <col min="6" max="6" width="36.85546875" style="10" bestFit="1" customWidth="1"/>
    <col min="7" max="7" width="11.5703125" style="10" customWidth="1"/>
    <col min="8" max="8" width="6.28515625" style="10" customWidth="1"/>
    <col min="9" max="9" width="11.42578125" style="9"/>
    <col min="10" max="10" width="8.42578125" style="9" hidden="1" customWidth="1"/>
    <col min="11" max="11" width="12.28515625" style="9" hidden="1" customWidth="1"/>
    <col min="12" max="12" width="8.85546875" style="9" hidden="1" customWidth="1"/>
    <col min="13" max="13" width="8.140625" style="9" hidden="1" customWidth="1"/>
    <col min="14" max="38" width="11.42578125" style="9"/>
    <col min="39" max="16384" width="11.42578125" style="10"/>
  </cols>
  <sheetData>
    <row r="1" spans="1:38" s="4" customFormat="1" ht="27" customHeight="1" x14ac:dyDescent="0.25">
      <c r="A1" s="22"/>
      <c r="B1" s="45" t="s">
        <v>242</v>
      </c>
      <c r="C1" s="6"/>
      <c r="D1" s="6"/>
      <c r="E1" s="6"/>
      <c r="F1" s="6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</row>
    <row r="2" spans="1:38" s="4" customFormat="1" ht="18" x14ac:dyDescent="0.25">
      <c r="A2" s="22"/>
      <c r="B2" s="40" t="s">
        <v>55</v>
      </c>
      <c r="C2" s="76"/>
      <c r="D2" s="3"/>
      <c r="E2" s="3"/>
      <c r="F2" s="3"/>
      <c r="G2" s="23"/>
      <c r="H2" s="3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</row>
    <row r="3" spans="1:38" s="4" customFormat="1" ht="13.5" x14ac:dyDescent="0.25">
      <c r="A3" s="22"/>
      <c r="B3" s="4" t="s">
        <v>13</v>
      </c>
      <c r="C3" s="24" t="s">
        <v>0</v>
      </c>
      <c r="D3" s="25">
        <f>IF(F3="introducción manual de rugosidad &gt;&gt;",G3,VLOOKUP(F3,Hoja2!A3:C21,2,FALSE))</f>
        <v>0.05</v>
      </c>
      <c r="E3" s="25" t="s">
        <v>12</v>
      </c>
      <c r="F3" s="11" t="s">
        <v>4</v>
      </c>
      <c r="G3" s="11">
        <v>0.02</v>
      </c>
      <c r="H3" s="4" t="s">
        <v>12</v>
      </c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</row>
    <row r="4" spans="1:38" s="4" customFormat="1" ht="13.5" x14ac:dyDescent="0.25">
      <c r="A4" s="22"/>
      <c r="B4" s="4" t="s">
        <v>14</v>
      </c>
      <c r="C4" s="24" t="s">
        <v>215</v>
      </c>
      <c r="D4" s="26">
        <f>D3/D5</f>
        <v>2.5225351675305643E-3</v>
      </c>
      <c r="E4" s="25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</row>
    <row r="5" spans="1:38" s="4" customFormat="1" ht="13.5" x14ac:dyDescent="0.25">
      <c r="A5" s="22"/>
      <c r="B5" s="4" t="s">
        <v>15</v>
      </c>
      <c r="C5" s="4" t="s">
        <v>1</v>
      </c>
      <c r="D5" s="27">
        <f>DiaTub(D19,D3,F27,D17)</f>
        <v>19.821329210227621</v>
      </c>
      <c r="E5" s="25" t="s">
        <v>12</v>
      </c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</row>
    <row r="6" spans="1:38" s="4" customFormat="1" ht="13.5" x14ac:dyDescent="0.25">
      <c r="A6" s="22"/>
      <c r="B6" s="4" t="s">
        <v>68</v>
      </c>
      <c r="C6" s="4" t="s">
        <v>53</v>
      </c>
      <c r="D6" s="28">
        <v>6</v>
      </c>
      <c r="E6" s="4" t="s">
        <v>20</v>
      </c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</row>
    <row r="7" spans="1:38" s="4" customFormat="1" ht="13.5" x14ac:dyDescent="0.25">
      <c r="A7" s="22"/>
      <c r="B7" s="4" t="s">
        <v>64</v>
      </c>
      <c r="C7" s="4" t="s">
        <v>74</v>
      </c>
      <c r="D7" s="29">
        <f>IF(F7="Manual",G7,IF(D6&gt;100,D6*0.1,D6*0.2))</f>
        <v>3</v>
      </c>
      <c r="E7" s="25" t="s">
        <v>20</v>
      </c>
      <c r="F7" s="11" t="s">
        <v>66</v>
      </c>
      <c r="G7" s="11">
        <v>3</v>
      </c>
      <c r="H7" s="4" t="s">
        <v>20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</row>
    <row r="8" spans="1:38" s="4" customFormat="1" ht="13.5" x14ac:dyDescent="0.25">
      <c r="A8" s="22"/>
      <c r="B8" s="4" t="s">
        <v>65</v>
      </c>
      <c r="C8" s="4" t="s">
        <v>75</v>
      </c>
      <c r="D8" s="29">
        <f>D6+D7</f>
        <v>9</v>
      </c>
      <c r="E8" s="25" t="s">
        <v>20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</row>
    <row r="9" spans="1:38" s="4" customFormat="1" ht="15.75" x14ac:dyDescent="0.25">
      <c r="A9" s="22"/>
      <c r="B9" s="40" t="s">
        <v>87</v>
      </c>
      <c r="C9" s="3"/>
      <c r="D9" s="44" t="s">
        <v>61</v>
      </c>
      <c r="E9" s="3"/>
      <c r="F9" s="3"/>
      <c r="G9" s="3"/>
      <c r="H9" s="3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</row>
    <row r="10" spans="1:38" s="4" customFormat="1" ht="13.5" x14ac:dyDescent="0.25">
      <c r="A10" s="22"/>
      <c r="B10" s="4" t="s">
        <v>119</v>
      </c>
      <c r="C10" s="4" t="s">
        <v>29</v>
      </c>
      <c r="D10" s="11">
        <v>5</v>
      </c>
      <c r="E10" s="4" t="s">
        <v>31</v>
      </c>
      <c r="F10" s="30">
        <f>(2*D13-D26)/2</f>
        <v>3.9</v>
      </c>
      <c r="G10" s="25" t="s">
        <v>31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</row>
    <row r="11" spans="1:38" s="4" customFormat="1" ht="13.5" x14ac:dyDescent="0.25">
      <c r="A11" s="22"/>
      <c r="B11" s="4" t="s">
        <v>120</v>
      </c>
      <c r="D11" s="11">
        <v>151.94</v>
      </c>
      <c r="E11" s="4" t="s">
        <v>32</v>
      </c>
      <c r="F11" s="3" t="s">
        <v>128</v>
      </c>
      <c r="G11" s="3"/>
      <c r="H11" s="3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</row>
    <row r="12" spans="1:38" s="4" customFormat="1" ht="13.5" x14ac:dyDescent="0.25">
      <c r="A12" s="22"/>
      <c r="B12" s="4" t="s">
        <v>127</v>
      </c>
      <c r="D12" s="31">
        <f>tSatW(D10+1.01325)-273.15</f>
        <v>158.91865636717512</v>
      </c>
      <c r="E12" s="25" t="s">
        <v>32</v>
      </c>
      <c r="F12" s="3" t="s">
        <v>121</v>
      </c>
      <c r="G12" s="51">
        <f>'vapor flash'!B13</f>
        <v>1.5584756875290895E-2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</row>
    <row r="13" spans="1:38" s="4" customFormat="1" ht="13.5" x14ac:dyDescent="0.25">
      <c r="A13" s="22"/>
      <c r="B13" s="4" t="s">
        <v>118</v>
      </c>
      <c r="C13" s="4" t="s">
        <v>30</v>
      </c>
      <c r="D13" s="11">
        <v>3.92</v>
      </c>
      <c r="E13" s="4" t="s">
        <v>31</v>
      </c>
      <c r="F13" s="3" t="s">
        <v>123</v>
      </c>
      <c r="G13" s="51">
        <f>'vapor flash'!B23</f>
        <v>0.15377268710982292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</row>
    <row r="14" spans="1:38" s="4" customFormat="1" ht="13.5" x14ac:dyDescent="0.25">
      <c r="A14" s="22"/>
      <c r="B14" s="4" t="s">
        <v>117</v>
      </c>
      <c r="C14" s="4" t="s">
        <v>76</v>
      </c>
      <c r="D14" s="31">
        <f>tSatW(F10+1.01325)-273.15</f>
        <v>151.17799521748083</v>
      </c>
      <c r="E14" s="25" t="s">
        <v>32</v>
      </c>
      <c r="F14" s="3" t="s">
        <v>122</v>
      </c>
      <c r="G14" s="51">
        <f>'vapor flash'!B22</f>
        <v>0.84622731289017716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</row>
    <row r="15" spans="1:38" s="4" customFormat="1" ht="13.5" x14ac:dyDescent="0.25">
      <c r="A15" s="22"/>
      <c r="B15" s="4" t="s">
        <v>124</v>
      </c>
      <c r="C15" s="24" t="s">
        <v>81</v>
      </c>
      <c r="D15" s="32">
        <f>densSatVapPW(F10+1.01325)</f>
        <v>2.6244203598893061</v>
      </c>
      <c r="E15" s="25" t="s">
        <v>18</v>
      </c>
      <c r="F15" s="7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</row>
    <row r="16" spans="1:38" s="4" customFormat="1" ht="13.5" x14ac:dyDescent="0.25">
      <c r="A16" s="22"/>
      <c r="B16" s="4" t="s">
        <v>125</v>
      </c>
      <c r="C16" s="24" t="s">
        <v>20</v>
      </c>
      <c r="D16" s="32">
        <f>viscSatVapPW(F10+1.01325)*1000</f>
        <v>1.4032579341577549E-2</v>
      </c>
      <c r="E16" s="25" t="s">
        <v>83</v>
      </c>
      <c r="F16" s="7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</row>
    <row r="17" spans="1:38" s="4" customFormat="1" ht="13.5" x14ac:dyDescent="0.25">
      <c r="A17" s="22"/>
      <c r="B17" s="4" t="s">
        <v>126</v>
      </c>
      <c r="C17" s="24" t="s">
        <v>24</v>
      </c>
      <c r="D17" s="32">
        <f>1000*D16/D15</f>
        <v>5.346925193862397</v>
      </c>
      <c r="E17" s="25" t="s">
        <v>25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</row>
    <row r="18" spans="1:38" s="4" customFormat="1" ht="15.75" x14ac:dyDescent="0.25">
      <c r="A18" s="22"/>
      <c r="B18" s="40" t="s">
        <v>69</v>
      </c>
      <c r="C18" s="3"/>
      <c r="D18" s="44" t="s">
        <v>62</v>
      </c>
      <c r="E18" s="3"/>
      <c r="F18" s="3"/>
      <c r="G18" s="3"/>
      <c r="H18" s="3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</row>
    <row r="19" spans="1:38" s="4" customFormat="1" ht="13.5" x14ac:dyDescent="0.25">
      <c r="A19" s="22"/>
      <c r="B19" s="4" t="s">
        <v>131</v>
      </c>
      <c r="C19" s="4" t="s">
        <v>224</v>
      </c>
      <c r="D19" s="33">
        <f>D21/D15</f>
        <v>18.218893140811172</v>
      </c>
      <c r="E19" s="25" t="s">
        <v>19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</row>
    <row r="20" spans="1:38" s="4" customFormat="1" ht="13.5" x14ac:dyDescent="0.25">
      <c r="A20" s="22"/>
      <c r="B20" s="4" t="s">
        <v>129</v>
      </c>
      <c r="C20" s="4" t="s">
        <v>77</v>
      </c>
      <c r="D20" s="34">
        <v>3068</v>
      </c>
      <c r="E20" s="4" t="s">
        <v>34</v>
      </c>
      <c r="F20" s="15"/>
      <c r="I20" s="22"/>
      <c r="J20" s="22" t="s">
        <v>49</v>
      </c>
      <c r="K20" s="22" t="s">
        <v>51</v>
      </c>
      <c r="L20" s="22" t="s">
        <v>50</v>
      </c>
      <c r="M20" s="22" t="s">
        <v>52</v>
      </c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</row>
    <row r="21" spans="1:38" s="4" customFormat="1" ht="13.5" x14ac:dyDescent="0.25">
      <c r="A21" s="22"/>
      <c r="B21" s="4" t="s">
        <v>130</v>
      </c>
      <c r="C21" s="4" t="s">
        <v>225</v>
      </c>
      <c r="D21" s="52">
        <f>D20*G12</f>
        <v>47.814034093392465</v>
      </c>
      <c r="E21" s="25" t="s">
        <v>34</v>
      </c>
      <c r="F21" s="15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</row>
    <row r="22" spans="1:38" s="4" customFormat="1" ht="13.5" x14ac:dyDescent="0.25">
      <c r="A22" s="22"/>
      <c r="B22" s="4" t="s">
        <v>21</v>
      </c>
      <c r="C22" s="4" t="s">
        <v>22</v>
      </c>
      <c r="D22" s="31">
        <f>353.7*D19/D5^2</f>
        <v>16.401799510066088</v>
      </c>
      <c r="E22" s="25" t="s">
        <v>26</v>
      </c>
      <c r="F22" s="47" t="str">
        <f>IF(D26&gt;D10,"PERDIDA DE CARGA INADMISIBLE",IF(D22&gt;H22,"VELOCIDAD FUERA DE RANGO",""))</f>
        <v/>
      </c>
      <c r="H22" s="7">
        <v>20</v>
      </c>
      <c r="I22" s="22"/>
      <c r="J22" s="22">
        <v>20</v>
      </c>
      <c r="K22" s="22">
        <v>40</v>
      </c>
      <c r="L22" s="22">
        <v>50</v>
      </c>
      <c r="M22" s="22">
        <v>60</v>
      </c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</row>
    <row r="23" spans="1:38" s="4" customFormat="1" ht="13.5" x14ac:dyDescent="0.25">
      <c r="A23" s="22"/>
      <c r="B23" s="4" t="s">
        <v>41</v>
      </c>
      <c r="C23" s="4" t="s">
        <v>2</v>
      </c>
      <c r="D23" s="35">
        <f>10^9*4*D19/PI()/D5/D17/3600</f>
        <v>60798.480250913643</v>
      </c>
      <c r="E23" s="25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</row>
    <row r="24" spans="1:38" s="4" customFormat="1" ht="13.5" x14ac:dyDescent="0.25">
      <c r="A24" s="22"/>
      <c r="B24" s="4" t="s">
        <v>35</v>
      </c>
      <c r="C24" s="4" t="s">
        <v>79</v>
      </c>
      <c r="D24" s="32">
        <f>colebrook($D$3,$D$5,$D$23)</f>
        <v>2.7220023167148541E-2</v>
      </c>
      <c r="E24" s="25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</row>
    <row r="25" spans="1:38" s="4" customFormat="1" ht="13.5" x14ac:dyDescent="0.25">
      <c r="A25" s="22"/>
      <c r="B25" s="4" t="s">
        <v>82</v>
      </c>
      <c r="C25" s="4" t="s">
        <v>54</v>
      </c>
      <c r="D25" s="31">
        <f>D26*10^5/D15/9.8</f>
        <v>155.52511005643092</v>
      </c>
      <c r="E25" s="25" t="s">
        <v>84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</row>
    <row r="26" spans="1:38" s="4" customFormat="1" ht="13.5" x14ac:dyDescent="0.25">
      <c r="A26" s="22"/>
      <c r="B26" s="4" t="s">
        <v>82</v>
      </c>
      <c r="C26" s="4" t="s">
        <v>54</v>
      </c>
      <c r="D26" s="36">
        <v>0.04</v>
      </c>
      <c r="E26" s="37" t="s">
        <v>31</v>
      </c>
      <c r="F26" s="38">
        <f>D13-D26</f>
        <v>3.88</v>
      </c>
      <c r="G26" s="25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</row>
    <row r="27" spans="1:38" s="9" customFormat="1" ht="13.5" x14ac:dyDescent="0.25">
      <c r="F27" s="39">
        <f>12960000*$D$25*PI()^2*9.8/8/$D$8/$D$19^2</f>
        <v>8157458.3742818125</v>
      </c>
    </row>
    <row r="28" spans="1:38" s="9" customFormat="1" x14ac:dyDescent="0.2"/>
    <row r="29" spans="1:38" s="9" customFormat="1" x14ac:dyDescent="0.2"/>
    <row r="30" spans="1:38" s="9" customFormat="1" x14ac:dyDescent="0.2"/>
    <row r="31" spans="1:38" s="9" customFormat="1" x14ac:dyDescent="0.2"/>
    <row r="32" spans="1:38" s="9" customFormat="1" x14ac:dyDescent="0.2"/>
    <row r="33" s="9" customFormat="1" x14ac:dyDescent="0.2"/>
    <row r="34" s="9" customFormat="1" x14ac:dyDescent="0.2"/>
    <row r="35" s="9" customFormat="1" x14ac:dyDescent="0.2"/>
    <row r="36" s="9" customFormat="1" x14ac:dyDescent="0.2"/>
    <row r="37" s="9" customFormat="1" x14ac:dyDescent="0.2"/>
    <row r="38" s="9" customFormat="1" x14ac:dyDescent="0.2"/>
    <row r="39" s="9" customFormat="1" x14ac:dyDescent="0.2"/>
    <row r="40" s="9" customFormat="1" x14ac:dyDescent="0.2"/>
    <row r="41" s="9" customFormat="1" x14ac:dyDescent="0.2"/>
    <row r="42" s="9" customFormat="1" x14ac:dyDescent="0.2"/>
    <row r="43" s="9" customFormat="1" x14ac:dyDescent="0.2"/>
    <row r="44" s="9" customFormat="1" x14ac:dyDescent="0.2"/>
    <row r="45" s="9" customFormat="1" x14ac:dyDescent="0.2"/>
    <row r="46" s="9" customFormat="1" x14ac:dyDescent="0.2"/>
    <row r="47" s="9" customFormat="1" x14ac:dyDescent="0.2"/>
    <row r="48" s="9" customFormat="1" x14ac:dyDescent="0.2"/>
    <row r="49" s="9" customFormat="1" x14ac:dyDescent="0.2"/>
    <row r="50" s="9" customFormat="1" x14ac:dyDescent="0.2"/>
    <row r="51" s="9" customFormat="1" x14ac:dyDescent="0.2"/>
    <row r="52" s="9" customFormat="1" x14ac:dyDescent="0.2"/>
    <row r="53" s="9" customFormat="1" x14ac:dyDescent="0.2"/>
    <row r="54" s="9" customFormat="1" x14ac:dyDescent="0.2"/>
    <row r="55" s="9" customFormat="1" x14ac:dyDescent="0.2"/>
    <row r="56" s="9" customFormat="1" x14ac:dyDescent="0.2"/>
    <row r="57" s="9" customFormat="1" x14ac:dyDescent="0.2"/>
    <row r="58" s="9" customFormat="1" x14ac:dyDescent="0.2"/>
    <row r="59" s="9" customFormat="1" x14ac:dyDescent="0.2"/>
    <row r="60" s="9" customFormat="1" x14ac:dyDescent="0.2"/>
    <row r="61" s="9" customFormat="1" x14ac:dyDescent="0.2"/>
    <row r="62" s="9" customFormat="1" x14ac:dyDescent="0.2"/>
    <row r="63" s="9" customFormat="1" x14ac:dyDescent="0.2"/>
    <row r="64" s="9" customFormat="1" x14ac:dyDescent="0.2"/>
    <row r="65" s="9" customFormat="1" x14ac:dyDescent="0.2"/>
    <row r="66" s="9" customFormat="1" x14ac:dyDescent="0.2"/>
    <row r="67" s="9" customFormat="1" x14ac:dyDescent="0.2"/>
    <row r="68" s="9" customFormat="1" x14ac:dyDescent="0.2"/>
    <row r="69" s="9" customFormat="1" x14ac:dyDescent="0.2"/>
    <row r="70" s="9" customFormat="1" x14ac:dyDescent="0.2"/>
    <row r="71" s="9" customFormat="1" x14ac:dyDescent="0.2"/>
    <row r="72" s="9" customFormat="1" x14ac:dyDescent="0.2"/>
    <row r="73" s="9" customFormat="1" x14ac:dyDescent="0.2"/>
    <row r="74" s="9" customFormat="1" x14ac:dyDescent="0.2"/>
    <row r="75" s="9" customFormat="1" x14ac:dyDescent="0.2"/>
    <row r="76" s="9" customFormat="1" x14ac:dyDescent="0.2"/>
    <row r="77" s="9" customFormat="1" x14ac:dyDescent="0.2"/>
    <row r="78" s="9" customFormat="1" x14ac:dyDescent="0.2"/>
    <row r="79" s="9" customFormat="1" x14ac:dyDescent="0.2"/>
    <row r="80" s="9" customFormat="1" x14ac:dyDescent="0.2"/>
    <row r="81" s="9" customFormat="1" x14ac:dyDescent="0.2"/>
    <row r="82" s="9" customFormat="1" x14ac:dyDescent="0.2"/>
    <row r="83" s="9" customFormat="1" x14ac:dyDescent="0.2"/>
    <row r="84" s="9" customFormat="1" x14ac:dyDescent="0.2"/>
    <row r="85" s="9" customFormat="1" x14ac:dyDescent="0.2"/>
    <row r="86" s="9" customFormat="1" x14ac:dyDescent="0.2"/>
    <row r="87" s="9" customFormat="1" x14ac:dyDescent="0.2"/>
    <row r="88" s="9" customFormat="1" x14ac:dyDescent="0.2"/>
    <row r="89" s="9" customFormat="1" x14ac:dyDescent="0.2"/>
    <row r="90" s="9" customFormat="1" x14ac:dyDescent="0.2"/>
    <row r="91" s="9" customFormat="1" x14ac:dyDescent="0.2"/>
    <row r="92" s="9" customFormat="1" x14ac:dyDescent="0.2"/>
    <row r="93" s="9" customFormat="1" x14ac:dyDescent="0.2"/>
    <row r="94" s="9" customFormat="1" x14ac:dyDescent="0.2"/>
    <row r="95" s="9" customFormat="1" x14ac:dyDescent="0.2"/>
    <row r="96" s="9" customFormat="1" x14ac:dyDescent="0.2"/>
    <row r="97" s="9" customFormat="1" x14ac:dyDescent="0.2"/>
    <row r="98" s="9" customFormat="1" x14ac:dyDescent="0.2"/>
    <row r="99" s="9" customFormat="1" x14ac:dyDescent="0.2"/>
    <row r="100" s="9" customFormat="1" x14ac:dyDescent="0.2"/>
    <row r="101" s="9" customFormat="1" x14ac:dyDescent="0.2"/>
    <row r="102" s="9" customFormat="1" x14ac:dyDescent="0.2"/>
    <row r="103" s="9" customFormat="1" x14ac:dyDescent="0.2"/>
    <row r="104" s="9" customFormat="1" x14ac:dyDescent="0.2"/>
    <row r="105" s="9" customFormat="1" x14ac:dyDescent="0.2"/>
    <row r="106" s="9" customFormat="1" x14ac:dyDescent="0.2"/>
    <row r="107" s="9" customFormat="1" x14ac:dyDescent="0.2"/>
    <row r="108" s="9" customFormat="1" x14ac:dyDescent="0.2"/>
    <row r="109" s="9" customFormat="1" x14ac:dyDescent="0.2"/>
    <row r="110" s="9" customFormat="1" x14ac:dyDescent="0.2"/>
    <row r="111" s="9" customFormat="1" x14ac:dyDescent="0.2"/>
    <row r="112" s="9" customFormat="1" x14ac:dyDescent="0.2"/>
    <row r="113" s="9" customFormat="1" x14ac:dyDescent="0.2"/>
    <row r="114" s="9" customFormat="1" x14ac:dyDescent="0.2"/>
    <row r="115" s="9" customFormat="1" x14ac:dyDescent="0.2"/>
    <row r="116" s="9" customFormat="1" x14ac:dyDescent="0.2"/>
    <row r="117" s="9" customFormat="1" x14ac:dyDescent="0.2"/>
    <row r="118" s="9" customFormat="1" x14ac:dyDescent="0.2"/>
    <row r="119" s="9" customFormat="1" x14ac:dyDescent="0.2"/>
    <row r="120" s="9" customFormat="1" x14ac:dyDescent="0.2"/>
    <row r="121" s="9" customFormat="1" x14ac:dyDescent="0.2"/>
    <row r="122" s="9" customFormat="1" x14ac:dyDescent="0.2"/>
    <row r="123" s="9" customFormat="1" x14ac:dyDescent="0.2"/>
    <row r="124" s="9" customFormat="1" x14ac:dyDescent="0.2"/>
    <row r="125" s="9" customFormat="1" x14ac:dyDescent="0.2"/>
    <row r="126" s="9" customFormat="1" x14ac:dyDescent="0.2"/>
    <row r="127" s="9" customFormat="1" x14ac:dyDescent="0.2"/>
    <row r="128" s="9" customFormat="1" x14ac:dyDescent="0.2"/>
    <row r="129" s="9" customFormat="1" x14ac:dyDescent="0.2"/>
    <row r="130" s="9" customFormat="1" x14ac:dyDescent="0.2"/>
    <row r="131" s="9" customFormat="1" x14ac:dyDescent="0.2"/>
    <row r="132" s="9" customFormat="1" x14ac:dyDescent="0.2"/>
    <row r="133" s="9" customFormat="1" x14ac:dyDescent="0.2"/>
    <row r="134" s="9" customFormat="1" x14ac:dyDescent="0.2"/>
    <row r="135" s="9" customFormat="1" x14ac:dyDescent="0.2"/>
    <row r="136" s="9" customFormat="1" x14ac:dyDescent="0.2"/>
    <row r="137" s="9" customFormat="1" x14ac:dyDescent="0.2"/>
    <row r="138" s="9" customFormat="1" x14ac:dyDescent="0.2"/>
    <row r="139" s="9" customFormat="1" x14ac:dyDescent="0.2"/>
    <row r="140" s="9" customFormat="1" x14ac:dyDescent="0.2"/>
    <row r="141" s="9" customFormat="1" x14ac:dyDescent="0.2"/>
    <row r="142" s="9" customFormat="1" x14ac:dyDescent="0.2"/>
    <row r="143" s="9" customFormat="1" x14ac:dyDescent="0.2"/>
    <row r="144" s="9" customFormat="1" x14ac:dyDescent="0.2"/>
    <row r="145" s="9" customFormat="1" x14ac:dyDescent="0.2"/>
    <row r="146" s="9" customFormat="1" x14ac:dyDescent="0.2"/>
    <row r="147" s="9" customFormat="1" x14ac:dyDescent="0.2"/>
    <row r="148" s="9" customFormat="1" x14ac:dyDescent="0.2"/>
    <row r="149" s="9" customFormat="1" x14ac:dyDescent="0.2"/>
    <row r="150" s="9" customFormat="1" x14ac:dyDescent="0.2"/>
    <row r="151" s="9" customFormat="1" x14ac:dyDescent="0.2"/>
    <row r="152" s="9" customFormat="1" x14ac:dyDescent="0.2"/>
    <row r="153" s="9" customFormat="1" x14ac:dyDescent="0.2"/>
    <row r="154" s="9" customFormat="1" x14ac:dyDescent="0.2"/>
    <row r="155" s="9" customFormat="1" x14ac:dyDescent="0.2"/>
    <row r="156" s="9" customFormat="1" x14ac:dyDescent="0.2"/>
    <row r="157" s="9" customFormat="1" x14ac:dyDescent="0.2"/>
    <row r="158" s="9" customFormat="1" x14ac:dyDescent="0.2"/>
    <row r="159" s="9" customFormat="1" x14ac:dyDescent="0.2"/>
    <row r="160" s="9" customFormat="1" x14ac:dyDescent="0.2"/>
    <row r="161" s="9" customFormat="1" x14ac:dyDescent="0.2"/>
    <row r="162" s="9" customFormat="1" x14ac:dyDescent="0.2"/>
    <row r="163" s="9" customFormat="1" x14ac:dyDescent="0.2"/>
    <row r="164" s="9" customFormat="1" x14ac:dyDescent="0.2"/>
    <row r="165" s="9" customFormat="1" x14ac:dyDescent="0.2"/>
    <row r="166" s="9" customFormat="1" x14ac:dyDescent="0.2"/>
    <row r="167" s="9" customFormat="1" x14ac:dyDescent="0.2"/>
    <row r="168" s="9" customFormat="1" x14ac:dyDescent="0.2"/>
    <row r="169" s="9" customFormat="1" x14ac:dyDescent="0.2"/>
    <row r="170" s="9" customFormat="1" x14ac:dyDescent="0.2"/>
    <row r="171" s="9" customFormat="1" x14ac:dyDescent="0.2"/>
    <row r="172" s="9" customFormat="1" x14ac:dyDescent="0.2"/>
    <row r="173" s="9" customFormat="1" x14ac:dyDescent="0.2"/>
    <row r="174" s="9" customFormat="1" x14ac:dyDescent="0.2"/>
    <row r="175" s="9" customFormat="1" x14ac:dyDescent="0.2"/>
    <row r="176" s="9" customFormat="1" x14ac:dyDescent="0.2"/>
    <row r="177" s="9" customFormat="1" x14ac:dyDescent="0.2"/>
    <row r="178" s="9" customFormat="1" x14ac:dyDescent="0.2"/>
    <row r="179" s="9" customFormat="1" x14ac:dyDescent="0.2"/>
    <row r="180" s="9" customFormat="1" x14ac:dyDescent="0.2"/>
    <row r="181" s="9" customFormat="1" x14ac:dyDescent="0.2"/>
    <row r="182" s="9" customFormat="1" x14ac:dyDescent="0.2"/>
    <row r="183" s="9" customFormat="1" x14ac:dyDescent="0.2"/>
    <row r="184" s="9" customFormat="1" x14ac:dyDescent="0.2"/>
    <row r="185" s="9" customFormat="1" x14ac:dyDescent="0.2"/>
    <row r="186" s="9" customFormat="1" x14ac:dyDescent="0.2"/>
    <row r="187" s="9" customFormat="1" x14ac:dyDescent="0.2"/>
    <row r="188" s="9" customFormat="1" x14ac:dyDescent="0.2"/>
    <row r="189" s="9" customFormat="1" x14ac:dyDescent="0.2"/>
    <row r="190" s="9" customFormat="1" x14ac:dyDescent="0.2"/>
    <row r="191" s="9" customFormat="1" x14ac:dyDescent="0.2"/>
    <row r="192" s="9" customFormat="1" x14ac:dyDescent="0.2"/>
    <row r="193" s="9" customFormat="1" x14ac:dyDescent="0.2"/>
    <row r="194" s="9" customFormat="1" x14ac:dyDescent="0.2"/>
    <row r="195" s="9" customFormat="1" x14ac:dyDescent="0.2"/>
    <row r="196" s="9" customFormat="1" x14ac:dyDescent="0.2"/>
    <row r="197" s="9" customFormat="1" x14ac:dyDescent="0.2"/>
    <row r="198" s="9" customFormat="1" x14ac:dyDescent="0.2"/>
    <row r="199" s="9" customFormat="1" x14ac:dyDescent="0.2"/>
    <row r="200" s="9" customFormat="1" x14ac:dyDescent="0.2"/>
    <row r="201" s="9" customFormat="1" x14ac:dyDescent="0.2"/>
    <row r="202" s="9" customFormat="1" x14ac:dyDescent="0.2"/>
    <row r="203" s="9" customFormat="1" x14ac:dyDescent="0.2"/>
    <row r="204" s="9" customFormat="1" x14ac:dyDescent="0.2"/>
    <row r="205" s="9" customFormat="1" x14ac:dyDescent="0.2"/>
    <row r="206" s="9" customFormat="1" x14ac:dyDescent="0.2"/>
    <row r="207" s="9" customFormat="1" x14ac:dyDescent="0.2"/>
    <row r="208" s="9" customFormat="1" x14ac:dyDescent="0.2"/>
    <row r="209" s="9" customFormat="1" x14ac:dyDescent="0.2"/>
    <row r="210" s="9" customFormat="1" x14ac:dyDescent="0.2"/>
    <row r="211" s="9" customFormat="1" x14ac:dyDescent="0.2"/>
    <row r="212" s="9" customFormat="1" x14ac:dyDescent="0.2"/>
    <row r="213" s="9" customFormat="1" x14ac:dyDescent="0.2"/>
    <row r="214" s="9" customFormat="1" x14ac:dyDescent="0.2"/>
    <row r="215" s="9" customFormat="1" x14ac:dyDescent="0.2"/>
    <row r="216" s="9" customFormat="1" x14ac:dyDescent="0.2"/>
    <row r="217" s="9" customFormat="1" x14ac:dyDescent="0.2"/>
    <row r="218" s="9" customFormat="1" x14ac:dyDescent="0.2"/>
    <row r="219" s="9" customFormat="1" x14ac:dyDescent="0.2"/>
    <row r="220" s="9" customFormat="1" x14ac:dyDescent="0.2"/>
    <row r="221" s="9" customFormat="1" x14ac:dyDescent="0.2"/>
    <row r="222" s="9" customFormat="1" x14ac:dyDescent="0.2"/>
    <row r="223" s="9" customFormat="1" x14ac:dyDescent="0.2"/>
    <row r="224" s="9" customFormat="1" x14ac:dyDescent="0.2"/>
    <row r="225" s="9" customFormat="1" x14ac:dyDescent="0.2"/>
    <row r="226" s="9" customFormat="1" x14ac:dyDescent="0.2"/>
    <row r="227" s="9" customFormat="1" x14ac:dyDescent="0.2"/>
    <row r="228" s="9" customFormat="1" x14ac:dyDescent="0.2"/>
    <row r="229" s="9" customFormat="1" x14ac:dyDescent="0.2"/>
    <row r="230" s="9" customFormat="1" x14ac:dyDescent="0.2"/>
    <row r="231" s="9" customFormat="1" x14ac:dyDescent="0.2"/>
    <row r="232" s="9" customFormat="1" x14ac:dyDescent="0.2"/>
    <row r="233" s="9" customFormat="1" x14ac:dyDescent="0.2"/>
    <row r="234" s="9" customFormat="1" x14ac:dyDescent="0.2"/>
    <row r="235" s="9" customFormat="1" x14ac:dyDescent="0.2"/>
    <row r="236" s="9" customFormat="1" x14ac:dyDescent="0.2"/>
    <row r="237" s="9" customFormat="1" x14ac:dyDescent="0.2"/>
    <row r="238" s="9" customFormat="1" x14ac:dyDescent="0.2"/>
    <row r="239" s="9" customFormat="1" x14ac:dyDescent="0.2"/>
    <row r="240" s="9" customFormat="1" x14ac:dyDescent="0.2"/>
    <row r="241" s="9" customFormat="1" x14ac:dyDescent="0.2"/>
    <row r="242" s="9" customFormat="1" x14ac:dyDescent="0.2"/>
    <row r="243" s="9" customFormat="1" x14ac:dyDescent="0.2"/>
    <row r="244" s="9" customFormat="1" x14ac:dyDescent="0.2"/>
    <row r="245" s="9" customFormat="1" x14ac:dyDescent="0.2"/>
    <row r="246" s="9" customFormat="1" x14ac:dyDescent="0.2"/>
    <row r="247" s="9" customFormat="1" x14ac:dyDescent="0.2"/>
    <row r="248" s="9" customFormat="1" x14ac:dyDescent="0.2"/>
    <row r="249" s="9" customFormat="1" x14ac:dyDescent="0.2"/>
    <row r="250" s="9" customFormat="1" x14ac:dyDescent="0.2"/>
    <row r="251" s="9" customFormat="1" x14ac:dyDescent="0.2"/>
    <row r="252" s="9" customFormat="1" x14ac:dyDescent="0.2"/>
    <row r="253" s="9" customFormat="1" x14ac:dyDescent="0.2"/>
    <row r="254" s="9" customFormat="1" x14ac:dyDescent="0.2"/>
    <row r="255" s="9" customFormat="1" x14ac:dyDescent="0.2"/>
    <row r="256" s="9" customFormat="1" x14ac:dyDescent="0.2"/>
    <row r="257" s="9" customFormat="1" x14ac:dyDescent="0.2"/>
    <row r="258" s="9" customFormat="1" x14ac:dyDescent="0.2"/>
    <row r="259" s="9" customFormat="1" x14ac:dyDescent="0.2"/>
    <row r="260" s="9" customFormat="1" x14ac:dyDescent="0.2"/>
    <row r="261" s="9" customFormat="1" x14ac:dyDescent="0.2"/>
    <row r="262" s="9" customFormat="1" x14ac:dyDescent="0.2"/>
    <row r="263" s="9" customFormat="1" x14ac:dyDescent="0.2"/>
    <row r="264" s="9" customFormat="1" x14ac:dyDescent="0.2"/>
    <row r="265" s="9" customFormat="1" x14ac:dyDescent="0.2"/>
    <row r="266" s="9" customFormat="1" x14ac:dyDescent="0.2"/>
    <row r="267" s="9" customFormat="1" x14ac:dyDescent="0.2"/>
    <row r="268" s="9" customFormat="1" x14ac:dyDescent="0.2"/>
    <row r="269" s="9" customFormat="1" x14ac:dyDescent="0.2"/>
    <row r="270" s="9" customFormat="1" x14ac:dyDescent="0.2"/>
    <row r="271" s="9" customFormat="1" x14ac:dyDescent="0.2"/>
    <row r="272" s="9" customFormat="1" x14ac:dyDescent="0.2"/>
    <row r="273" s="9" customFormat="1" x14ac:dyDescent="0.2"/>
    <row r="274" s="9" customFormat="1" x14ac:dyDescent="0.2"/>
    <row r="275" s="9" customFormat="1" x14ac:dyDescent="0.2"/>
    <row r="276" s="9" customFormat="1" x14ac:dyDescent="0.2"/>
    <row r="277" s="9" customFormat="1" x14ac:dyDescent="0.2"/>
    <row r="278" s="9" customFormat="1" x14ac:dyDescent="0.2"/>
    <row r="279" s="9" customFormat="1" x14ac:dyDescent="0.2"/>
    <row r="280" s="9" customFormat="1" x14ac:dyDescent="0.2"/>
    <row r="281" s="9" customFormat="1" x14ac:dyDescent="0.2"/>
    <row r="282" s="9" customFormat="1" x14ac:dyDescent="0.2"/>
    <row r="283" s="9" customFormat="1" x14ac:dyDescent="0.2"/>
    <row r="284" s="9" customFormat="1" x14ac:dyDescent="0.2"/>
    <row r="285" s="9" customFormat="1" x14ac:dyDescent="0.2"/>
    <row r="286" s="9" customFormat="1" x14ac:dyDescent="0.2"/>
    <row r="287" s="9" customFormat="1" x14ac:dyDescent="0.2"/>
    <row r="288" s="9" customFormat="1" x14ac:dyDescent="0.2"/>
    <row r="289" s="9" customFormat="1" x14ac:dyDescent="0.2"/>
    <row r="290" s="9" customFormat="1" x14ac:dyDescent="0.2"/>
    <row r="291" s="9" customFormat="1" x14ac:dyDescent="0.2"/>
    <row r="292" s="9" customFormat="1" x14ac:dyDescent="0.2"/>
    <row r="293" s="9" customFormat="1" x14ac:dyDescent="0.2"/>
    <row r="294" s="9" customFormat="1" x14ac:dyDescent="0.2"/>
    <row r="295" s="9" customFormat="1" x14ac:dyDescent="0.2"/>
    <row r="296" s="9" customFormat="1" x14ac:dyDescent="0.2"/>
    <row r="297" s="9" customFormat="1" x14ac:dyDescent="0.2"/>
    <row r="298" s="9" customFormat="1" x14ac:dyDescent="0.2"/>
    <row r="299" s="9" customFormat="1" x14ac:dyDescent="0.2"/>
    <row r="300" s="9" customFormat="1" x14ac:dyDescent="0.2"/>
    <row r="301" s="9" customFormat="1" x14ac:dyDescent="0.2"/>
    <row r="302" s="9" customFormat="1" x14ac:dyDescent="0.2"/>
    <row r="303" s="9" customFormat="1" x14ac:dyDescent="0.2"/>
    <row r="304" s="9" customFormat="1" x14ac:dyDescent="0.2"/>
    <row r="305" s="9" customFormat="1" x14ac:dyDescent="0.2"/>
    <row r="306" s="9" customFormat="1" x14ac:dyDescent="0.2"/>
    <row r="307" s="9" customFormat="1" x14ac:dyDescent="0.2"/>
    <row r="308" s="9" customFormat="1" x14ac:dyDescent="0.2"/>
    <row r="309" s="9" customFormat="1" x14ac:dyDescent="0.2"/>
    <row r="310" s="9" customFormat="1" x14ac:dyDescent="0.2"/>
    <row r="311" s="9" customFormat="1" x14ac:dyDescent="0.2"/>
    <row r="312" s="9" customFormat="1" x14ac:dyDescent="0.2"/>
    <row r="313" s="9" customFormat="1" x14ac:dyDescent="0.2"/>
    <row r="314" s="9" customFormat="1" x14ac:dyDescent="0.2"/>
    <row r="315" s="9" customFormat="1" x14ac:dyDescent="0.2"/>
    <row r="316" s="9" customFormat="1" x14ac:dyDescent="0.2"/>
    <row r="317" s="9" customFormat="1" x14ac:dyDescent="0.2"/>
    <row r="318" s="9" customFormat="1" x14ac:dyDescent="0.2"/>
    <row r="319" s="9" customFormat="1" x14ac:dyDescent="0.2"/>
    <row r="320" s="9" customFormat="1" x14ac:dyDescent="0.2"/>
    <row r="321" s="9" customFormat="1" x14ac:dyDescent="0.2"/>
    <row r="322" s="9" customFormat="1" x14ac:dyDescent="0.2"/>
    <row r="323" s="9" customFormat="1" x14ac:dyDescent="0.2"/>
    <row r="324" s="9" customFormat="1" x14ac:dyDescent="0.2"/>
    <row r="325" s="9" customFormat="1" x14ac:dyDescent="0.2"/>
    <row r="326" s="9" customFormat="1" x14ac:dyDescent="0.2"/>
    <row r="327" s="9" customFormat="1" x14ac:dyDescent="0.2"/>
    <row r="328" s="9" customFormat="1" x14ac:dyDescent="0.2"/>
    <row r="329" s="9" customFormat="1" x14ac:dyDescent="0.2"/>
    <row r="330" s="9" customFormat="1" x14ac:dyDescent="0.2"/>
    <row r="331" s="9" customFormat="1" x14ac:dyDescent="0.2"/>
    <row r="332" s="9" customFormat="1" x14ac:dyDescent="0.2"/>
    <row r="333" s="9" customFormat="1" x14ac:dyDescent="0.2"/>
    <row r="334" s="9" customFormat="1" x14ac:dyDescent="0.2"/>
    <row r="335" s="9" customFormat="1" x14ac:dyDescent="0.2"/>
    <row r="336" s="9" customFormat="1" x14ac:dyDescent="0.2"/>
    <row r="337" s="9" customFormat="1" x14ac:dyDescent="0.2"/>
    <row r="338" s="9" customFormat="1" x14ac:dyDescent="0.2"/>
    <row r="339" s="9" customFormat="1" x14ac:dyDescent="0.2"/>
    <row r="340" s="9" customFormat="1" x14ac:dyDescent="0.2"/>
    <row r="341" s="9" customFormat="1" x14ac:dyDescent="0.2"/>
    <row r="342" s="9" customFormat="1" x14ac:dyDescent="0.2"/>
    <row r="343" s="9" customFormat="1" x14ac:dyDescent="0.2"/>
    <row r="344" s="9" customFormat="1" x14ac:dyDescent="0.2"/>
    <row r="345" s="9" customFormat="1" x14ac:dyDescent="0.2"/>
    <row r="346" s="9" customFormat="1" x14ac:dyDescent="0.2"/>
    <row r="347" s="9" customFormat="1" x14ac:dyDescent="0.2"/>
    <row r="348" s="9" customFormat="1" x14ac:dyDescent="0.2"/>
    <row r="349" s="9" customFormat="1" x14ac:dyDescent="0.2"/>
    <row r="350" s="9" customFormat="1" x14ac:dyDescent="0.2"/>
    <row r="351" s="9" customFormat="1" x14ac:dyDescent="0.2"/>
    <row r="352" s="9" customFormat="1" x14ac:dyDescent="0.2"/>
    <row r="353" s="9" customFormat="1" x14ac:dyDescent="0.2"/>
    <row r="354" s="9" customFormat="1" x14ac:dyDescent="0.2"/>
    <row r="355" s="9" customFormat="1" x14ac:dyDescent="0.2"/>
    <row r="356" s="9" customFormat="1" x14ac:dyDescent="0.2"/>
    <row r="357" s="9" customFormat="1" x14ac:dyDescent="0.2"/>
    <row r="358" s="9" customFormat="1" x14ac:dyDescent="0.2"/>
  </sheetData>
  <sheetProtection password="D9CD" sheet="1" objects="1" scenarios="1" selectLockedCells="1"/>
  <conditionalFormatting sqref="D11">
    <cfRule type="cellIs" dxfId="6" priority="4" stopIfTrue="1" operator="lessThan">
      <formula>$D$12</formula>
    </cfRule>
    <cfRule type="cellIs" dxfId="5" priority="5" stopIfTrue="1" operator="greaterThan">
      <formula>$D$12</formula>
    </cfRule>
  </conditionalFormatting>
  <conditionalFormatting sqref="D22">
    <cfRule type="cellIs" dxfId="4" priority="3" stopIfTrue="1" operator="greaterThan">
      <formula>$H$22</formula>
    </cfRule>
  </conditionalFormatting>
  <dataValidations xWindow="461" yWindow="449" count="7">
    <dataValidation type="decimal" allowBlank="1" showInputMessage="1" showErrorMessage="1" errorTitle="FUERA DE RANGO" error="VALORES ADMISIBLES ENTRE 0,01 y Ts" prompt="valores entre_x000a_0,01 y Ts" sqref="D13" xr:uid="{00000000-0002-0000-0800-000000000000}">
      <formula1>0.01</formula1>
      <formula2>D14</formula2>
    </dataValidation>
    <dataValidation type="decimal" allowBlank="1" showInputMessage="1" showErrorMessage="1" errorTitle="DATO FUERA DE RANGO" error="Valores entre 0 y 220" prompt="valores entre_x000a_0 y 220" sqref="D10" xr:uid="{00000000-0002-0000-0800-000001000000}">
      <formula1>0</formula1>
      <formula2>220</formula2>
    </dataValidation>
    <dataValidation showInputMessage="1" showErrorMessage="1" errorTitle="DATO FUERA DE RANGO" error="Valores válidos entre 5 y 2000_x000a_" prompt="valores entre 5 y 2000" sqref="D5" xr:uid="{00000000-0002-0000-0800-000002000000}"/>
    <dataValidation type="list" allowBlank="1" showInputMessage="1" showErrorMessage="1" sqref="F7" xr:uid="{00000000-0002-0000-0800-000003000000}">
      <formula1>"Aproximacion automatica, Manual"</formula1>
    </dataValidation>
    <dataValidation type="list" allowBlank="1" showInputMessage="1" showErrorMessage="1" sqref="F3" xr:uid="{00000000-0002-0000-0800-000004000000}">
      <formula1>material</formula1>
    </dataValidation>
    <dataValidation allowBlank="1" showInputMessage="1" showErrorMessage="1" errorTitle="FUERA DE RANGO" error="VALORES ADMISIBLES ENTRE 0,01 y Ts" prompt="valores entre_x000a_0,01 y Ts" sqref="D11" xr:uid="{00000000-0002-0000-0800-000005000000}"/>
    <dataValidation type="decimal" operator="greaterThanOrEqual" allowBlank="1" showInputMessage="1" showErrorMessage="1" sqref="G3 D6 D20 D26 G7" xr:uid="{00000000-0002-0000-0800-000006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paperSize="9" scale="30" orientation="landscape" horizontalDpi="300" verticalDpi="0" r:id="rId1"/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Fill="0" autoLine="0" r:id="rId5">
            <anchor moveWithCells="1">
              <from>
                <xdr:col>6</xdr:col>
                <xdr:colOff>200025</xdr:colOff>
                <xdr:row>22</xdr:row>
                <xdr:rowOff>95250</xdr:rowOff>
              </from>
              <to>
                <xdr:col>7</xdr:col>
                <xdr:colOff>247650</xdr:colOff>
                <xdr:row>25</xdr:row>
                <xdr:rowOff>9525</xdr:rowOff>
              </to>
            </anchor>
          </controlPr>
        </control>
      </mc:Choice>
      <mc:Fallback>
        <control shapeId="16385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7">
    <pageSetUpPr fitToPage="1"/>
  </sheetPr>
  <dimension ref="A1:AL355"/>
  <sheetViews>
    <sheetView showGridLines="0" showRowColHeaders="0" zoomScaleNormal="100" zoomScaleSheetLayoutView="145" workbookViewId="0">
      <selection activeCell="D23" sqref="D23"/>
    </sheetView>
  </sheetViews>
  <sheetFormatPr baseColWidth="10" defaultColWidth="11.42578125" defaultRowHeight="12.75" x14ac:dyDescent="0.2"/>
  <cols>
    <col min="1" max="1" width="4.28515625" style="9" customWidth="1"/>
    <col min="2" max="2" width="38.5703125" style="10" customWidth="1"/>
    <col min="3" max="3" width="4.42578125" style="10" bestFit="1" customWidth="1"/>
    <col min="4" max="4" width="13" style="10" customWidth="1"/>
    <col min="5" max="5" width="9.42578125" style="10" bestFit="1" customWidth="1"/>
    <col min="6" max="6" width="36.85546875" style="10" bestFit="1" customWidth="1"/>
    <col min="7" max="7" width="12" style="10" customWidth="1"/>
    <col min="8" max="8" width="7.85546875" style="10" bestFit="1" customWidth="1"/>
    <col min="9" max="9" width="11.42578125" style="9"/>
    <col min="10" max="10" width="8.42578125" style="9" hidden="1" customWidth="1"/>
    <col min="11" max="11" width="12.28515625" style="9" hidden="1" customWidth="1"/>
    <col min="12" max="12" width="8.85546875" style="9" hidden="1" customWidth="1"/>
    <col min="13" max="13" width="8.140625" style="9" hidden="1" customWidth="1"/>
    <col min="14" max="38" width="11.42578125" style="9"/>
    <col min="39" max="16384" width="11.42578125" style="10"/>
  </cols>
  <sheetData>
    <row r="1" spans="1:38" s="4" customFormat="1" ht="27" customHeight="1" x14ac:dyDescent="0.25">
      <c r="A1" s="22"/>
      <c r="B1" s="45" t="s">
        <v>113</v>
      </c>
      <c r="C1" s="6"/>
      <c r="D1" s="6"/>
      <c r="E1" s="6"/>
      <c r="F1" s="6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</row>
    <row r="2" spans="1:38" s="4" customFormat="1" ht="18" x14ac:dyDescent="0.25">
      <c r="A2" s="22"/>
      <c r="B2" s="40" t="s">
        <v>55</v>
      </c>
      <c r="C2" s="76"/>
      <c r="D2" s="3"/>
      <c r="E2" s="3"/>
      <c r="F2" s="3"/>
      <c r="G2" s="23"/>
      <c r="H2" s="3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</row>
    <row r="3" spans="1:38" s="4" customFormat="1" ht="13.5" x14ac:dyDescent="0.25">
      <c r="A3" s="22"/>
      <c r="B3" s="4" t="s">
        <v>13</v>
      </c>
      <c r="C3" s="24" t="s">
        <v>0</v>
      </c>
      <c r="D3" s="25">
        <f>IF(F3="introducción manual de rugosidad &gt;&gt;",G3,VLOOKUP(F3,Hoja2!A3:C21,2,FALSE))</f>
        <v>0.05</v>
      </c>
      <c r="E3" s="25" t="s">
        <v>12</v>
      </c>
      <c r="F3" s="11" t="s">
        <v>4</v>
      </c>
      <c r="G3" s="11"/>
      <c r="H3" s="4" t="s">
        <v>12</v>
      </c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</row>
    <row r="4" spans="1:38" s="4" customFormat="1" ht="13.5" x14ac:dyDescent="0.25">
      <c r="A4" s="22"/>
      <c r="B4" s="4" t="s">
        <v>14</v>
      </c>
      <c r="C4" s="24" t="s">
        <v>215</v>
      </c>
      <c r="D4" s="26">
        <f>D3/D5</f>
        <v>4.6279124690330846E-3</v>
      </c>
      <c r="E4" s="25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</row>
    <row r="5" spans="1:38" s="4" customFormat="1" ht="13.5" x14ac:dyDescent="0.25">
      <c r="A5" s="22"/>
      <c r="B5" s="4" t="s">
        <v>15</v>
      </c>
      <c r="C5" s="4" t="s">
        <v>1</v>
      </c>
      <c r="D5" s="27">
        <f>DiaTub(D17,D3,F24,D15)</f>
        <v>10.804007278566045</v>
      </c>
      <c r="E5" s="25" t="s">
        <v>12</v>
      </c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</row>
    <row r="6" spans="1:38" s="4" customFormat="1" ht="13.5" x14ac:dyDescent="0.25">
      <c r="A6" s="22"/>
      <c r="B6" s="4" t="s">
        <v>68</v>
      </c>
      <c r="C6" s="4" t="s">
        <v>53</v>
      </c>
      <c r="D6" s="28">
        <v>35</v>
      </c>
      <c r="E6" s="4" t="s">
        <v>20</v>
      </c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</row>
    <row r="7" spans="1:38" s="4" customFormat="1" ht="13.5" x14ac:dyDescent="0.25">
      <c r="A7" s="22"/>
      <c r="B7" s="4" t="s">
        <v>64</v>
      </c>
      <c r="C7" s="4" t="s">
        <v>74</v>
      </c>
      <c r="D7" s="29">
        <f>IF(F7="Manual",G7,IF(D6&gt;100,D6*0.1,D6*0.2))</f>
        <v>7</v>
      </c>
      <c r="E7" s="25" t="s">
        <v>20</v>
      </c>
      <c r="F7" s="11" t="s">
        <v>244</v>
      </c>
      <c r="G7" s="11"/>
      <c r="H7" s="4" t="s">
        <v>20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</row>
    <row r="8" spans="1:38" s="4" customFormat="1" ht="13.5" x14ac:dyDescent="0.25">
      <c r="A8" s="22"/>
      <c r="B8" s="4" t="s">
        <v>65</v>
      </c>
      <c r="C8" s="4" t="s">
        <v>75</v>
      </c>
      <c r="D8" s="29">
        <f>D6+D7</f>
        <v>42</v>
      </c>
      <c r="E8" s="25" t="s">
        <v>20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</row>
    <row r="9" spans="1:38" s="4" customFormat="1" ht="15.75" x14ac:dyDescent="0.25">
      <c r="A9" s="22"/>
      <c r="B9" s="40" t="s">
        <v>114</v>
      </c>
      <c r="C9" s="3"/>
      <c r="D9" s="44" t="s">
        <v>61</v>
      </c>
      <c r="E9" s="3"/>
      <c r="F9" s="3"/>
      <c r="G9" s="3"/>
      <c r="H9" s="3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</row>
    <row r="10" spans="1:38" s="4" customFormat="1" ht="13.5" x14ac:dyDescent="0.25">
      <c r="A10" s="22"/>
      <c r="B10" s="4" t="s">
        <v>103</v>
      </c>
      <c r="C10" s="4" t="s">
        <v>29</v>
      </c>
      <c r="D10" s="11">
        <v>6</v>
      </c>
      <c r="E10" s="4" t="s">
        <v>31</v>
      </c>
      <c r="F10" s="30">
        <f>(2*D10-D23)/2</f>
        <v>5.75</v>
      </c>
      <c r="G10" s="25" t="s">
        <v>31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</row>
    <row r="11" spans="1:38" s="4" customFormat="1" ht="13.5" x14ac:dyDescent="0.25">
      <c r="A11" s="22"/>
      <c r="B11" s="4" t="s">
        <v>104</v>
      </c>
      <c r="C11" s="4" t="s">
        <v>30</v>
      </c>
      <c r="D11" s="11">
        <v>106.27</v>
      </c>
      <c r="E11" s="4" t="s">
        <v>32</v>
      </c>
      <c r="F11" s="8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</row>
    <row r="12" spans="1:38" s="4" customFormat="1" ht="13.5" x14ac:dyDescent="0.25">
      <c r="A12" s="22"/>
      <c r="B12" s="4" t="s">
        <v>105</v>
      </c>
      <c r="C12" s="4" t="s">
        <v>76</v>
      </c>
      <c r="D12" s="31">
        <f>tSatW(F10+1.01325)-273.15</f>
        <v>163.56990709697988</v>
      </c>
      <c r="E12" s="25" t="s">
        <v>32</v>
      </c>
      <c r="F12" s="8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</row>
    <row r="13" spans="1:38" s="4" customFormat="1" ht="13.5" x14ac:dyDescent="0.25">
      <c r="A13" s="22"/>
      <c r="B13" s="4" t="s">
        <v>106</v>
      </c>
      <c r="C13" s="24" t="s">
        <v>81</v>
      </c>
      <c r="D13" s="32">
        <f>IF(D11&gt;D12,densW(D11+273.15,D10+1.01325),IF(D11&lt;D12,densSatLiqTW(D11+273.15),densSatVapPW(D10+1.01325)))</f>
        <v>953.76366188516079</v>
      </c>
      <c r="E13" s="25" t="s">
        <v>18</v>
      </c>
      <c r="F13" s="8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</row>
    <row r="14" spans="1:38" s="4" customFormat="1" ht="13.5" x14ac:dyDescent="0.25">
      <c r="A14" s="22"/>
      <c r="B14" s="4" t="s">
        <v>107</v>
      </c>
      <c r="C14" s="24" t="s">
        <v>20</v>
      </c>
      <c r="D14" s="32">
        <f>IF(D11&gt;D12,viscW(D11+273.15,D10+1.01325),IF(D11&lt;D12,viscSatLiqTW(D11+273.15),viscSatVapPW(D10+1.01325)))*1000</f>
        <v>0.26421612053834859</v>
      </c>
      <c r="E14" s="25" t="s">
        <v>83</v>
      </c>
      <c r="F14" s="8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</row>
    <row r="15" spans="1:38" s="4" customFormat="1" ht="13.5" x14ac:dyDescent="0.25">
      <c r="A15" s="22"/>
      <c r="B15" s="4" t="s">
        <v>108</v>
      </c>
      <c r="C15" s="24" t="s">
        <v>24</v>
      </c>
      <c r="D15" s="32">
        <f>1000*D14/D13</f>
        <v>0.27702472960241792</v>
      </c>
      <c r="E15" s="25" t="s">
        <v>25</v>
      </c>
      <c r="F15" s="8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</row>
    <row r="16" spans="1:38" s="4" customFormat="1" ht="15.75" x14ac:dyDescent="0.25">
      <c r="A16" s="22"/>
      <c r="B16" s="40" t="s">
        <v>69</v>
      </c>
      <c r="C16" s="3"/>
      <c r="D16" s="44" t="s">
        <v>62</v>
      </c>
      <c r="E16" s="3"/>
      <c r="F16" s="3"/>
      <c r="G16" s="3"/>
      <c r="H16" s="3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</row>
    <row r="17" spans="1:38" s="4" customFormat="1" ht="13.5" x14ac:dyDescent="0.25">
      <c r="A17" s="22"/>
      <c r="B17" s="4" t="s">
        <v>36</v>
      </c>
      <c r="C17" s="4" t="s">
        <v>23</v>
      </c>
      <c r="D17" s="33">
        <f>D18/D13</f>
        <v>0.31454333184285427</v>
      </c>
      <c r="E17" s="25" t="s">
        <v>19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</row>
    <row r="18" spans="1:38" s="4" customFormat="1" ht="13.5" x14ac:dyDescent="0.25">
      <c r="A18" s="22"/>
      <c r="B18" s="4" t="s">
        <v>33</v>
      </c>
      <c r="C18" s="4" t="s">
        <v>77</v>
      </c>
      <c r="D18" s="34">
        <v>300</v>
      </c>
      <c r="E18" s="4" t="s">
        <v>34</v>
      </c>
      <c r="F18" s="15"/>
      <c r="I18" s="22"/>
      <c r="J18" s="22" t="s">
        <v>49</v>
      </c>
      <c r="K18" s="22" t="s">
        <v>51</v>
      </c>
      <c r="L18" s="22" t="s">
        <v>50</v>
      </c>
      <c r="M18" s="22" t="s">
        <v>52</v>
      </c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</row>
    <row r="19" spans="1:38" s="4" customFormat="1" ht="13.5" x14ac:dyDescent="0.25">
      <c r="A19" s="22"/>
      <c r="B19" s="4" t="s">
        <v>21</v>
      </c>
      <c r="C19" s="4" t="s">
        <v>22</v>
      </c>
      <c r="D19" s="31">
        <f>353.7*D17/D5^2</f>
        <v>0.95311610159596638</v>
      </c>
      <c r="E19" s="25" t="s">
        <v>26</v>
      </c>
      <c r="F19" s="47" t="str">
        <f>IF(D23&gt;D10,"PERDIDA DE CARGA INADMISIBLE",IF(D19&gt;H19,"VELOCIDAD FUERA DE RANGO",""))</f>
        <v/>
      </c>
      <c r="H19" s="7">
        <v>1</v>
      </c>
      <c r="I19" s="22"/>
      <c r="J19" s="22">
        <v>20</v>
      </c>
      <c r="K19" s="22">
        <v>40</v>
      </c>
      <c r="L19" s="22">
        <v>50</v>
      </c>
      <c r="M19" s="22">
        <v>60</v>
      </c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</row>
    <row r="20" spans="1:38" s="4" customFormat="1" ht="13.5" x14ac:dyDescent="0.25">
      <c r="A20" s="22"/>
      <c r="B20" s="4" t="s">
        <v>41</v>
      </c>
      <c r="C20" s="4" t="s">
        <v>2</v>
      </c>
      <c r="D20" s="35">
        <f>10^9*4*D17/PI()/D5/D15/3600</f>
        <v>37169.326592310324</v>
      </c>
      <c r="E20" s="25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</row>
    <row r="21" spans="1:38" s="4" customFormat="1" ht="13.5" x14ac:dyDescent="0.25">
      <c r="A21" s="22"/>
      <c r="B21" s="4" t="s">
        <v>35</v>
      </c>
      <c r="C21" s="4" t="s">
        <v>79</v>
      </c>
      <c r="D21" s="32">
        <f>colebrook($D$3,$D$5,$D$20)</f>
        <v>3.2151256508511736E-2</v>
      </c>
      <c r="E21" s="25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</row>
    <row r="22" spans="1:38" s="4" customFormat="1" ht="13.5" x14ac:dyDescent="0.25">
      <c r="A22" s="22"/>
      <c r="B22" s="4" t="s">
        <v>82</v>
      </c>
      <c r="C22" s="4" t="s">
        <v>54</v>
      </c>
      <c r="D22" s="31">
        <f>D23*10^5/D13/9.8</f>
        <v>5.3493763918852766</v>
      </c>
      <c r="E22" s="25" t="s">
        <v>84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</row>
    <row r="23" spans="1:38" s="4" customFormat="1" ht="13.5" x14ac:dyDescent="0.25">
      <c r="A23" s="22"/>
      <c r="B23" s="4" t="s">
        <v>82</v>
      </c>
      <c r="C23" s="4" t="s">
        <v>54</v>
      </c>
      <c r="D23" s="36">
        <v>0.5</v>
      </c>
      <c r="E23" s="37" t="s">
        <v>31</v>
      </c>
      <c r="F23" s="38">
        <f>D10-D23</f>
        <v>5.5</v>
      </c>
      <c r="G23" s="25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</row>
    <row r="24" spans="1:38" s="9" customFormat="1" ht="13.5" x14ac:dyDescent="0.25">
      <c r="F24" s="39">
        <f>12960000*$D$22*PI()^2*9.8/8/$D$8/$D$17^2</f>
        <v>201712929.32016188</v>
      </c>
    </row>
    <row r="25" spans="1:38" s="9" customFormat="1" x14ac:dyDescent="0.2"/>
    <row r="26" spans="1:38" s="9" customFormat="1" x14ac:dyDescent="0.2"/>
    <row r="27" spans="1:38" s="9" customFormat="1" x14ac:dyDescent="0.2"/>
    <row r="28" spans="1:38" s="9" customFormat="1" x14ac:dyDescent="0.2"/>
    <row r="29" spans="1:38" s="9" customFormat="1" x14ac:dyDescent="0.2"/>
    <row r="30" spans="1:38" s="9" customFormat="1" x14ac:dyDescent="0.2"/>
    <row r="31" spans="1:38" s="9" customFormat="1" x14ac:dyDescent="0.2"/>
    <row r="32" spans="1:38" s="9" customFormat="1" x14ac:dyDescent="0.2"/>
    <row r="33" s="9" customFormat="1" x14ac:dyDescent="0.2"/>
    <row r="34" s="9" customFormat="1" x14ac:dyDescent="0.2"/>
    <row r="35" s="9" customFormat="1" x14ac:dyDescent="0.2"/>
    <row r="36" s="9" customFormat="1" x14ac:dyDescent="0.2"/>
    <row r="37" s="9" customFormat="1" x14ac:dyDescent="0.2"/>
    <row r="38" s="9" customFormat="1" x14ac:dyDescent="0.2"/>
    <row r="39" s="9" customFormat="1" x14ac:dyDescent="0.2"/>
    <row r="40" s="9" customFormat="1" x14ac:dyDescent="0.2"/>
    <row r="41" s="9" customFormat="1" x14ac:dyDescent="0.2"/>
    <row r="42" s="9" customFormat="1" x14ac:dyDescent="0.2"/>
    <row r="43" s="9" customFormat="1" x14ac:dyDescent="0.2"/>
    <row r="44" s="9" customFormat="1" x14ac:dyDescent="0.2"/>
    <row r="45" s="9" customFormat="1" x14ac:dyDescent="0.2"/>
    <row r="46" s="9" customFormat="1" x14ac:dyDescent="0.2"/>
    <row r="47" s="9" customFormat="1" x14ac:dyDescent="0.2"/>
    <row r="48" s="9" customFormat="1" x14ac:dyDescent="0.2"/>
    <row r="49" s="9" customFormat="1" x14ac:dyDescent="0.2"/>
    <row r="50" s="9" customFormat="1" x14ac:dyDescent="0.2"/>
    <row r="51" s="9" customFormat="1" x14ac:dyDescent="0.2"/>
    <row r="52" s="9" customFormat="1" x14ac:dyDescent="0.2"/>
    <row r="53" s="9" customFormat="1" x14ac:dyDescent="0.2"/>
    <row r="54" s="9" customFormat="1" x14ac:dyDescent="0.2"/>
    <row r="55" s="9" customFormat="1" x14ac:dyDescent="0.2"/>
    <row r="56" s="9" customFormat="1" x14ac:dyDescent="0.2"/>
    <row r="57" s="9" customFormat="1" x14ac:dyDescent="0.2"/>
    <row r="58" s="9" customFormat="1" x14ac:dyDescent="0.2"/>
    <row r="59" s="9" customFormat="1" x14ac:dyDescent="0.2"/>
    <row r="60" s="9" customFormat="1" x14ac:dyDescent="0.2"/>
    <row r="61" s="9" customFormat="1" x14ac:dyDescent="0.2"/>
    <row r="62" s="9" customFormat="1" x14ac:dyDescent="0.2"/>
    <row r="63" s="9" customFormat="1" x14ac:dyDescent="0.2"/>
    <row r="64" s="9" customFormat="1" x14ac:dyDescent="0.2"/>
    <row r="65" s="9" customFormat="1" x14ac:dyDescent="0.2"/>
    <row r="66" s="9" customFormat="1" x14ac:dyDescent="0.2"/>
    <row r="67" s="9" customFormat="1" x14ac:dyDescent="0.2"/>
    <row r="68" s="9" customFormat="1" x14ac:dyDescent="0.2"/>
    <row r="69" s="9" customFormat="1" x14ac:dyDescent="0.2"/>
    <row r="70" s="9" customFormat="1" x14ac:dyDescent="0.2"/>
    <row r="71" s="9" customFormat="1" x14ac:dyDescent="0.2"/>
    <row r="72" s="9" customFormat="1" x14ac:dyDescent="0.2"/>
    <row r="73" s="9" customFormat="1" x14ac:dyDescent="0.2"/>
    <row r="74" s="9" customFormat="1" x14ac:dyDescent="0.2"/>
    <row r="75" s="9" customFormat="1" x14ac:dyDescent="0.2"/>
    <row r="76" s="9" customFormat="1" x14ac:dyDescent="0.2"/>
    <row r="77" s="9" customFormat="1" x14ac:dyDescent="0.2"/>
    <row r="78" s="9" customFormat="1" x14ac:dyDescent="0.2"/>
    <row r="79" s="9" customFormat="1" x14ac:dyDescent="0.2"/>
    <row r="80" s="9" customFormat="1" x14ac:dyDescent="0.2"/>
    <row r="81" s="9" customFormat="1" x14ac:dyDescent="0.2"/>
    <row r="82" s="9" customFormat="1" x14ac:dyDescent="0.2"/>
    <row r="83" s="9" customFormat="1" x14ac:dyDescent="0.2"/>
    <row r="84" s="9" customFormat="1" x14ac:dyDescent="0.2"/>
    <row r="85" s="9" customFormat="1" x14ac:dyDescent="0.2"/>
    <row r="86" s="9" customFormat="1" x14ac:dyDescent="0.2"/>
    <row r="87" s="9" customFormat="1" x14ac:dyDescent="0.2"/>
    <row r="88" s="9" customFormat="1" x14ac:dyDescent="0.2"/>
    <row r="89" s="9" customFormat="1" x14ac:dyDescent="0.2"/>
    <row r="90" s="9" customFormat="1" x14ac:dyDescent="0.2"/>
    <row r="91" s="9" customFormat="1" x14ac:dyDescent="0.2"/>
    <row r="92" s="9" customFormat="1" x14ac:dyDescent="0.2"/>
    <row r="93" s="9" customFormat="1" x14ac:dyDescent="0.2"/>
    <row r="94" s="9" customFormat="1" x14ac:dyDescent="0.2"/>
    <row r="95" s="9" customFormat="1" x14ac:dyDescent="0.2"/>
    <row r="96" s="9" customFormat="1" x14ac:dyDescent="0.2"/>
    <row r="97" s="9" customFormat="1" x14ac:dyDescent="0.2"/>
    <row r="98" s="9" customFormat="1" x14ac:dyDescent="0.2"/>
    <row r="99" s="9" customFormat="1" x14ac:dyDescent="0.2"/>
    <row r="100" s="9" customFormat="1" x14ac:dyDescent="0.2"/>
    <row r="101" s="9" customFormat="1" x14ac:dyDescent="0.2"/>
    <row r="102" s="9" customFormat="1" x14ac:dyDescent="0.2"/>
    <row r="103" s="9" customFormat="1" x14ac:dyDescent="0.2"/>
    <row r="104" s="9" customFormat="1" x14ac:dyDescent="0.2"/>
    <row r="105" s="9" customFormat="1" x14ac:dyDescent="0.2"/>
    <row r="106" s="9" customFormat="1" x14ac:dyDescent="0.2"/>
    <row r="107" s="9" customFormat="1" x14ac:dyDescent="0.2"/>
    <row r="108" s="9" customFormat="1" x14ac:dyDescent="0.2"/>
    <row r="109" s="9" customFormat="1" x14ac:dyDescent="0.2"/>
    <row r="110" s="9" customFormat="1" x14ac:dyDescent="0.2"/>
    <row r="111" s="9" customFormat="1" x14ac:dyDescent="0.2"/>
    <row r="112" s="9" customFormat="1" x14ac:dyDescent="0.2"/>
    <row r="113" s="9" customFormat="1" x14ac:dyDescent="0.2"/>
    <row r="114" s="9" customFormat="1" x14ac:dyDescent="0.2"/>
    <row r="115" s="9" customFormat="1" x14ac:dyDescent="0.2"/>
    <row r="116" s="9" customFormat="1" x14ac:dyDescent="0.2"/>
    <row r="117" s="9" customFormat="1" x14ac:dyDescent="0.2"/>
    <row r="118" s="9" customFormat="1" x14ac:dyDescent="0.2"/>
    <row r="119" s="9" customFormat="1" x14ac:dyDescent="0.2"/>
    <row r="120" s="9" customFormat="1" x14ac:dyDescent="0.2"/>
    <row r="121" s="9" customFormat="1" x14ac:dyDescent="0.2"/>
    <row r="122" s="9" customFormat="1" x14ac:dyDescent="0.2"/>
    <row r="123" s="9" customFormat="1" x14ac:dyDescent="0.2"/>
    <row r="124" s="9" customFormat="1" x14ac:dyDescent="0.2"/>
    <row r="125" s="9" customFormat="1" x14ac:dyDescent="0.2"/>
    <row r="126" s="9" customFormat="1" x14ac:dyDescent="0.2"/>
    <row r="127" s="9" customFormat="1" x14ac:dyDescent="0.2"/>
    <row r="128" s="9" customFormat="1" x14ac:dyDescent="0.2"/>
    <row r="129" s="9" customFormat="1" x14ac:dyDescent="0.2"/>
    <row r="130" s="9" customFormat="1" x14ac:dyDescent="0.2"/>
    <row r="131" s="9" customFormat="1" x14ac:dyDescent="0.2"/>
    <row r="132" s="9" customFormat="1" x14ac:dyDescent="0.2"/>
    <row r="133" s="9" customFormat="1" x14ac:dyDescent="0.2"/>
    <row r="134" s="9" customFormat="1" x14ac:dyDescent="0.2"/>
    <row r="135" s="9" customFormat="1" x14ac:dyDescent="0.2"/>
    <row r="136" s="9" customFormat="1" x14ac:dyDescent="0.2"/>
    <row r="137" s="9" customFormat="1" x14ac:dyDescent="0.2"/>
    <row r="138" s="9" customFormat="1" x14ac:dyDescent="0.2"/>
    <row r="139" s="9" customFormat="1" x14ac:dyDescent="0.2"/>
    <row r="140" s="9" customFormat="1" x14ac:dyDescent="0.2"/>
    <row r="141" s="9" customFormat="1" x14ac:dyDescent="0.2"/>
    <row r="142" s="9" customFormat="1" x14ac:dyDescent="0.2"/>
    <row r="143" s="9" customFormat="1" x14ac:dyDescent="0.2"/>
    <row r="144" s="9" customFormat="1" x14ac:dyDescent="0.2"/>
    <row r="145" s="9" customFormat="1" x14ac:dyDescent="0.2"/>
    <row r="146" s="9" customFormat="1" x14ac:dyDescent="0.2"/>
    <row r="147" s="9" customFormat="1" x14ac:dyDescent="0.2"/>
    <row r="148" s="9" customFormat="1" x14ac:dyDescent="0.2"/>
    <row r="149" s="9" customFormat="1" x14ac:dyDescent="0.2"/>
    <row r="150" s="9" customFormat="1" x14ac:dyDescent="0.2"/>
    <row r="151" s="9" customFormat="1" x14ac:dyDescent="0.2"/>
    <row r="152" s="9" customFormat="1" x14ac:dyDescent="0.2"/>
    <row r="153" s="9" customFormat="1" x14ac:dyDescent="0.2"/>
    <row r="154" s="9" customFormat="1" x14ac:dyDescent="0.2"/>
    <row r="155" s="9" customFormat="1" x14ac:dyDescent="0.2"/>
    <row r="156" s="9" customFormat="1" x14ac:dyDescent="0.2"/>
    <row r="157" s="9" customFormat="1" x14ac:dyDescent="0.2"/>
    <row r="158" s="9" customFormat="1" x14ac:dyDescent="0.2"/>
    <row r="159" s="9" customFormat="1" x14ac:dyDescent="0.2"/>
    <row r="160" s="9" customFormat="1" x14ac:dyDescent="0.2"/>
    <row r="161" s="9" customFormat="1" x14ac:dyDescent="0.2"/>
    <row r="162" s="9" customFormat="1" x14ac:dyDescent="0.2"/>
    <row r="163" s="9" customFormat="1" x14ac:dyDescent="0.2"/>
    <row r="164" s="9" customFormat="1" x14ac:dyDescent="0.2"/>
    <row r="165" s="9" customFormat="1" x14ac:dyDescent="0.2"/>
    <row r="166" s="9" customFormat="1" x14ac:dyDescent="0.2"/>
    <row r="167" s="9" customFormat="1" x14ac:dyDescent="0.2"/>
    <row r="168" s="9" customFormat="1" x14ac:dyDescent="0.2"/>
    <row r="169" s="9" customFormat="1" x14ac:dyDescent="0.2"/>
    <row r="170" s="9" customFormat="1" x14ac:dyDescent="0.2"/>
    <row r="171" s="9" customFormat="1" x14ac:dyDescent="0.2"/>
    <row r="172" s="9" customFormat="1" x14ac:dyDescent="0.2"/>
    <row r="173" s="9" customFormat="1" x14ac:dyDescent="0.2"/>
    <row r="174" s="9" customFormat="1" x14ac:dyDescent="0.2"/>
    <row r="175" s="9" customFormat="1" x14ac:dyDescent="0.2"/>
    <row r="176" s="9" customFormat="1" x14ac:dyDescent="0.2"/>
    <row r="177" s="9" customFormat="1" x14ac:dyDescent="0.2"/>
    <row r="178" s="9" customFormat="1" x14ac:dyDescent="0.2"/>
    <row r="179" s="9" customFormat="1" x14ac:dyDescent="0.2"/>
    <row r="180" s="9" customFormat="1" x14ac:dyDescent="0.2"/>
    <row r="181" s="9" customFormat="1" x14ac:dyDescent="0.2"/>
    <row r="182" s="9" customFormat="1" x14ac:dyDescent="0.2"/>
    <row r="183" s="9" customFormat="1" x14ac:dyDescent="0.2"/>
    <row r="184" s="9" customFormat="1" x14ac:dyDescent="0.2"/>
    <row r="185" s="9" customFormat="1" x14ac:dyDescent="0.2"/>
    <row r="186" s="9" customFormat="1" x14ac:dyDescent="0.2"/>
    <row r="187" s="9" customFormat="1" x14ac:dyDescent="0.2"/>
    <row r="188" s="9" customFormat="1" x14ac:dyDescent="0.2"/>
    <row r="189" s="9" customFormat="1" x14ac:dyDescent="0.2"/>
    <row r="190" s="9" customFormat="1" x14ac:dyDescent="0.2"/>
    <row r="191" s="9" customFormat="1" x14ac:dyDescent="0.2"/>
    <row r="192" s="9" customFormat="1" x14ac:dyDescent="0.2"/>
    <row r="193" s="9" customFormat="1" x14ac:dyDescent="0.2"/>
    <row r="194" s="9" customFormat="1" x14ac:dyDescent="0.2"/>
    <row r="195" s="9" customFormat="1" x14ac:dyDescent="0.2"/>
    <row r="196" s="9" customFormat="1" x14ac:dyDescent="0.2"/>
    <row r="197" s="9" customFormat="1" x14ac:dyDescent="0.2"/>
    <row r="198" s="9" customFormat="1" x14ac:dyDescent="0.2"/>
    <row r="199" s="9" customFormat="1" x14ac:dyDescent="0.2"/>
    <row r="200" s="9" customFormat="1" x14ac:dyDescent="0.2"/>
    <row r="201" s="9" customFormat="1" x14ac:dyDescent="0.2"/>
    <row r="202" s="9" customFormat="1" x14ac:dyDescent="0.2"/>
    <row r="203" s="9" customFormat="1" x14ac:dyDescent="0.2"/>
    <row r="204" s="9" customFormat="1" x14ac:dyDescent="0.2"/>
    <row r="205" s="9" customFormat="1" x14ac:dyDescent="0.2"/>
    <row r="206" s="9" customFormat="1" x14ac:dyDescent="0.2"/>
    <row r="207" s="9" customFormat="1" x14ac:dyDescent="0.2"/>
    <row r="208" s="9" customFormat="1" x14ac:dyDescent="0.2"/>
    <row r="209" s="9" customFormat="1" x14ac:dyDescent="0.2"/>
    <row r="210" s="9" customFormat="1" x14ac:dyDescent="0.2"/>
    <row r="211" s="9" customFormat="1" x14ac:dyDescent="0.2"/>
    <row r="212" s="9" customFormat="1" x14ac:dyDescent="0.2"/>
    <row r="213" s="9" customFormat="1" x14ac:dyDescent="0.2"/>
    <row r="214" s="9" customFormat="1" x14ac:dyDescent="0.2"/>
    <row r="215" s="9" customFormat="1" x14ac:dyDescent="0.2"/>
    <row r="216" s="9" customFormat="1" x14ac:dyDescent="0.2"/>
    <row r="217" s="9" customFormat="1" x14ac:dyDescent="0.2"/>
    <row r="218" s="9" customFormat="1" x14ac:dyDescent="0.2"/>
    <row r="219" s="9" customFormat="1" x14ac:dyDescent="0.2"/>
    <row r="220" s="9" customFormat="1" x14ac:dyDescent="0.2"/>
    <row r="221" s="9" customFormat="1" x14ac:dyDescent="0.2"/>
    <row r="222" s="9" customFormat="1" x14ac:dyDescent="0.2"/>
    <row r="223" s="9" customFormat="1" x14ac:dyDescent="0.2"/>
    <row r="224" s="9" customFormat="1" x14ac:dyDescent="0.2"/>
    <row r="225" s="9" customFormat="1" x14ac:dyDescent="0.2"/>
    <row r="226" s="9" customFormat="1" x14ac:dyDescent="0.2"/>
    <row r="227" s="9" customFormat="1" x14ac:dyDescent="0.2"/>
    <row r="228" s="9" customFormat="1" x14ac:dyDescent="0.2"/>
    <row r="229" s="9" customFormat="1" x14ac:dyDescent="0.2"/>
    <row r="230" s="9" customFormat="1" x14ac:dyDescent="0.2"/>
    <row r="231" s="9" customFormat="1" x14ac:dyDescent="0.2"/>
    <row r="232" s="9" customFormat="1" x14ac:dyDescent="0.2"/>
    <row r="233" s="9" customFormat="1" x14ac:dyDescent="0.2"/>
    <row r="234" s="9" customFormat="1" x14ac:dyDescent="0.2"/>
    <row r="235" s="9" customFormat="1" x14ac:dyDescent="0.2"/>
    <row r="236" s="9" customFormat="1" x14ac:dyDescent="0.2"/>
    <row r="237" s="9" customFormat="1" x14ac:dyDescent="0.2"/>
    <row r="238" s="9" customFormat="1" x14ac:dyDescent="0.2"/>
    <row r="239" s="9" customFormat="1" x14ac:dyDescent="0.2"/>
    <row r="240" s="9" customFormat="1" x14ac:dyDescent="0.2"/>
    <row r="241" s="9" customFormat="1" x14ac:dyDescent="0.2"/>
    <row r="242" s="9" customFormat="1" x14ac:dyDescent="0.2"/>
    <row r="243" s="9" customFormat="1" x14ac:dyDescent="0.2"/>
    <row r="244" s="9" customFormat="1" x14ac:dyDescent="0.2"/>
    <row r="245" s="9" customFormat="1" x14ac:dyDescent="0.2"/>
    <row r="246" s="9" customFormat="1" x14ac:dyDescent="0.2"/>
    <row r="247" s="9" customFormat="1" x14ac:dyDescent="0.2"/>
    <row r="248" s="9" customFormat="1" x14ac:dyDescent="0.2"/>
    <row r="249" s="9" customFormat="1" x14ac:dyDescent="0.2"/>
    <row r="250" s="9" customFormat="1" x14ac:dyDescent="0.2"/>
    <row r="251" s="9" customFormat="1" x14ac:dyDescent="0.2"/>
    <row r="252" s="9" customFormat="1" x14ac:dyDescent="0.2"/>
    <row r="253" s="9" customFormat="1" x14ac:dyDescent="0.2"/>
    <row r="254" s="9" customFormat="1" x14ac:dyDescent="0.2"/>
    <row r="255" s="9" customFormat="1" x14ac:dyDescent="0.2"/>
    <row r="256" s="9" customFormat="1" x14ac:dyDescent="0.2"/>
    <row r="257" s="9" customFormat="1" x14ac:dyDescent="0.2"/>
    <row r="258" s="9" customFormat="1" x14ac:dyDescent="0.2"/>
    <row r="259" s="9" customFormat="1" x14ac:dyDescent="0.2"/>
    <row r="260" s="9" customFormat="1" x14ac:dyDescent="0.2"/>
    <row r="261" s="9" customFormat="1" x14ac:dyDescent="0.2"/>
    <row r="262" s="9" customFormat="1" x14ac:dyDescent="0.2"/>
    <row r="263" s="9" customFormat="1" x14ac:dyDescent="0.2"/>
    <row r="264" s="9" customFormat="1" x14ac:dyDescent="0.2"/>
    <row r="265" s="9" customFormat="1" x14ac:dyDescent="0.2"/>
    <row r="266" s="9" customFormat="1" x14ac:dyDescent="0.2"/>
    <row r="267" s="9" customFormat="1" x14ac:dyDescent="0.2"/>
    <row r="268" s="9" customFormat="1" x14ac:dyDescent="0.2"/>
    <row r="269" s="9" customFormat="1" x14ac:dyDescent="0.2"/>
    <row r="270" s="9" customFormat="1" x14ac:dyDescent="0.2"/>
    <row r="271" s="9" customFormat="1" x14ac:dyDescent="0.2"/>
    <row r="272" s="9" customFormat="1" x14ac:dyDescent="0.2"/>
    <row r="273" s="9" customFormat="1" x14ac:dyDescent="0.2"/>
    <row r="274" s="9" customFormat="1" x14ac:dyDescent="0.2"/>
    <row r="275" s="9" customFormat="1" x14ac:dyDescent="0.2"/>
    <row r="276" s="9" customFormat="1" x14ac:dyDescent="0.2"/>
    <row r="277" s="9" customFormat="1" x14ac:dyDescent="0.2"/>
    <row r="278" s="9" customFormat="1" x14ac:dyDescent="0.2"/>
    <row r="279" s="9" customFormat="1" x14ac:dyDescent="0.2"/>
    <row r="280" s="9" customFormat="1" x14ac:dyDescent="0.2"/>
    <row r="281" s="9" customFormat="1" x14ac:dyDescent="0.2"/>
    <row r="282" s="9" customFormat="1" x14ac:dyDescent="0.2"/>
    <row r="283" s="9" customFormat="1" x14ac:dyDescent="0.2"/>
    <row r="284" s="9" customFormat="1" x14ac:dyDescent="0.2"/>
    <row r="285" s="9" customFormat="1" x14ac:dyDescent="0.2"/>
    <row r="286" s="9" customFormat="1" x14ac:dyDescent="0.2"/>
    <row r="287" s="9" customFormat="1" x14ac:dyDescent="0.2"/>
    <row r="288" s="9" customFormat="1" x14ac:dyDescent="0.2"/>
    <row r="289" s="9" customFormat="1" x14ac:dyDescent="0.2"/>
    <row r="290" s="9" customFormat="1" x14ac:dyDescent="0.2"/>
    <row r="291" s="9" customFormat="1" x14ac:dyDescent="0.2"/>
    <row r="292" s="9" customFormat="1" x14ac:dyDescent="0.2"/>
    <row r="293" s="9" customFormat="1" x14ac:dyDescent="0.2"/>
    <row r="294" s="9" customFormat="1" x14ac:dyDescent="0.2"/>
    <row r="295" s="9" customFormat="1" x14ac:dyDescent="0.2"/>
    <row r="296" s="9" customFormat="1" x14ac:dyDescent="0.2"/>
    <row r="297" s="9" customFormat="1" x14ac:dyDescent="0.2"/>
    <row r="298" s="9" customFormat="1" x14ac:dyDescent="0.2"/>
    <row r="299" s="9" customFormat="1" x14ac:dyDescent="0.2"/>
    <row r="300" s="9" customFormat="1" x14ac:dyDescent="0.2"/>
    <row r="301" s="9" customFormat="1" x14ac:dyDescent="0.2"/>
    <row r="302" s="9" customFormat="1" x14ac:dyDescent="0.2"/>
    <row r="303" s="9" customFormat="1" x14ac:dyDescent="0.2"/>
    <row r="304" s="9" customFormat="1" x14ac:dyDescent="0.2"/>
    <row r="305" s="9" customFormat="1" x14ac:dyDescent="0.2"/>
    <row r="306" s="9" customFormat="1" x14ac:dyDescent="0.2"/>
    <row r="307" s="9" customFormat="1" x14ac:dyDescent="0.2"/>
    <row r="308" s="9" customFormat="1" x14ac:dyDescent="0.2"/>
    <row r="309" s="9" customFormat="1" x14ac:dyDescent="0.2"/>
    <row r="310" s="9" customFormat="1" x14ac:dyDescent="0.2"/>
    <row r="311" s="9" customFormat="1" x14ac:dyDescent="0.2"/>
    <row r="312" s="9" customFormat="1" x14ac:dyDescent="0.2"/>
    <row r="313" s="9" customFormat="1" x14ac:dyDescent="0.2"/>
    <row r="314" s="9" customFormat="1" x14ac:dyDescent="0.2"/>
    <row r="315" s="9" customFormat="1" x14ac:dyDescent="0.2"/>
    <row r="316" s="9" customFormat="1" x14ac:dyDescent="0.2"/>
    <row r="317" s="9" customFormat="1" x14ac:dyDescent="0.2"/>
    <row r="318" s="9" customFormat="1" x14ac:dyDescent="0.2"/>
    <row r="319" s="9" customFormat="1" x14ac:dyDescent="0.2"/>
    <row r="320" s="9" customFormat="1" x14ac:dyDescent="0.2"/>
    <row r="321" s="9" customFormat="1" x14ac:dyDescent="0.2"/>
    <row r="322" s="9" customFormat="1" x14ac:dyDescent="0.2"/>
    <row r="323" s="9" customFormat="1" x14ac:dyDescent="0.2"/>
    <row r="324" s="9" customFormat="1" x14ac:dyDescent="0.2"/>
    <row r="325" s="9" customFormat="1" x14ac:dyDescent="0.2"/>
    <row r="326" s="9" customFormat="1" x14ac:dyDescent="0.2"/>
    <row r="327" s="9" customFormat="1" x14ac:dyDescent="0.2"/>
    <row r="328" s="9" customFormat="1" x14ac:dyDescent="0.2"/>
    <row r="329" s="9" customFormat="1" x14ac:dyDescent="0.2"/>
    <row r="330" s="9" customFormat="1" x14ac:dyDescent="0.2"/>
    <row r="331" s="9" customFormat="1" x14ac:dyDescent="0.2"/>
    <row r="332" s="9" customFormat="1" x14ac:dyDescent="0.2"/>
    <row r="333" s="9" customFormat="1" x14ac:dyDescent="0.2"/>
    <row r="334" s="9" customFormat="1" x14ac:dyDescent="0.2"/>
    <row r="335" s="9" customFormat="1" x14ac:dyDescent="0.2"/>
    <row r="336" s="9" customFormat="1" x14ac:dyDescent="0.2"/>
    <row r="337" s="9" customFormat="1" x14ac:dyDescent="0.2"/>
    <row r="338" s="9" customFormat="1" x14ac:dyDescent="0.2"/>
    <row r="339" s="9" customFormat="1" x14ac:dyDescent="0.2"/>
    <row r="340" s="9" customFormat="1" x14ac:dyDescent="0.2"/>
    <row r="341" s="9" customFormat="1" x14ac:dyDescent="0.2"/>
    <row r="342" s="9" customFormat="1" x14ac:dyDescent="0.2"/>
    <row r="343" s="9" customFormat="1" x14ac:dyDescent="0.2"/>
    <row r="344" s="9" customFormat="1" x14ac:dyDescent="0.2"/>
    <row r="345" s="9" customFormat="1" x14ac:dyDescent="0.2"/>
    <row r="346" s="9" customFormat="1" x14ac:dyDescent="0.2"/>
    <row r="347" s="9" customFormat="1" x14ac:dyDescent="0.2"/>
    <row r="348" s="9" customFormat="1" x14ac:dyDescent="0.2"/>
    <row r="349" s="9" customFormat="1" x14ac:dyDescent="0.2"/>
    <row r="350" s="9" customFormat="1" x14ac:dyDescent="0.2"/>
    <row r="351" s="9" customFormat="1" x14ac:dyDescent="0.2"/>
    <row r="352" s="9" customFormat="1" x14ac:dyDescent="0.2"/>
    <row r="353" s="9" customFormat="1" x14ac:dyDescent="0.2"/>
    <row r="354" s="9" customFormat="1" x14ac:dyDescent="0.2"/>
    <row r="355" s="9" customFormat="1" x14ac:dyDescent="0.2"/>
  </sheetData>
  <sheetProtection password="D96D" sheet="1" objects="1" scenarios="1" selectLockedCells="1"/>
  <conditionalFormatting sqref="D11">
    <cfRule type="cellIs" dxfId="3" priority="2" stopIfTrue="1" operator="lessThan">
      <formula>$D$12</formula>
    </cfRule>
    <cfRule type="cellIs" dxfId="2" priority="3" stopIfTrue="1" operator="greaterThan">
      <formula>$D$12</formula>
    </cfRule>
  </conditionalFormatting>
  <conditionalFormatting sqref="D19">
    <cfRule type="cellIs" dxfId="1" priority="1" stopIfTrue="1" operator="greaterThan">
      <formula>$H$19</formula>
    </cfRule>
  </conditionalFormatting>
  <dataValidations xWindow="522" yWindow="389" count="5">
    <dataValidation type="decimal" allowBlank="1" showInputMessage="1" showErrorMessage="1" errorTitle="FUERA DE RANGO" error="VALORES ADMISIBLES ENTRE 0,01 y Ts" prompt="valores entre_x000a_0,01 y Ts " sqref="D11" xr:uid="{00000000-0002-0000-0900-000000000000}">
      <formula1>0.01</formula1>
      <formula2>D12</formula2>
    </dataValidation>
    <dataValidation type="list" allowBlank="1" showInputMessage="1" showErrorMessage="1" sqref="F3" xr:uid="{00000000-0002-0000-0900-000001000000}">
      <formula1>material</formula1>
    </dataValidation>
    <dataValidation type="list" allowBlank="1" showInputMessage="1" showErrorMessage="1" sqref="F7" xr:uid="{00000000-0002-0000-0900-000002000000}">
      <formula1>"Aproximacion automatica, Manual"</formula1>
    </dataValidation>
    <dataValidation showInputMessage="1" showErrorMessage="1" errorTitle="DATO FUERA DE RANGO" error="Valores válidos entre 5 y 2000_x000a_" prompt="valores entre 5 y 2000" sqref="D5" xr:uid="{00000000-0002-0000-0900-000003000000}"/>
    <dataValidation type="decimal" allowBlank="1" showInputMessage="1" showErrorMessage="1" errorTitle="DATO FUERA DE RANGO" error="Valores entre 0 y 220" prompt="valores entre_x000a_0 y 220" sqref="D10" xr:uid="{00000000-0002-0000-0900-000004000000}">
      <formula1>0</formula1>
      <formula2>220</formula2>
    </dataValidation>
  </dataValidations>
  <pageMargins left="0.70866141732283472" right="0.70866141732283472" top="0.74803149606299213" bottom="0.74803149606299213" header="0.31496062992125984" footer="0.31496062992125984"/>
  <pageSetup paperSize="9" scale="10" orientation="landscape" horizontalDpi="300" verticalDpi="0" r:id="rId1"/>
  <drawing r:id="rId2"/>
  <legacyDrawing r:id="rId3"/>
  <controls>
    <mc:AlternateContent xmlns:mc="http://schemas.openxmlformats.org/markup-compatibility/2006">
      <mc:Choice Requires="x14">
        <control shapeId="12289" r:id="rId4" name="CommandButton1">
          <controlPr defaultSize="0" autoFill="0" autoLine="0" r:id="rId5">
            <anchor moveWithCells="1">
              <from>
                <xdr:col>6</xdr:col>
                <xdr:colOff>323850</xdr:colOff>
                <xdr:row>19</xdr:row>
                <xdr:rowOff>114300</xdr:rowOff>
              </from>
              <to>
                <xdr:col>7</xdr:col>
                <xdr:colOff>342900</xdr:colOff>
                <xdr:row>22</xdr:row>
                <xdr:rowOff>28575</xdr:rowOff>
              </to>
            </anchor>
          </controlPr>
        </control>
      </mc:Choice>
      <mc:Fallback>
        <control shapeId="12289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6"/>
  <dimension ref="A1:E4"/>
  <sheetViews>
    <sheetView workbookViewId="0">
      <selection activeCell="E2" sqref="E2"/>
    </sheetView>
  </sheetViews>
  <sheetFormatPr baseColWidth="10" defaultRowHeight="15" x14ac:dyDescent="0.25"/>
  <sheetData>
    <row r="1" spans="1:5" x14ac:dyDescent="0.25">
      <c r="A1" s="12" t="s">
        <v>81</v>
      </c>
      <c r="B1">
        <f>densSatLiqTW(E1+273.15)</f>
        <v>998.16080927879432</v>
      </c>
      <c r="C1" t="s">
        <v>18</v>
      </c>
      <c r="D1" s="13" t="s">
        <v>100</v>
      </c>
      <c r="E1">
        <v>20</v>
      </c>
    </row>
    <row r="2" spans="1:5" x14ac:dyDescent="0.25">
      <c r="A2" t="s">
        <v>98</v>
      </c>
      <c r="B2">
        <f>1/B1</f>
        <v>1.0018425795764658E-3</v>
      </c>
      <c r="C2" t="s">
        <v>99</v>
      </c>
    </row>
    <row r="3" spans="1:5" x14ac:dyDescent="0.25">
      <c r="A3" s="12" t="s">
        <v>20</v>
      </c>
      <c r="B3">
        <f>viscSatLiqTW(E1+273.15)*1000</f>
        <v>1.0016478501265624</v>
      </c>
      <c r="C3" t="s">
        <v>96</v>
      </c>
    </row>
    <row r="4" spans="1:5" x14ac:dyDescent="0.25">
      <c r="A4" s="12" t="s">
        <v>97</v>
      </c>
      <c r="B4">
        <f>B3*1000/B1</f>
        <v>1.0034934659980164</v>
      </c>
      <c r="C4" t="s">
        <v>25</v>
      </c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H30"/>
  <sheetViews>
    <sheetView workbookViewId="0">
      <selection activeCell="G24" sqref="G24"/>
    </sheetView>
  </sheetViews>
  <sheetFormatPr baseColWidth="10" defaultRowHeight="15" x14ac:dyDescent="0.25"/>
  <cols>
    <col min="1" max="1" width="32.85546875" bestFit="1" customWidth="1"/>
    <col min="2" max="2" width="9.140625" bestFit="1" customWidth="1"/>
    <col min="3" max="3" width="13.5703125" bestFit="1" customWidth="1"/>
    <col min="4" max="4" width="9.42578125" bestFit="1" customWidth="1"/>
    <col min="7" max="7" width="35.42578125" bestFit="1" customWidth="1"/>
    <col min="8" max="8" width="9.28515625" bestFit="1" customWidth="1"/>
  </cols>
  <sheetData>
    <row r="1" spans="1:8" x14ac:dyDescent="0.25">
      <c r="A1" t="s">
        <v>132</v>
      </c>
      <c r="G1" t="s">
        <v>133</v>
      </c>
    </row>
    <row r="2" spans="1:8" x14ac:dyDescent="0.25">
      <c r="A2" t="s">
        <v>134</v>
      </c>
      <c r="B2" s="16" t="s">
        <v>16</v>
      </c>
      <c r="C2" s="16" t="s">
        <v>135</v>
      </c>
      <c r="D2" s="16" t="s">
        <v>136</v>
      </c>
      <c r="G2" s="16" t="s">
        <v>137</v>
      </c>
      <c r="H2" s="16" t="s">
        <v>138</v>
      </c>
    </row>
    <row r="3" spans="1:8" ht="17.25" x14ac:dyDescent="0.25">
      <c r="B3" s="16" t="s">
        <v>18</v>
      </c>
      <c r="C3" s="16" t="s">
        <v>139</v>
      </c>
      <c r="D3" s="16" t="s">
        <v>140</v>
      </c>
      <c r="H3" s="16" t="s">
        <v>141</v>
      </c>
    </row>
    <row r="4" spans="1:8" x14ac:dyDescent="0.25">
      <c r="A4" t="s">
        <v>142</v>
      </c>
      <c r="G4" t="s">
        <v>142</v>
      </c>
      <c r="H4" s="17"/>
    </row>
    <row r="5" spans="1:8" x14ac:dyDescent="0.25">
      <c r="A5" t="s">
        <v>143</v>
      </c>
      <c r="B5">
        <v>300</v>
      </c>
      <c r="C5">
        <v>8.5000000000000006E-2</v>
      </c>
      <c r="D5">
        <v>920</v>
      </c>
      <c r="G5" t="s">
        <v>144</v>
      </c>
      <c r="H5" s="17">
        <v>2.7999999999999998E-9</v>
      </c>
    </row>
    <row r="6" spans="1:8" x14ac:dyDescent="0.25">
      <c r="A6" t="s">
        <v>145</v>
      </c>
      <c r="B6">
        <v>450</v>
      </c>
      <c r="C6">
        <v>0.114</v>
      </c>
      <c r="D6">
        <v>920</v>
      </c>
      <c r="G6" t="s">
        <v>146</v>
      </c>
      <c r="H6" s="17">
        <v>7.4000000000000001E-9</v>
      </c>
    </row>
    <row r="7" spans="1:8" x14ac:dyDescent="0.25">
      <c r="A7" t="s">
        <v>147</v>
      </c>
      <c r="B7">
        <v>14</v>
      </c>
      <c r="C7">
        <v>4.3999999999999997E-2</v>
      </c>
      <c r="D7">
        <v>837</v>
      </c>
      <c r="G7" t="s">
        <v>148</v>
      </c>
      <c r="H7" s="17">
        <v>1.4699999999999999E-8</v>
      </c>
    </row>
    <row r="8" spans="1:8" x14ac:dyDescent="0.25">
      <c r="A8" t="s">
        <v>149</v>
      </c>
      <c r="B8">
        <v>24</v>
      </c>
      <c r="C8">
        <v>3.6999999999999998E-2</v>
      </c>
      <c r="D8">
        <v>837</v>
      </c>
      <c r="G8" t="s">
        <v>150</v>
      </c>
      <c r="H8" s="17">
        <v>2.4900000000000001E-8</v>
      </c>
    </row>
    <row r="9" spans="1:8" x14ac:dyDescent="0.25">
      <c r="A9" t="s">
        <v>151</v>
      </c>
      <c r="B9">
        <v>38</v>
      </c>
      <c r="C9">
        <v>3.4000000000000002E-2</v>
      </c>
      <c r="D9">
        <v>837</v>
      </c>
      <c r="G9" t="s">
        <v>152</v>
      </c>
      <c r="H9" s="17">
        <v>8.5E-9</v>
      </c>
    </row>
    <row r="10" spans="1:8" x14ac:dyDescent="0.25">
      <c r="A10" t="s">
        <v>153</v>
      </c>
      <c r="B10">
        <v>55</v>
      </c>
      <c r="C10">
        <v>3.3000000000000002E-2</v>
      </c>
      <c r="D10">
        <v>837</v>
      </c>
      <c r="G10" t="s">
        <v>154</v>
      </c>
      <c r="H10" s="17">
        <v>1.02E-8</v>
      </c>
    </row>
    <row r="11" spans="1:8" x14ac:dyDescent="0.25">
      <c r="A11" t="s">
        <v>155</v>
      </c>
      <c r="B11">
        <v>78</v>
      </c>
      <c r="C11">
        <v>3.3000000000000002E-2</v>
      </c>
      <c r="D11">
        <v>837</v>
      </c>
      <c r="G11" t="s">
        <v>156</v>
      </c>
      <c r="H11" s="17">
        <v>5.3300000000000001E-8</v>
      </c>
    </row>
    <row r="12" spans="1:8" x14ac:dyDescent="0.25">
      <c r="A12" t="s">
        <v>157</v>
      </c>
      <c r="B12">
        <v>91</v>
      </c>
      <c r="C12">
        <v>3.5999999999999997E-2</v>
      </c>
      <c r="D12">
        <v>837</v>
      </c>
    </row>
    <row r="13" spans="1:8" x14ac:dyDescent="0.25">
      <c r="A13" t="s">
        <v>158</v>
      </c>
      <c r="B13">
        <v>40</v>
      </c>
      <c r="C13">
        <v>4.2000000000000003E-2</v>
      </c>
      <c r="D13">
        <v>837</v>
      </c>
    </row>
    <row r="14" spans="1:8" x14ac:dyDescent="0.25">
      <c r="A14" t="s">
        <v>159</v>
      </c>
      <c r="B14">
        <v>60</v>
      </c>
      <c r="C14">
        <v>0.04</v>
      </c>
      <c r="D14">
        <v>837</v>
      </c>
    </row>
    <row r="15" spans="1:8" x14ac:dyDescent="0.25">
      <c r="A15" t="s">
        <v>160</v>
      </c>
      <c r="B15">
        <v>80</v>
      </c>
      <c r="C15">
        <v>3.7999999999999999E-2</v>
      </c>
      <c r="D15">
        <v>837</v>
      </c>
    </row>
    <row r="16" spans="1:8" x14ac:dyDescent="0.25">
      <c r="A16" t="s">
        <v>161</v>
      </c>
      <c r="B16">
        <v>105</v>
      </c>
      <c r="C16">
        <v>3.7999999999999999E-2</v>
      </c>
      <c r="D16">
        <v>837</v>
      </c>
    </row>
    <row r="17" spans="1:4" x14ac:dyDescent="0.25">
      <c r="A17" t="s">
        <v>162</v>
      </c>
      <c r="B17">
        <v>135</v>
      </c>
      <c r="C17">
        <v>3.7999999999999999E-2</v>
      </c>
      <c r="D17">
        <v>837</v>
      </c>
    </row>
    <row r="18" spans="1:4" x14ac:dyDescent="0.25">
      <c r="A18" t="s">
        <v>163</v>
      </c>
      <c r="B18">
        <v>130</v>
      </c>
      <c r="C18">
        <v>4.7E-2</v>
      </c>
      <c r="D18">
        <v>837</v>
      </c>
    </row>
    <row r="19" spans="1:4" x14ac:dyDescent="0.25">
      <c r="A19" t="s">
        <v>164</v>
      </c>
      <c r="B19">
        <v>120</v>
      </c>
      <c r="C19">
        <v>3.5000000000000003E-2</v>
      </c>
      <c r="D19">
        <v>837</v>
      </c>
    </row>
    <row r="20" spans="1:4" x14ac:dyDescent="0.25">
      <c r="A20" t="s">
        <v>165</v>
      </c>
      <c r="B20">
        <v>160</v>
      </c>
      <c r="C20">
        <v>4.3999999999999997E-2</v>
      </c>
      <c r="D20">
        <v>750</v>
      </c>
    </row>
    <row r="23" spans="1:4" x14ac:dyDescent="0.25">
      <c r="A23" t="s">
        <v>134</v>
      </c>
      <c r="B23" s="16" t="s">
        <v>16</v>
      </c>
      <c r="C23" s="16" t="s">
        <v>135</v>
      </c>
      <c r="D23" s="16" t="s">
        <v>136</v>
      </c>
    </row>
    <row r="24" spans="1:4" x14ac:dyDescent="0.25">
      <c r="B24" s="16" t="s">
        <v>18</v>
      </c>
      <c r="C24" s="16" t="s">
        <v>139</v>
      </c>
      <c r="D24" s="16" t="s">
        <v>140</v>
      </c>
    </row>
    <row r="25" spans="1:4" x14ac:dyDescent="0.25">
      <c r="A25" t="s">
        <v>142</v>
      </c>
    </row>
    <row r="26" spans="1:4" x14ac:dyDescent="0.25">
      <c r="A26" t="s">
        <v>166</v>
      </c>
      <c r="B26">
        <v>7850</v>
      </c>
      <c r="C26">
        <v>58</v>
      </c>
      <c r="D26">
        <v>460</v>
      </c>
    </row>
    <row r="27" spans="1:4" x14ac:dyDescent="0.25">
      <c r="A27" t="s">
        <v>167</v>
      </c>
      <c r="B27">
        <v>8900</v>
      </c>
      <c r="C27">
        <v>384</v>
      </c>
      <c r="D27">
        <v>383</v>
      </c>
    </row>
    <row r="28" spans="1:4" x14ac:dyDescent="0.25">
      <c r="A28" t="s">
        <v>168</v>
      </c>
      <c r="B28">
        <v>8500</v>
      </c>
      <c r="C28">
        <v>64</v>
      </c>
      <c r="D28">
        <v>343</v>
      </c>
    </row>
    <row r="29" spans="1:4" x14ac:dyDescent="0.25">
      <c r="A29" t="s">
        <v>169</v>
      </c>
      <c r="B29">
        <v>2700</v>
      </c>
      <c r="C29">
        <v>204</v>
      </c>
      <c r="D29">
        <v>896</v>
      </c>
    </row>
    <row r="30" spans="1:4" x14ac:dyDescent="0.25">
      <c r="A30" t="s">
        <v>170</v>
      </c>
      <c r="B30">
        <v>7850</v>
      </c>
      <c r="C30">
        <v>58</v>
      </c>
      <c r="D30">
        <v>840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1"/>
  <dimension ref="A1:AZ209"/>
  <sheetViews>
    <sheetView showGridLines="0" showRowColHeaders="0" zoomScaleNormal="100" workbookViewId="0">
      <selection activeCell="F8" sqref="F8"/>
    </sheetView>
  </sheetViews>
  <sheetFormatPr baseColWidth="10" defaultColWidth="11.42578125" defaultRowHeight="13.5" x14ac:dyDescent="0.25"/>
  <cols>
    <col min="1" max="1" width="11.42578125" style="20"/>
    <col min="2" max="2" width="37.28515625" style="15" customWidth="1"/>
    <col min="3" max="3" width="7" style="15" bestFit="1" customWidth="1"/>
    <col min="4" max="4" width="10.28515625" style="15" customWidth="1"/>
    <col min="5" max="5" width="9.7109375" style="15" bestFit="1" customWidth="1"/>
    <col min="6" max="6" width="35.85546875" style="18" bestFit="1" customWidth="1"/>
    <col min="7" max="7" width="12.7109375" style="15" customWidth="1"/>
    <col min="8" max="8" width="3.140625" style="15" customWidth="1"/>
    <col min="9" max="9" width="2.7109375" style="15" customWidth="1"/>
    <col min="10" max="10" width="11.42578125" style="20"/>
    <col min="11" max="11" width="15.7109375" style="20" hidden="1" customWidth="1"/>
    <col min="12" max="12" width="8" style="20" hidden="1" customWidth="1"/>
    <col min="13" max="13" width="11" style="20" hidden="1" customWidth="1"/>
    <col min="14" max="14" width="8" style="20" hidden="1" customWidth="1"/>
    <col min="15" max="52" width="11.42578125" style="20"/>
    <col min="53" max="16384" width="11.42578125" style="15"/>
  </cols>
  <sheetData>
    <row r="1" spans="2:14" ht="25.5" customHeight="1" x14ac:dyDescent="0.25">
      <c r="B1" s="45" t="s">
        <v>214</v>
      </c>
    </row>
    <row r="2" spans="2:14" ht="18" x14ac:dyDescent="0.25">
      <c r="B2" s="75" t="s">
        <v>171</v>
      </c>
      <c r="C2" s="19"/>
      <c r="D2" s="53"/>
      <c r="E2" s="53"/>
      <c r="F2" s="54"/>
      <c r="G2" s="53"/>
      <c r="H2" s="53"/>
      <c r="I2" s="53"/>
    </row>
    <row r="3" spans="2:14" x14ac:dyDescent="0.25">
      <c r="B3" s="15" t="s">
        <v>172</v>
      </c>
      <c r="D3" s="55">
        <f>IF(F3="ENTRADA MANUAL",G3,VLOOKUP(F3,'listas de datos'!A25:D30,3,FALSE))</f>
        <v>58</v>
      </c>
      <c r="E3" s="55" t="s">
        <v>139</v>
      </c>
      <c r="F3" s="56" t="s">
        <v>166</v>
      </c>
      <c r="G3" s="57">
        <v>55</v>
      </c>
    </row>
    <row r="4" spans="2:14" x14ac:dyDescent="0.25">
      <c r="B4" s="15" t="s">
        <v>173</v>
      </c>
      <c r="D4" s="70">
        <f>IF(F4="ENTRADA MANUAL",G4+1E-50,VLOOKUP(F4,'listas de datos'!A4:D20,3,FALSE))</f>
        <v>4.3999999999999997E-2</v>
      </c>
      <c r="E4" s="55" t="s">
        <v>139</v>
      </c>
      <c r="F4" s="56" t="s">
        <v>147</v>
      </c>
      <c r="G4" s="57">
        <v>2.5000000000000001E-2</v>
      </c>
      <c r="L4" s="20" t="s">
        <v>174</v>
      </c>
      <c r="M4" s="20" t="s">
        <v>175</v>
      </c>
    </row>
    <row r="5" spans="2:14" ht="15.75" x14ac:dyDescent="0.25">
      <c r="B5" s="15" t="s">
        <v>176</v>
      </c>
      <c r="C5" s="18" t="s">
        <v>207</v>
      </c>
      <c r="D5" s="59">
        <f>IF(F5="ENTRADA MANUAL",G5,VLOOKUP(F5,'listas de datos'!G4:H11,2,FALSE))</f>
        <v>2.7999999999999998E-9</v>
      </c>
      <c r="E5" s="60" t="s">
        <v>226</v>
      </c>
      <c r="F5" s="56" t="s">
        <v>144</v>
      </c>
      <c r="G5" s="61">
        <v>220</v>
      </c>
      <c r="H5" s="62"/>
      <c r="K5" s="20" t="s">
        <v>177</v>
      </c>
      <c r="L5" s="63">
        <f>1.25*((D17-D18)*1000/D14)^0.25</f>
        <v>2.330540755305325</v>
      </c>
      <c r="M5" s="63">
        <f>1.21*(D17-D18)^(1/3)</f>
        <v>1.7255122080423142</v>
      </c>
    </row>
    <row r="6" spans="2:14" ht="15.75" x14ac:dyDescent="0.25">
      <c r="B6" s="75" t="s">
        <v>178</v>
      </c>
      <c r="C6" s="53"/>
      <c r="D6" s="64"/>
      <c r="E6" s="64"/>
      <c r="F6" s="53"/>
      <c r="G6" s="53"/>
      <c r="H6" s="53"/>
      <c r="I6" s="53"/>
      <c r="K6" s="20" t="s">
        <v>179</v>
      </c>
      <c r="L6" s="63">
        <f>1.32*((D17-D18)*1000/D14)^0.25</f>
        <v>2.4610510376024233</v>
      </c>
      <c r="M6" s="63">
        <f>1.74*(D17-D18)^(1/3)</f>
        <v>2.4813150760277907</v>
      </c>
    </row>
    <row r="7" spans="2:14" x14ac:dyDescent="0.25">
      <c r="B7" s="15" t="s">
        <v>180</v>
      </c>
      <c r="D7" s="55"/>
      <c r="E7" s="55"/>
      <c r="F7" s="56" t="s">
        <v>245</v>
      </c>
      <c r="K7" s="20" t="s">
        <v>181</v>
      </c>
      <c r="L7" s="63">
        <f>(8.1/D14)+3.14*(D9*1000/D14)^0.5</f>
        <v>7.8837500000000009</v>
      </c>
      <c r="M7" s="63">
        <f>8.9*D9^0.9/(D14/1000)^0.1</f>
        <v>14.786010682364671</v>
      </c>
    </row>
    <row r="8" spans="2:14" x14ac:dyDescent="0.25">
      <c r="B8" s="15" t="s">
        <v>182</v>
      </c>
      <c r="D8" s="55"/>
      <c r="E8" s="55"/>
      <c r="F8" s="56" t="s">
        <v>189</v>
      </c>
      <c r="K8" s="20" t="s">
        <v>184</v>
      </c>
      <c r="L8" s="63">
        <f>(8.1/D14)+3.14*(D9*1000/D14)^0.5</f>
        <v>7.8837500000000009</v>
      </c>
      <c r="M8" s="63">
        <f>8.9*D9^0.9/(D14/1000)^0.1</f>
        <v>14.786010682364671</v>
      </c>
    </row>
    <row r="9" spans="2:14" x14ac:dyDescent="0.25">
      <c r="B9" s="15" t="s">
        <v>185</v>
      </c>
      <c r="D9" s="65">
        <v>1.5</v>
      </c>
      <c r="E9" s="15" t="s">
        <v>26</v>
      </c>
      <c r="F9" s="66"/>
      <c r="K9" s="20" t="str">
        <f>CONCATENATE(F8," ",F7)</f>
        <v>exterior vertical</v>
      </c>
    </row>
    <row r="10" spans="2:14" ht="15.75" x14ac:dyDescent="0.25">
      <c r="B10" s="75" t="s">
        <v>213</v>
      </c>
      <c r="C10" s="53"/>
      <c r="D10" s="53"/>
      <c r="E10" s="53"/>
      <c r="F10" s="53"/>
      <c r="G10" s="53"/>
      <c r="H10" s="53"/>
      <c r="I10" s="53"/>
    </row>
    <row r="11" spans="2:14" x14ac:dyDescent="0.25">
      <c r="B11" s="15" t="s">
        <v>186</v>
      </c>
      <c r="D11" s="11">
        <v>80</v>
      </c>
      <c r="E11" s="15" t="s">
        <v>12</v>
      </c>
      <c r="F11" s="15"/>
      <c r="K11" s="21" t="s">
        <v>183</v>
      </c>
      <c r="L11" s="67">
        <f>(D17-D18)*(D14/1000)^3</f>
        <v>4.0089599999999982E-2</v>
      </c>
      <c r="M11" s="20" t="s">
        <v>187</v>
      </c>
      <c r="N11" s="20" t="str">
        <f>IF(L11&lt;10,"LAMINAR","TURBULENTO")</f>
        <v>LAMINAR</v>
      </c>
    </row>
    <row r="12" spans="2:14" x14ac:dyDescent="0.25">
      <c r="B12" s="15" t="s">
        <v>188</v>
      </c>
      <c r="D12" s="11">
        <v>80</v>
      </c>
      <c r="E12" s="15" t="s">
        <v>12</v>
      </c>
      <c r="F12" s="15"/>
      <c r="K12" s="21" t="s">
        <v>189</v>
      </c>
      <c r="L12" s="67">
        <f>D9*D14/1000</f>
        <v>0.36</v>
      </c>
      <c r="M12" s="20" t="s">
        <v>190</v>
      </c>
      <c r="N12" s="20" t="str">
        <f>IF(L12&lt;0.00855,"LAMINAR","TURBULENTO")</f>
        <v>TURBULENTO</v>
      </c>
    </row>
    <row r="13" spans="2:14" x14ac:dyDescent="0.25">
      <c r="B13" s="15" t="s">
        <v>191</v>
      </c>
      <c r="D13" s="55">
        <f>D11</f>
        <v>80</v>
      </c>
      <c r="E13" s="55" t="s">
        <v>12</v>
      </c>
      <c r="F13" s="15"/>
    </row>
    <row r="14" spans="2:14" x14ac:dyDescent="0.25">
      <c r="B14" s="15" t="s">
        <v>192</v>
      </c>
      <c r="D14" s="55">
        <f>D13+2*D12</f>
        <v>240</v>
      </c>
      <c r="E14" s="55" t="s">
        <v>12</v>
      </c>
      <c r="F14" s="15"/>
    </row>
    <row r="15" spans="2:14" ht="15.75" x14ac:dyDescent="0.25">
      <c r="B15" s="75" t="s">
        <v>193</v>
      </c>
      <c r="C15" s="53"/>
      <c r="D15" s="64"/>
      <c r="E15" s="64"/>
      <c r="F15" s="53"/>
      <c r="G15" s="53"/>
      <c r="H15" s="53"/>
      <c r="I15" s="53"/>
    </row>
    <row r="16" spans="2:14" x14ac:dyDescent="0.25">
      <c r="B16" s="15" t="s">
        <v>194</v>
      </c>
      <c r="D16" s="68">
        <v>151</v>
      </c>
      <c r="E16" s="15" t="s">
        <v>32</v>
      </c>
      <c r="F16" s="15"/>
    </row>
    <row r="17" spans="2:9" x14ac:dyDescent="0.25">
      <c r="B17" s="15" t="s">
        <v>195</v>
      </c>
      <c r="D17" s="68">
        <v>17.899999999999999</v>
      </c>
      <c r="E17" s="15" t="s">
        <v>32</v>
      </c>
      <c r="F17" s="69" t="str">
        <f>IF(ABS(D17-D26)&gt;0.1,"&lt;&lt;&lt;AJUSTAR","")</f>
        <v/>
      </c>
    </row>
    <row r="18" spans="2:9" x14ac:dyDescent="0.25">
      <c r="B18" s="15" t="s">
        <v>196</v>
      </c>
      <c r="D18" s="68">
        <v>15</v>
      </c>
      <c r="E18" s="15" t="s">
        <v>32</v>
      </c>
      <c r="F18" s="15"/>
    </row>
    <row r="19" spans="2:9" ht="15.75" x14ac:dyDescent="0.25">
      <c r="B19" s="75" t="s">
        <v>197</v>
      </c>
      <c r="C19" s="53"/>
      <c r="D19" s="64"/>
      <c r="E19" s="64"/>
      <c r="F19" s="54"/>
      <c r="G19" s="53"/>
      <c r="H19" s="53"/>
      <c r="I19" s="53"/>
    </row>
    <row r="20" spans="2:9" x14ac:dyDescent="0.25">
      <c r="B20" s="15" t="s">
        <v>198</v>
      </c>
      <c r="D20" s="70">
        <f>VLOOKUP(F8,K11:N12,2,FALSE)</f>
        <v>0.36</v>
      </c>
      <c r="E20" s="58" t="str">
        <f>VLOOKUP(F8,K11:N12,3,FALSE)</f>
        <v>m²/s</v>
      </c>
      <c r="G20" s="71"/>
      <c r="H20" s="71"/>
    </row>
    <row r="21" spans="2:9" x14ac:dyDescent="0.25">
      <c r="B21" s="15" t="s">
        <v>199</v>
      </c>
      <c r="D21" s="72" t="str">
        <f>VLOOKUP(F8,K11:N12,4,FALSE)</f>
        <v>TURBULENTO</v>
      </c>
      <c r="E21" s="55"/>
    </row>
    <row r="22" spans="2:9" x14ac:dyDescent="0.25">
      <c r="B22" s="15" t="s">
        <v>200</v>
      </c>
      <c r="C22" s="18" t="s">
        <v>208</v>
      </c>
      <c r="D22" s="58">
        <f>IF(D21="LAMINAR",VLOOKUP(K9,K5:M8,2,FALSE),VLOOKUP(K9,K5:M8,3,FALSE))</f>
        <v>14.786010682364671</v>
      </c>
      <c r="E22" s="55" t="s">
        <v>201</v>
      </c>
      <c r="F22" s="15"/>
    </row>
    <row r="23" spans="2:9" x14ac:dyDescent="0.25">
      <c r="B23" s="15" t="s">
        <v>202</v>
      </c>
      <c r="C23" s="18" t="s">
        <v>209</v>
      </c>
      <c r="D23" s="58">
        <f>D5*((D17+273.15)^4-(D18+273.15)^4)/(D17-D18)</f>
        <v>0.27203487382399882</v>
      </c>
      <c r="E23" s="55" t="s">
        <v>201</v>
      </c>
      <c r="F23" s="15"/>
    </row>
    <row r="24" spans="2:9" x14ac:dyDescent="0.25">
      <c r="B24" s="15" t="s">
        <v>203</v>
      </c>
      <c r="C24" s="18" t="s">
        <v>210</v>
      </c>
      <c r="D24" s="58">
        <f>D22+D23</f>
        <v>15.05804555618867</v>
      </c>
      <c r="E24" s="55" t="s">
        <v>201</v>
      </c>
      <c r="F24" s="15"/>
    </row>
    <row r="25" spans="2:9" x14ac:dyDescent="0.25">
      <c r="B25" s="15" t="s">
        <v>204</v>
      </c>
      <c r="C25" s="18" t="s">
        <v>211</v>
      </c>
      <c r="D25" s="73">
        <f>PI()*(D16-D18)/(LN(D14/D13)/2/D4+(1000/D24/D14))</f>
        <v>33.481599529026859</v>
      </c>
      <c r="E25" s="55" t="s">
        <v>205</v>
      </c>
      <c r="F25" s="15"/>
    </row>
    <row r="26" spans="2:9" x14ac:dyDescent="0.25">
      <c r="B26" s="15" t="s">
        <v>206</v>
      </c>
      <c r="C26" s="18" t="s">
        <v>212</v>
      </c>
      <c r="D26" s="74">
        <f>D18+((D16-D18)/((LN(D14/D13)*(D14/1000)*D24/2/D4)+1))</f>
        <v>17.949011569808189</v>
      </c>
      <c r="E26" s="55" t="s">
        <v>32</v>
      </c>
      <c r="F26" s="15"/>
    </row>
    <row r="27" spans="2:9" s="20" customFormat="1" x14ac:dyDescent="0.25">
      <c r="F27" s="21"/>
    </row>
    <row r="28" spans="2:9" s="20" customFormat="1" x14ac:dyDescent="0.25">
      <c r="F28" s="21"/>
    </row>
    <row r="29" spans="2:9" s="20" customFormat="1" x14ac:dyDescent="0.25">
      <c r="F29" s="21"/>
    </row>
    <row r="30" spans="2:9" s="20" customFormat="1" x14ac:dyDescent="0.25">
      <c r="F30" s="21"/>
    </row>
    <row r="31" spans="2:9" s="20" customFormat="1" x14ac:dyDescent="0.25">
      <c r="F31" s="21"/>
    </row>
    <row r="32" spans="2:9" s="20" customFormat="1" x14ac:dyDescent="0.25">
      <c r="F32" s="21"/>
    </row>
    <row r="33" spans="6:6" s="20" customFormat="1" x14ac:dyDescent="0.25">
      <c r="F33" s="21"/>
    </row>
    <row r="34" spans="6:6" s="20" customFormat="1" x14ac:dyDescent="0.25">
      <c r="F34" s="21"/>
    </row>
    <row r="35" spans="6:6" s="20" customFormat="1" x14ac:dyDescent="0.25">
      <c r="F35" s="21"/>
    </row>
    <row r="36" spans="6:6" s="20" customFormat="1" x14ac:dyDescent="0.25">
      <c r="F36" s="21"/>
    </row>
    <row r="37" spans="6:6" s="20" customFormat="1" x14ac:dyDescent="0.25">
      <c r="F37" s="21"/>
    </row>
    <row r="38" spans="6:6" s="20" customFormat="1" x14ac:dyDescent="0.25">
      <c r="F38" s="21"/>
    </row>
    <row r="39" spans="6:6" s="20" customFormat="1" x14ac:dyDescent="0.25">
      <c r="F39" s="21"/>
    </row>
    <row r="40" spans="6:6" s="20" customFormat="1" x14ac:dyDescent="0.25">
      <c r="F40" s="21"/>
    </row>
    <row r="41" spans="6:6" s="20" customFormat="1" x14ac:dyDescent="0.25">
      <c r="F41" s="21"/>
    </row>
    <row r="42" spans="6:6" s="20" customFormat="1" x14ac:dyDescent="0.25">
      <c r="F42" s="21"/>
    </row>
    <row r="43" spans="6:6" s="20" customFormat="1" x14ac:dyDescent="0.25">
      <c r="F43" s="21"/>
    </row>
    <row r="44" spans="6:6" s="20" customFormat="1" x14ac:dyDescent="0.25">
      <c r="F44" s="21"/>
    </row>
    <row r="45" spans="6:6" s="20" customFormat="1" x14ac:dyDescent="0.25">
      <c r="F45" s="21"/>
    </row>
    <row r="46" spans="6:6" s="20" customFormat="1" x14ac:dyDescent="0.25">
      <c r="F46" s="21"/>
    </row>
    <row r="47" spans="6:6" s="20" customFormat="1" x14ac:dyDescent="0.25">
      <c r="F47" s="21"/>
    </row>
    <row r="48" spans="6:6" s="20" customFormat="1" x14ac:dyDescent="0.25">
      <c r="F48" s="21"/>
    </row>
    <row r="49" spans="6:6" s="20" customFormat="1" x14ac:dyDescent="0.25">
      <c r="F49" s="21"/>
    </row>
    <row r="50" spans="6:6" s="20" customFormat="1" x14ac:dyDescent="0.25">
      <c r="F50" s="21"/>
    </row>
    <row r="51" spans="6:6" s="20" customFormat="1" x14ac:dyDescent="0.25">
      <c r="F51" s="21"/>
    </row>
    <row r="52" spans="6:6" s="20" customFormat="1" x14ac:dyDescent="0.25">
      <c r="F52" s="21"/>
    </row>
    <row r="53" spans="6:6" s="20" customFormat="1" x14ac:dyDescent="0.25">
      <c r="F53" s="21"/>
    </row>
    <row r="54" spans="6:6" s="20" customFormat="1" x14ac:dyDescent="0.25">
      <c r="F54" s="21"/>
    </row>
    <row r="55" spans="6:6" s="20" customFormat="1" x14ac:dyDescent="0.25">
      <c r="F55" s="21"/>
    </row>
    <row r="56" spans="6:6" s="20" customFormat="1" x14ac:dyDescent="0.25">
      <c r="F56" s="21"/>
    </row>
    <row r="57" spans="6:6" s="20" customFormat="1" x14ac:dyDescent="0.25">
      <c r="F57" s="21"/>
    </row>
    <row r="58" spans="6:6" s="20" customFormat="1" x14ac:dyDescent="0.25">
      <c r="F58" s="21"/>
    </row>
    <row r="59" spans="6:6" s="20" customFormat="1" x14ac:dyDescent="0.25">
      <c r="F59" s="21"/>
    </row>
    <row r="60" spans="6:6" s="20" customFormat="1" x14ac:dyDescent="0.25">
      <c r="F60" s="21"/>
    </row>
    <row r="61" spans="6:6" s="20" customFormat="1" x14ac:dyDescent="0.25">
      <c r="F61" s="21"/>
    </row>
    <row r="62" spans="6:6" s="20" customFormat="1" x14ac:dyDescent="0.25">
      <c r="F62" s="21"/>
    </row>
    <row r="63" spans="6:6" s="20" customFormat="1" x14ac:dyDescent="0.25">
      <c r="F63" s="21"/>
    </row>
    <row r="64" spans="6:6" s="20" customFormat="1" x14ac:dyDescent="0.25">
      <c r="F64" s="21"/>
    </row>
    <row r="65" spans="6:6" s="20" customFormat="1" x14ac:dyDescent="0.25">
      <c r="F65" s="21"/>
    </row>
    <row r="66" spans="6:6" s="20" customFormat="1" x14ac:dyDescent="0.25">
      <c r="F66" s="21"/>
    </row>
    <row r="67" spans="6:6" s="20" customFormat="1" x14ac:dyDescent="0.25">
      <c r="F67" s="21"/>
    </row>
    <row r="68" spans="6:6" s="20" customFormat="1" x14ac:dyDescent="0.25">
      <c r="F68" s="21"/>
    </row>
    <row r="69" spans="6:6" s="20" customFormat="1" x14ac:dyDescent="0.25">
      <c r="F69" s="21"/>
    </row>
    <row r="70" spans="6:6" s="20" customFormat="1" x14ac:dyDescent="0.25">
      <c r="F70" s="21"/>
    </row>
    <row r="71" spans="6:6" s="20" customFormat="1" x14ac:dyDescent="0.25">
      <c r="F71" s="21"/>
    </row>
    <row r="72" spans="6:6" s="20" customFormat="1" x14ac:dyDescent="0.25">
      <c r="F72" s="21"/>
    </row>
    <row r="73" spans="6:6" s="20" customFormat="1" x14ac:dyDescent="0.25">
      <c r="F73" s="21"/>
    </row>
    <row r="74" spans="6:6" s="20" customFormat="1" x14ac:dyDescent="0.25">
      <c r="F74" s="21"/>
    </row>
    <row r="75" spans="6:6" s="20" customFormat="1" x14ac:dyDescent="0.25">
      <c r="F75" s="21"/>
    </row>
    <row r="76" spans="6:6" s="20" customFormat="1" x14ac:dyDescent="0.25">
      <c r="F76" s="21"/>
    </row>
    <row r="77" spans="6:6" s="20" customFormat="1" x14ac:dyDescent="0.25">
      <c r="F77" s="21"/>
    </row>
    <row r="78" spans="6:6" s="20" customFormat="1" x14ac:dyDescent="0.25">
      <c r="F78" s="21"/>
    </row>
    <row r="79" spans="6:6" s="20" customFormat="1" x14ac:dyDescent="0.25">
      <c r="F79" s="21"/>
    </row>
    <row r="80" spans="6:6" s="20" customFormat="1" x14ac:dyDescent="0.25">
      <c r="F80" s="21"/>
    </row>
    <row r="81" spans="6:6" s="20" customFormat="1" x14ac:dyDescent="0.25">
      <c r="F81" s="21"/>
    </row>
    <row r="82" spans="6:6" s="20" customFormat="1" x14ac:dyDescent="0.25">
      <c r="F82" s="21"/>
    </row>
    <row r="83" spans="6:6" s="20" customFormat="1" x14ac:dyDescent="0.25">
      <c r="F83" s="21"/>
    </row>
    <row r="84" spans="6:6" s="20" customFormat="1" x14ac:dyDescent="0.25">
      <c r="F84" s="21"/>
    </row>
    <row r="85" spans="6:6" s="20" customFormat="1" x14ac:dyDescent="0.25">
      <c r="F85" s="21"/>
    </row>
    <row r="86" spans="6:6" s="20" customFormat="1" x14ac:dyDescent="0.25">
      <c r="F86" s="21"/>
    </row>
    <row r="87" spans="6:6" s="20" customFormat="1" x14ac:dyDescent="0.25">
      <c r="F87" s="21"/>
    </row>
    <row r="88" spans="6:6" s="20" customFormat="1" x14ac:dyDescent="0.25">
      <c r="F88" s="21"/>
    </row>
    <row r="89" spans="6:6" s="20" customFormat="1" x14ac:dyDescent="0.25">
      <c r="F89" s="21"/>
    </row>
    <row r="90" spans="6:6" s="20" customFormat="1" x14ac:dyDescent="0.25">
      <c r="F90" s="21"/>
    </row>
    <row r="91" spans="6:6" s="20" customFormat="1" x14ac:dyDescent="0.25">
      <c r="F91" s="21"/>
    </row>
    <row r="92" spans="6:6" s="20" customFormat="1" x14ac:dyDescent="0.25">
      <c r="F92" s="21"/>
    </row>
    <row r="93" spans="6:6" s="20" customFormat="1" x14ac:dyDescent="0.25">
      <c r="F93" s="21"/>
    </row>
    <row r="94" spans="6:6" s="20" customFormat="1" x14ac:dyDescent="0.25">
      <c r="F94" s="21"/>
    </row>
    <row r="95" spans="6:6" s="20" customFormat="1" x14ac:dyDescent="0.25">
      <c r="F95" s="21"/>
    </row>
    <row r="96" spans="6:6" s="20" customFormat="1" x14ac:dyDescent="0.25">
      <c r="F96" s="21"/>
    </row>
    <row r="97" spans="6:6" s="20" customFormat="1" x14ac:dyDescent="0.25">
      <c r="F97" s="21"/>
    </row>
    <row r="98" spans="6:6" s="20" customFormat="1" x14ac:dyDescent="0.25">
      <c r="F98" s="21"/>
    </row>
    <row r="99" spans="6:6" s="20" customFormat="1" x14ac:dyDescent="0.25">
      <c r="F99" s="21"/>
    </row>
    <row r="100" spans="6:6" s="20" customFormat="1" x14ac:dyDescent="0.25">
      <c r="F100" s="21"/>
    </row>
    <row r="101" spans="6:6" s="20" customFormat="1" x14ac:dyDescent="0.25">
      <c r="F101" s="21"/>
    </row>
    <row r="102" spans="6:6" s="20" customFormat="1" x14ac:dyDescent="0.25">
      <c r="F102" s="21"/>
    </row>
    <row r="103" spans="6:6" s="20" customFormat="1" x14ac:dyDescent="0.25">
      <c r="F103" s="21"/>
    </row>
    <row r="104" spans="6:6" s="20" customFormat="1" x14ac:dyDescent="0.25">
      <c r="F104" s="21"/>
    </row>
    <row r="105" spans="6:6" s="20" customFormat="1" x14ac:dyDescent="0.25">
      <c r="F105" s="21"/>
    </row>
    <row r="106" spans="6:6" s="20" customFormat="1" x14ac:dyDescent="0.25">
      <c r="F106" s="21"/>
    </row>
    <row r="107" spans="6:6" s="20" customFormat="1" x14ac:dyDescent="0.25">
      <c r="F107" s="21"/>
    </row>
    <row r="108" spans="6:6" s="20" customFormat="1" x14ac:dyDescent="0.25">
      <c r="F108" s="21"/>
    </row>
    <row r="109" spans="6:6" s="20" customFormat="1" x14ac:dyDescent="0.25">
      <c r="F109" s="21"/>
    </row>
    <row r="110" spans="6:6" s="20" customFormat="1" x14ac:dyDescent="0.25">
      <c r="F110" s="21"/>
    </row>
    <row r="111" spans="6:6" s="20" customFormat="1" x14ac:dyDescent="0.25">
      <c r="F111" s="21"/>
    </row>
    <row r="112" spans="6:6" s="20" customFormat="1" x14ac:dyDescent="0.25">
      <c r="F112" s="21"/>
    </row>
    <row r="113" spans="6:6" s="20" customFormat="1" x14ac:dyDescent="0.25">
      <c r="F113" s="21"/>
    </row>
    <row r="114" spans="6:6" s="20" customFormat="1" x14ac:dyDescent="0.25">
      <c r="F114" s="21"/>
    </row>
    <row r="115" spans="6:6" s="20" customFormat="1" x14ac:dyDescent="0.25">
      <c r="F115" s="21"/>
    </row>
    <row r="116" spans="6:6" s="20" customFormat="1" x14ac:dyDescent="0.25">
      <c r="F116" s="21"/>
    </row>
    <row r="117" spans="6:6" s="20" customFormat="1" x14ac:dyDescent="0.25">
      <c r="F117" s="21"/>
    </row>
    <row r="118" spans="6:6" s="20" customFormat="1" x14ac:dyDescent="0.25">
      <c r="F118" s="21"/>
    </row>
    <row r="119" spans="6:6" s="20" customFormat="1" x14ac:dyDescent="0.25">
      <c r="F119" s="21"/>
    </row>
    <row r="120" spans="6:6" s="20" customFormat="1" x14ac:dyDescent="0.25">
      <c r="F120" s="21"/>
    </row>
    <row r="121" spans="6:6" s="20" customFormat="1" x14ac:dyDescent="0.25">
      <c r="F121" s="21"/>
    </row>
    <row r="122" spans="6:6" s="20" customFormat="1" x14ac:dyDescent="0.25">
      <c r="F122" s="21"/>
    </row>
    <row r="123" spans="6:6" s="20" customFormat="1" x14ac:dyDescent="0.25">
      <c r="F123" s="21"/>
    </row>
    <row r="124" spans="6:6" s="20" customFormat="1" x14ac:dyDescent="0.25">
      <c r="F124" s="21"/>
    </row>
    <row r="125" spans="6:6" s="20" customFormat="1" x14ac:dyDescent="0.25">
      <c r="F125" s="21"/>
    </row>
    <row r="126" spans="6:6" s="20" customFormat="1" x14ac:dyDescent="0.25">
      <c r="F126" s="21"/>
    </row>
    <row r="127" spans="6:6" s="20" customFormat="1" x14ac:dyDescent="0.25">
      <c r="F127" s="21"/>
    </row>
    <row r="128" spans="6:6" s="20" customFormat="1" x14ac:dyDescent="0.25">
      <c r="F128" s="21"/>
    </row>
    <row r="129" spans="6:6" s="20" customFormat="1" x14ac:dyDescent="0.25">
      <c r="F129" s="21"/>
    </row>
    <row r="130" spans="6:6" s="20" customFormat="1" x14ac:dyDescent="0.25">
      <c r="F130" s="21"/>
    </row>
    <row r="131" spans="6:6" s="20" customFormat="1" x14ac:dyDescent="0.25">
      <c r="F131" s="21"/>
    </row>
    <row r="132" spans="6:6" s="20" customFormat="1" x14ac:dyDescent="0.25">
      <c r="F132" s="21"/>
    </row>
    <row r="133" spans="6:6" s="20" customFormat="1" x14ac:dyDescent="0.25">
      <c r="F133" s="21"/>
    </row>
    <row r="134" spans="6:6" s="20" customFormat="1" x14ac:dyDescent="0.25">
      <c r="F134" s="21"/>
    </row>
    <row r="135" spans="6:6" s="20" customFormat="1" x14ac:dyDescent="0.25">
      <c r="F135" s="21"/>
    </row>
    <row r="136" spans="6:6" s="20" customFormat="1" x14ac:dyDescent="0.25">
      <c r="F136" s="21"/>
    </row>
    <row r="137" spans="6:6" s="20" customFormat="1" x14ac:dyDescent="0.25">
      <c r="F137" s="21"/>
    </row>
    <row r="138" spans="6:6" s="20" customFormat="1" x14ac:dyDescent="0.25">
      <c r="F138" s="21"/>
    </row>
    <row r="139" spans="6:6" s="20" customFormat="1" x14ac:dyDescent="0.25">
      <c r="F139" s="21"/>
    </row>
    <row r="140" spans="6:6" s="20" customFormat="1" x14ac:dyDescent="0.25">
      <c r="F140" s="21"/>
    </row>
    <row r="141" spans="6:6" s="20" customFormat="1" x14ac:dyDescent="0.25">
      <c r="F141" s="21"/>
    </row>
    <row r="142" spans="6:6" s="20" customFormat="1" x14ac:dyDescent="0.25">
      <c r="F142" s="21"/>
    </row>
    <row r="143" spans="6:6" s="20" customFormat="1" x14ac:dyDescent="0.25">
      <c r="F143" s="21"/>
    </row>
    <row r="144" spans="6:6" s="20" customFormat="1" x14ac:dyDescent="0.25">
      <c r="F144" s="21"/>
    </row>
    <row r="145" spans="6:6" s="20" customFormat="1" x14ac:dyDescent="0.25">
      <c r="F145" s="21"/>
    </row>
    <row r="146" spans="6:6" s="20" customFormat="1" x14ac:dyDescent="0.25">
      <c r="F146" s="21"/>
    </row>
    <row r="147" spans="6:6" s="20" customFormat="1" x14ac:dyDescent="0.25">
      <c r="F147" s="21"/>
    </row>
    <row r="148" spans="6:6" s="20" customFormat="1" x14ac:dyDescent="0.25">
      <c r="F148" s="21"/>
    </row>
    <row r="149" spans="6:6" s="20" customFormat="1" x14ac:dyDescent="0.25">
      <c r="F149" s="21"/>
    </row>
    <row r="150" spans="6:6" s="20" customFormat="1" x14ac:dyDescent="0.25">
      <c r="F150" s="21"/>
    </row>
    <row r="151" spans="6:6" s="20" customFormat="1" x14ac:dyDescent="0.25">
      <c r="F151" s="21"/>
    </row>
    <row r="152" spans="6:6" s="20" customFormat="1" x14ac:dyDescent="0.25">
      <c r="F152" s="21"/>
    </row>
    <row r="153" spans="6:6" s="20" customFormat="1" x14ac:dyDescent="0.25">
      <c r="F153" s="21"/>
    </row>
    <row r="154" spans="6:6" s="20" customFormat="1" x14ac:dyDescent="0.25">
      <c r="F154" s="21"/>
    </row>
    <row r="155" spans="6:6" s="20" customFormat="1" x14ac:dyDescent="0.25">
      <c r="F155" s="21"/>
    </row>
    <row r="156" spans="6:6" s="20" customFormat="1" x14ac:dyDescent="0.25">
      <c r="F156" s="21"/>
    </row>
    <row r="157" spans="6:6" s="20" customFormat="1" x14ac:dyDescent="0.25">
      <c r="F157" s="21"/>
    </row>
    <row r="158" spans="6:6" s="20" customFormat="1" x14ac:dyDescent="0.25">
      <c r="F158" s="21"/>
    </row>
    <row r="159" spans="6:6" s="20" customFormat="1" x14ac:dyDescent="0.25">
      <c r="F159" s="21"/>
    </row>
    <row r="160" spans="6:6" s="20" customFormat="1" x14ac:dyDescent="0.25">
      <c r="F160" s="21"/>
    </row>
    <row r="161" spans="6:6" s="20" customFormat="1" x14ac:dyDescent="0.25">
      <c r="F161" s="21"/>
    </row>
    <row r="162" spans="6:6" s="20" customFormat="1" x14ac:dyDescent="0.25">
      <c r="F162" s="21"/>
    </row>
    <row r="163" spans="6:6" s="20" customFormat="1" x14ac:dyDescent="0.25">
      <c r="F163" s="21"/>
    </row>
    <row r="164" spans="6:6" s="20" customFormat="1" x14ac:dyDescent="0.25">
      <c r="F164" s="21"/>
    </row>
    <row r="165" spans="6:6" s="20" customFormat="1" x14ac:dyDescent="0.25">
      <c r="F165" s="21"/>
    </row>
    <row r="166" spans="6:6" s="20" customFormat="1" x14ac:dyDescent="0.25">
      <c r="F166" s="21"/>
    </row>
    <row r="167" spans="6:6" s="20" customFormat="1" x14ac:dyDescent="0.25">
      <c r="F167" s="21"/>
    </row>
    <row r="168" spans="6:6" s="20" customFormat="1" x14ac:dyDescent="0.25">
      <c r="F168" s="21"/>
    </row>
    <row r="169" spans="6:6" s="20" customFormat="1" x14ac:dyDescent="0.25">
      <c r="F169" s="21"/>
    </row>
    <row r="170" spans="6:6" s="20" customFormat="1" x14ac:dyDescent="0.25">
      <c r="F170" s="21"/>
    </row>
    <row r="171" spans="6:6" s="20" customFormat="1" x14ac:dyDescent="0.25">
      <c r="F171" s="21"/>
    </row>
    <row r="172" spans="6:6" s="20" customFormat="1" x14ac:dyDescent="0.25">
      <c r="F172" s="21"/>
    </row>
    <row r="173" spans="6:6" s="20" customFormat="1" x14ac:dyDescent="0.25">
      <c r="F173" s="21"/>
    </row>
    <row r="174" spans="6:6" s="20" customFormat="1" x14ac:dyDescent="0.25">
      <c r="F174" s="21"/>
    </row>
    <row r="175" spans="6:6" s="20" customFormat="1" x14ac:dyDescent="0.25">
      <c r="F175" s="21"/>
    </row>
    <row r="176" spans="6:6" s="20" customFormat="1" x14ac:dyDescent="0.25">
      <c r="F176" s="21"/>
    </row>
    <row r="177" spans="6:6" s="20" customFormat="1" x14ac:dyDescent="0.25">
      <c r="F177" s="21"/>
    </row>
    <row r="178" spans="6:6" s="20" customFormat="1" x14ac:dyDescent="0.25">
      <c r="F178" s="21"/>
    </row>
    <row r="179" spans="6:6" s="20" customFormat="1" x14ac:dyDescent="0.25">
      <c r="F179" s="21"/>
    </row>
    <row r="180" spans="6:6" s="20" customFormat="1" x14ac:dyDescent="0.25">
      <c r="F180" s="21"/>
    </row>
    <row r="181" spans="6:6" s="20" customFormat="1" x14ac:dyDescent="0.25">
      <c r="F181" s="21"/>
    </row>
    <row r="182" spans="6:6" s="20" customFormat="1" x14ac:dyDescent="0.25">
      <c r="F182" s="21"/>
    </row>
    <row r="183" spans="6:6" s="20" customFormat="1" x14ac:dyDescent="0.25">
      <c r="F183" s="21"/>
    </row>
    <row r="184" spans="6:6" s="20" customFormat="1" x14ac:dyDescent="0.25">
      <c r="F184" s="21"/>
    </row>
    <row r="185" spans="6:6" s="20" customFormat="1" x14ac:dyDescent="0.25">
      <c r="F185" s="21"/>
    </row>
    <row r="186" spans="6:6" s="20" customFormat="1" x14ac:dyDescent="0.25">
      <c r="F186" s="21"/>
    </row>
    <row r="187" spans="6:6" s="20" customFormat="1" x14ac:dyDescent="0.25">
      <c r="F187" s="21"/>
    </row>
    <row r="188" spans="6:6" s="20" customFormat="1" x14ac:dyDescent="0.25">
      <c r="F188" s="21"/>
    </row>
    <row r="189" spans="6:6" s="20" customFormat="1" x14ac:dyDescent="0.25">
      <c r="F189" s="21"/>
    </row>
    <row r="190" spans="6:6" s="20" customFormat="1" x14ac:dyDescent="0.25">
      <c r="F190" s="21"/>
    </row>
    <row r="191" spans="6:6" s="20" customFormat="1" x14ac:dyDescent="0.25">
      <c r="F191" s="21"/>
    </row>
    <row r="192" spans="6:6" s="20" customFormat="1" x14ac:dyDescent="0.25">
      <c r="F192" s="21"/>
    </row>
    <row r="193" spans="6:6" s="20" customFormat="1" x14ac:dyDescent="0.25">
      <c r="F193" s="21"/>
    </row>
    <row r="194" spans="6:6" s="20" customFormat="1" x14ac:dyDescent="0.25">
      <c r="F194" s="21"/>
    </row>
    <row r="195" spans="6:6" s="20" customFormat="1" x14ac:dyDescent="0.25">
      <c r="F195" s="21"/>
    </row>
    <row r="196" spans="6:6" s="20" customFormat="1" x14ac:dyDescent="0.25">
      <c r="F196" s="21"/>
    </row>
    <row r="197" spans="6:6" s="20" customFormat="1" x14ac:dyDescent="0.25">
      <c r="F197" s="21"/>
    </row>
    <row r="198" spans="6:6" s="20" customFormat="1" x14ac:dyDescent="0.25">
      <c r="F198" s="21"/>
    </row>
    <row r="199" spans="6:6" s="20" customFormat="1" x14ac:dyDescent="0.25">
      <c r="F199" s="21"/>
    </row>
    <row r="200" spans="6:6" s="20" customFormat="1" x14ac:dyDescent="0.25">
      <c r="F200" s="21"/>
    </row>
    <row r="201" spans="6:6" s="20" customFormat="1" x14ac:dyDescent="0.25">
      <c r="F201" s="21"/>
    </row>
    <row r="202" spans="6:6" s="20" customFormat="1" x14ac:dyDescent="0.25">
      <c r="F202" s="21"/>
    </row>
    <row r="203" spans="6:6" s="20" customFormat="1" x14ac:dyDescent="0.25">
      <c r="F203" s="21"/>
    </row>
    <row r="204" spans="6:6" s="20" customFormat="1" x14ac:dyDescent="0.25">
      <c r="F204" s="21"/>
    </row>
    <row r="205" spans="6:6" s="20" customFormat="1" x14ac:dyDescent="0.25">
      <c r="F205" s="21"/>
    </row>
    <row r="206" spans="6:6" s="20" customFormat="1" x14ac:dyDescent="0.25">
      <c r="F206" s="21"/>
    </row>
    <row r="207" spans="6:6" s="20" customFormat="1" x14ac:dyDescent="0.25">
      <c r="F207" s="21"/>
    </row>
    <row r="208" spans="6:6" s="20" customFormat="1" x14ac:dyDescent="0.25">
      <c r="F208" s="21"/>
    </row>
    <row r="209" spans="6:6" s="20" customFormat="1" x14ac:dyDescent="0.25">
      <c r="F209" s="21"/>
    </row>
  </sheetData>
  <sheetProtection password="D96D" sheet="1" objects="1" scenarios="1" selectLockedCells="1"/>
  <conditionalFormatting sqref="F17">
    <cfRule type="containsText" dxfId="0" priority="1" operator="containsText" text="&lt;&lt;&lt;AJUSTAR">
      <formula>NOT(ISERROR(SEARCH("&lt;&lt;&lt;AJUSTAR",F17)))</formula>
    </cfRule>
  </conditionalFormatting>
  <dataValidations count="5">
    <dataValidation type="list" allowBlank="1" showInputMessage="1" showErrorMessage="1" sqref="F3" xr:uid="{00000000-0002-0000-0C00-000000000000}">
      <formula1>metales</formula1>
    </dataValidation>
    <dataValidation type="list" allowBlank="1" showInputMessage="1" showErrorMessage="1" sqref="F4" xr:uid="{00000000-0002-0000-0C00-000001000000}">
      <formula1>materiales</formula1>
    </dataValidation>
    <dataValidation type="list" allowBlank="1" showInputMessage="1" showErrorMessage="1" sqref="F8" xr:uid="{00000000-0002-0000-0C00-000002000000}">
      <formula1>"interior, exterior"</formula1>
    </dataValidation>
    <dataValidation type="list" allowBlank="1" showInputMessage="1" showErrorMessage="1" sqref="F7" xr:uid="{00000000-0002-0000-0C00-000003000000}">
      <formula1>"horizontal, vertical"</formula1>
    </dataValidation>
    <dataValidation type="list" allowBlank="1" showInputMessage="1" showErrorMessage="1" sqref="F5" xr:uid="{00000000-0002-0000-0C00-000004000000}">
      <formula1>radiacion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12" r:id="rId3" name="CommandButton1">
          <controlPr defaultSize="0" autoFill="0" autoLine="0" r:id="rId4">
            <anchor moveWithCells="1">
              <from>
                <xdr:col>6</xdr:col>
                <xdr:colOff>228600</xdr:colOff>
                <xdr:row>22</xdr:row>
                <xdr:rowOff>104775</xdr:rowOff>
              </from>
              <to>
                <xdr:col>9</xdr:col>
                <xdr:colOff>47625</xdr:colOff>
                <xdr:row>25</xdr:row>
                <xdr:rowOff>142875</xdr:rowOff>
              </to>
            </anchor>
          </controlPr>
        </control>
      </mc:Choice>
      <mc:Fallback>
        <control shapeId="17412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C23"/>
  <sheetViews>
    <sheetView workbookViewId="0">
      <selection activeCell="B24" sqref="B24"/>
    </sheetView>
  </sheetViews>
  <sheetFormatPr baseColWidth="10" defaultRowHeight="15" x14ac:dyDescent="0.25"/>
  <cols>
    <col min="1" max="1" width="43.140625" bestFit="1" customWidth="1"/>
  </cols>
  <sheetData>
    <row r="1" spans="1:3" x14ac:dyDescent="0.25">
      <c r="A1" t="s">
        <v>229</v>
      </c>
    </row>
    <row r="2" spans="1:3" x14ac:dyDescent="0.25">
      <c r="A2" t="s">
        <v>227</v>
      </c>
      <c r="B2" s="14">
        <f>'CD vapor flash'!D10</f>
        <v>5</v>
      </c>
      <c r="C2" t="s">
        <v>31</v>
      </c>
    </row>
    <row r="3" spans="1:3" x14ac:dyDescent="0.25">
      <c r="A3" t="s">
        <v>228</v>
      </c>
      <c r="B3" s="14">
        <f>'CD vapor flash'!D13</f>
        <v>3.92</v>
      </c>
      <c r="C3" t="s">
        <v>31</v>
      </c>
    </row>
    <row r="5" spans="1:3" x14ac:dyDescent="0.25">
      <c r="A5" t="s">
        <v>230</v>
      </c>
      <c r="B5" s="87">
        <f>enthalpySatLiqPW(B2+1.01325)*0.0002777777</f>
        <v>0.18635432883476374</v>
      </c>
      <c r="C5" t="s">
        <v>88</v>
      </c>
    </row>
    <row r="6" spans="1:3" x14ac:dyDescent="0.25">
      <c r="A6" t="s">
        <v>231</v>
      </c>
      <c r="B6" s="87">
        <f>enthalpySatLiqPW(B3+1.01325)*0.0002777777</f>
        <v>0.17722205638843663</v>
      </c>
      <c r="C6" t="s">
        <v>88</v>
      </c>
    </row>
    <row r="7" spans="1:3" x14ac:dyDescent="0.25">
      <c r="A7" t="s">
        <v>232</v>
      </c>
      <c r="B7" s="87">
        <f>enthalpySatVapPW(B3+1.01325)*0.00027777777</f>
        <v>0.76319670581052801</v>
      </c>
      <c r="C7" t="s">
        <v>88</v>
      </c>
    </row>
    <row r="8" spans="1:3" x14ac:dyDescent="0.25">
      <c r="A8" t="s">
        <v>234</v>
      </c>
      <c r="B8" s="87">
        <f>densSatVapPW(B3+1.01325)</f>
        <v>2.6344840252675801</v>
      </c>
      <c r="C8" t="s">
        <v>18</v>
      </c>
    </row>
    <row r="9" spans="1:3" x14ac:dyDescent="0.25">
      <c r="A9" t="s">
        <v>238</v>
      </c>
      <c r="B9" s="87">
        <f>1/B8</f>
        <v>0.37958096933172014</v>
      </c>
      <c r="C9" t="s">
        <v>99</v>
      </c>
    </row>
    <row r="10" spans="1:3" x14ac:dyDescent="0.25">
      <c r="A10" t="s">
        <v>239</v>
      </c>
      <c r="B10" s="87">
        <f>densSatLiqPW(B3+1.01325)</f>
        <v>915.76006951462068</v>
      </c>
      <c r="C10" t="s">
        <v>18</v>
      </c>
    </row>
    <row r="11" spans="1:3" x14ac:dyDescent="0.25">
      <c r="A11" t="s">
        <v>240</v>
      </c>
      <c r="B11" s="87">
        <f>1/B10</f>
        <v>1.091989084575427E-3</v>
      </c>
      <c r="C11" t="s">
        <v>99</v>
      </c>
    </row>
    <row r="13" spans="1:3" x14ac:dyDescent="0.25">
      <c r="A13" t="s">
        <v>233</v>
      </c>
      <c r="B13" s="88">
        <f>(B5-B6)/(B7-B6)</f>
        <v>1.5584756875290895E-2</v>
      </c>
    </row>
    <row r="15" spans="1:3" x14ac:dyDescent="0.25">
      <c r="A15" t="s">
        <v>237</v>
      </c>
    </row>
    <row r="16" spans="1:3" x14ac:dyDescent="0.25">
      <c r="A16" s="13" t="s">
        <v>235</v>
      </c>
      <c r="B16" s="89">
        <f>B13</f>
        <v>1.5584756875290895E-2</v>
      </c>
      <c r="C16" t="s">
        <v>236</v>
      </c>
    </row>
    <row r="17" spans="1:3" x14ac:dyDescent="0.25">
      <c r="A17" s="13" t="s">
        <v>116</v>
      </c>
      <c r="B17" s="89">
        <f>1-B16</f>
        <v>0.98441524312470907</v>
      </c>
      <c r="C17" t="s">
        <v>236</v>
      </c>
    </row>
    <row r="18" spans="1:3" x14ac:dyDescent="0.25">
      <c r="A18" t="s">
        <v>241</v>
      </c>
    </row>
    <row r="19" spans="1:3" x14ac:dyDescent="0.25">
      <c r="A19" s="13" t="s">
        <v>235</v>
      </c>
      <c r="B19" s="90">
        <f>B16*B9</f>
        <v>5.9156771215221077E-3</v>
      </c>
      <c r="C19" t="s">
        <v>99</v>
      </c>
    </row>
    <row r="20" spans="1:3" x14ac:dyDescent="0.25">
      <c r="A20" s="13" t="s">
        <v>116</v>
      </c>
      <c r="B20" s="90">
        <f>B17*B11</f>
        <v>1.0749707001818474E-3</v>
      </c>
      <c r="C20" t="s">
        <v>99</v>
      </c>
    </row>
    <row r="21" spans="1:3" x14ac:dyDescent="0.25">
      <c r="B21" s="91">
        <f>SUM(B19:B20)</f>
        <v>6.9906478217039549E-3</v>
      </c>
    </row>
    <row r="22" spans="1:3" x14ac:dyDescent="0.25">
      <c r="A22" s="13" t="s">
        <v>235</v>
      </c>
      <c r="B22" s="88">
        <f>B19/B21</f>
        <v>0.84622731289017716</v>
      </c>
    </row>
    <row r="23" spans="1:3" x14ac:dyDescent="0.25">
      <c r="A23" s="13" t="s">
        <v>116</v>
      </c>
      <c r="B23" s="88">
        <f>B20/B21</f>
        <v>0.15377268710982292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5</vt:i4>
      </vt:variant>
    </vt:vector>
  </HeadingPairs>
  <TitlesOfParts>
    <vt:vector size="19" baseType="lpstr">
      <vt:lpstr>MENU</vt:lpstr>
      <vt:lpstr>L caudales masicos</vt:lpstr>
      <vt:lpstr>L caudales volumetricos</vt:lpstr>
      <vt:lpstr>Hoja2</vt:lpstr>
      <vt:lpstr>D caudales masicos</vt:lpstr>
      <vt:lpstr>D caudales volumetricos</vt:lpstr>
      <vt:lpstr>P energia del vapor</vt:lpstr>
      <vt:lpstr>Q energia del vapor</vt:lpstr>
      <vt:lpstr>CD vapor flash</vt:lpstr>
      <vt:lpstr>CD agua caliente</vt:lpstr>
      <vt:lpstr>Hoja1</vt:lpstr>
      <vt:lpstr>listas de datos</vt:lpstr>
      <vt:lpstr>PCTaislam</vt:lpstr>
      <vt:lpstr>vapor flash</vt:lpstr>
      <vt:lpstr>MENU!Área_de_impresión</vt:lpstr>
      <vt:lpstr>material</vt:lpstr>
      <vt:lpstr>materiales</vt:lpstr>
      <vt:lpstr>metales</vt:lpstr>
      <vt:lpstr>radiacion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</dc:creator>
  <cp:lastModifiedBy>Alberto España Carrete</cp:lastModifiedBy>
  <cp:lastPrinted>2020-10-28T10:06:03Z</cp:lastPrinted>
  <dcterms:created xsi:type="dcterms:W3CDTF">2009-06-30T15:55:12Z</dcterms:created>
  <dcterms:modified xsi:type="dcterms:W3CDTF">2026-03-02T12:47:27Z</dcterms:modified>
</cp:coreProperties>
</file>