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Universidade\University_Work\"/>
    </mc:Choice>
  </mc:AlternateContent>
  <xr:revisionPtr revIDLastSave="0" documentId="13_ncr:1_{1F00C91C-D309-456F-9ABB-02C77AED2726}" xr6:coauthVersionLast="47" xr6:coauthVersionMax="47" xr10:uidLastSave="{00000000-0000-0000-0000-000000000000}"/>
  <bookViews>
    <workbookView xWindow="0" yWindow="24" windowWidth="23040" windowHeight="12336" tabRatio="797" xr2:uid="{29B19686-80AD-465B-A46E-BA6EA21EF685}"/>
  </bookViews>
  <sheets>
    <sheet name="Estudar" sheetId="7" r:id="rId1"/>
    <sheet name="Tudo" sheetId="1" r:id="rId2"/>
    <sheet name="3º ANO - 2º Semestre" sheetId="8" r:id="rId3"/>
    <sheet name="2º ANO - 2º Semestre" sheetId="5" r:id="rId4"/>
    <sheet name="1º ANO - 2º Semestre" sheetId="3" r:id="rId5"/>
    <sheet name="3º ANO - 1º Semestre" sheetId="6" r:id="rId6"/>
    <sheet name="2º ANO - 1º Semestre" sheetId="4" r:id="rId7"/>
    <sheet name="1º ANO - 1º Semestre" sheetId="2" r:id="rId8"/>
  </sheets>
  <definedNames>
    <definedName name="topo" localSheetId="1">Tudo!$C$10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7" l="1"/>
  <c r="Q8" i="7"/>
  <c r="G8" i="8"/>
  <c r="C11" i="8"/>
  <c r="C10" i="8"/>
  <c r="K9" i="8"/>
  <c r="G17" i="8"/>
  <c r="AC9" i="7"/>
  <c r="Y8" i="7"/>
  <c r="U5" i="7"/>
  <c r="U13" i="7"/>
  <c r="K12" i="6"/>
  <c r="C9" i="6"/>
  <c r="K13" i="6"/>
  <c r="K7" i="6"/>
  <c r="C10" i="6"/>
  <c r="N15" i="4"/>
  <c r="M9" i="2"/>
  <c r="M10" i="2"/>
  <c r="N11" i="4"/>
  <c r="N10" i="4"/>
  <c r="K10" i="3"/>
  <c r="C10" i="5" l="1" a="1"/>
  <c r="C10" i="5" s="1"/>
  <c r="F3" i="1" l="1" a="1"/>
  <c r="F3" i="1" s="1"/>
  <c r="F13" i="1" a="1"/>
  <c r="F13" i="1" s="1"/>
  <c r="C27" i="1"/>
  <c r="E18" i="1" l="1"/>
  <c r="E13" i="1"/>
  <c r="E8" i="1"/>
  <c r="E3" i="1"/>
  <c r="N10" i="5"/>
  <c r="Q4" i="4"/>
  <c r="Q3" i="4"/>
  <c r="O10" i="5" a="1"/>
  <c r="O10" i="5" s="1"/>
  <c r="B10" i="5" l="1"/>
  <c r="L10" i="3" a="1"/>
  <c r="L10" i="3" s="1"/>
  <c r="C10" i="3" a="1"/>
  <c r="C10" i="3" s="1"/>
  <c r="G3" i="6"/>
  <c r="P3" i="6"/>
  <c r="G4" i="6"/>
  <c r="P4" i="6"/>
  <c r="G5" i="6"/>
  <c r="P5" i="6"/>
  <c r="G6" i="6"/>
  <c r="P6" i="6"/>
  <c r="P7" i="6"/>
  <c r="P10" i="6" a="1"/>
  <c r="P10" i="6" s="1"/>
  <c r="L10" i="5" a="1"/>
  <c r="L10" i="5" s="1"/>
  <c r="I10" i="5" a="1"/>
  <c r="I10" i="5" s="1"/>
  <c r="F5" i="5"/>
  <c r="F4" i="5"/>
  <c r="F10" i="4"/>
  <c r="J7" i="4"/>
  <c r="J6" i="4"/>
  <c r="J5" i="4"/>
  <c r="J4" i="4"/>
  <c r="J3" i="4"/>
  <c r="C5" i="4"/>
  <c r="C4" i="4"/>
  <c r="C3" i="4"/>
  <c r="C10" i="4" s="1" a="1"/>
  <c r="C10" i="4" s="1"/>
  <c r="F10" i="2" a="1"/>
  <c r="F10" i="2" s="1"/>
  <c r="G9" i="6" l="1"/>
  <c r="G10" i="6"/>
  <c r="P11" i="6" a="1"/>
  <c r="P11" i="6" s="1"/>
  <c r="B14" i="6" s="1"/>
  <c r="F10" i="5" a="1"/>
  <c r="F10" i="5" s="1"/>
  <c r="B13" i="5" s="1"/>
  <c r="B13" i="4"/>
  <c r="B13" i="3"/>
  <c r="B13" i="2"/>
  <c r="B13" i="6" l="1"/>
  <c r="E28" i="1"/>
  <c r="G3" i="1" a="1"/>
  <c r="G3" i="1" s="1"/>
  <c r="E23" i="1"/>
  <c r="F23" i="1" a="1"/>
  <c r="F23" i="1" s="1"/>
</calcChain>
</file>

<file path=xl/sharedStrings.xml><?xml version="1.0" encoding="utf-8"?>
<sst xmlns="http://schemas.openxmlformats.org/spreadsheetml/2006/main" count="347" uniqueCount="215">
  <si>
    <t>Cadeira</t>
  </si>
  <si>
    <t>ECTS</t>
  </si>
  <si>
    <t>Cálculo 1</t>
  </si>
  <si>
    <t>Cálculo 2</t>
  </si>
  <si>
    <t>Matemática Discreta</t>
  </si>
  <si>
    <t>Programação 1</t>
  </si>
  <si>
    <t>Introdução aos Sistemas Digitais</t>
  </si>
  <si>
    <t>Algebra Linear e Geometria Analítica</t>
  </si>
  <si>
    <t>Classificação</t>
  </si>
  <si>
    <t>Laboratório de Sistemas Digitais</t>
  </si>
  <si>
    <t>Laboratórios de Informática</t>
  </si>
  <si>
    <t>Mecânica e Campo Eletromagnético</t>
  </si>
  <si>
    <t>Competências Transferíveis 1</t>
  </si>
  <si>
    <t>Arquitetura de Computadores 1</t>
  </si>
  <si>
    <t>Programação Orientada a Objetos</t>
  </si>
  <si>
    <t>Análise de Sistemas</t>
  </si>
  <si>
    <t>Arquitetura de Computadores 2</t>
  </si>
  <si>
    <t>Competências Transferíveis 2</t>
  </si>
  <si>
    <t>Sinais e Sistemas Eletrónicos</t>
  </si>
  <si>
    <t>1º Ano</t>
  </si>
  <si>
    <t>2º Ano</t>
  </si>
  <si>
    <t>Nota final</t>
  </si>
  <si>
    <t>RECURSO</t>
  </si>
  <si>
    <t>Média</t>
  </si>
  <si>
    <t>Redes de Comunicações 1</t>
  </si>
  <si>
    <t>Redes de Comunicações 2</t>
  </si>
  <si>
    <t>Nota</t>
  </si>
  <si>
    <t>Programação Orientada a Objectos</t>
  </si>
  <si>
    <t>Recurso T.</t>
  </si>
  <si>
    <t>3º Ano</t>
  </si>
  <si>
    <t>Sistemas de Operação</t>
  </si>
  <si>
    <t>Segurança Informática e Nas Organizações</t>
  </si>
  <si>
    <t>Métodos Probabilísticos para Engenharia Informática</t>
  </si>
  <si>
    <t>Inteligência Artificial</t>
  </si>
  <si>
    <t>Bases de Dados</t>
  </si>
  <si>
    <t>Interação Humano-computador</t>
  </si>
  <si>
    <t>Compiladores</t>
  </si>
  <si>
    <t>Opção I</t>
  </si>
  <si>
    <t>Projeto em Engenharia de Computadores e Informática</t>
  </si>
  <si>
    <t>p1 tem 8 ects fica</t>
  </si>
  <si>
    <t>Algoritmos e estruturas de dados</t>
  </si>
  <si>
    <t>labi tem 8 ects</t>
  </si>
  <si>
    <t>t</t>
  </si>
  <si>
    <t>p</t>
  </si>
  <si>
    <t>tp</t>
  </si>
  <si>
    <t>ExameP</t>
  </si>
  <si>
    <t>aulaP</t>
  </si>
  <si>
    <t>aulaT</t>
  </si>
  <si>
    <t>T</t>
  </si>
  <si>
    <t>aula P</t>
  </si>
  <si>
    <t>P</t>
  </si>
  <si>
    <t>total</t>
  </si>
  <si>
    <t>teorico</t>
  </si>
  <si>
    <t>media</t>
  </si>
  <si>
    <t>arredondado</t>
  </si>
  <si>
    <t>não</t>
  </si>
  <si>
    <t xml:space="preserve">INTRODUÇÃO À ENGENHARIA INFORMÁTICA </t>
  </si>
  <si>
    <t>Algoritmos e Estruturas de Dados</t>
  </si>
  <si>
    <t>GESTÃO DE PROJETOS</t>
  </si>
  <si>
    <t>DESIGN THINKING</t>
  </si>
  <si>
    <t>TÉCNICAS DE COMUNICAÇÃO E APRESENTAÇÕES</t>
  </si>
  <si>
    <t>FABRICO ADITIVO E IMPRESSÃO 3D</t>
  </si>
  <si>
    <t>INTERAÇÃO HUMANO-COMPUTADOR</t>
  </si>
  <si>
    <t>INTRODUÇÃO AO MÉTODO DOS ELEMENTOS FINITOS</t>
  </si>
  <si>
    <t>Introdução à Engenharia Informática</t>
  </si>
  <si>
    <t>* PECI é cadeira anual logo ao alterar o de baixo altera o preto tambem</t>
  </si>
  <si>
    <t>Epoca espacial</t>
  </si>
  <si>
    <t>peci</t>
  </si>
  <si>
    <t>SO</t>
  </si>
  <si>
    <t>MPEI</t>
  </si>
  <si>
    <t>ISD</t>
  </si>
  <si>
    <t>AC1</t>
  </si>
  <si>
    <t>BD</t>
  </si>
  <si>
    <t>IHC</t>
  </si>
  <si>
    <t>1 semestre</t>
  </si>
  <si>
    <t>2 semestre</t>
  </si>
  <si>
    <t>segurança</t>
  </si>
  <si>
    <t>compiladores</t>
  </si>
  <si>
    <t>meh</t>
  </si>
  <si>
    <t>facil</t>
  </si>
  <si>
    <t>MPEI é projeto e teste e guiões</t>
  </si>
  <si>
    <t>BD é projeto</t>
  </si>
  <si>
    <t>IHC é projeto</t>
  </si>
  <si>
    <t>compiladores é projeto e teste</t>
  </si>
  <si>
    <t>AC2</t>
  </si>
  <si>
    <t>fodido</t>
  </si>
  <si>
    <t>2 testes teoricos</t>
  </si>
  <si>
    <t>Opção I (PDS provavelmente)</t>
  </si>
  <si>
    <t>projeto e 2 testes</t>
  </si>
  <si>
    <t>2 projetos 2 testes</t>
  </si>
  <si>
    <t>Segunda</t>
  </si>
  <si>
    <t xml:space="preserve">Terça </t>
  </si>
  <si>
    <t>Quarta</t>
  </si>
  <si>
    <t>Quinta</t>
  </si>
  <si>
    <t>Sexta</t>
  </si>
  <si>
    <t>Sabado</t>
  </si>
  <si>
    <t>Domingo</t>
  </si>
  <si>
    <t>Horas</t>
  </si>
  <si>
    <t>Bloco de 2h</t>
  </si>
  <si>
    <t>PECI</t>
  </si>
  <si>
    <t>9h -&gt;</t>
  </si>
  <si>
    <t>10h -&gt;</t>
  </si>
  <si>
    <t>11h -&gt;</t>
  </si>
  <si>
    <t>12h -&gt;</t>
  </si>
  <si>
    <t>13h -&gt;</t>
  </si>
  <si>
    <t>14h -&gt;</t>
  </si>
  <si>
    <t>15h -&gt;</t>
  </si>
  <si>
    <t>16h -&gt;</t>
  </si>
  <si>
    <t>17h-&gt;</t>
  </si>
  <si>
    <t>18h-&gt;</t>
  </si>
  <si>
    <t>19h -&gt;</t>
  </si>
  <si>
    <t>20h -&gt;</t>
  </si>
  <si>
    <t>EXTRA/Feriado</t>
  </si>
  <si>
    <t>13h</t>
  </si>
  <si>
    <t>9h</t>
  </si>
  <si>
    <t>10h</t>
  </si>
  <si>
    <t>11h</t>
  </si>
  <si>
    <t xml:space="preserve">12h </t>
  </si>
  <si>
    <t>14h</t>
  </si>
  <si>
    <t xml:space="preserve">15h </t>
  </si>
  <si>
    <t xml:space="preserve">16h </t>
  </si>
  <si>
    <t>17h</t>
  </si>
  <si>
    <t>18h</t>
  </si>
  <si>
    <t xml:space="preserve">20h </t>
  </si>
  <si>
    <t xml:space="preserve">19h </t>
  </si>
  <si>
    <t>ExameT</t>
  </si>
  <si>
    <t>Projeto</t>
  </si>
  <si>
    <t>TesteT</t>
  </si>
  <si>
    <t>TP1</t>
  </si>
  <si>
    <t>P3 - desempenho nas aulas</t>
  </si>
  <si>
    <t>P2 - Teste</t>
  </si>
  <si>
    <t>T1</t>
  </si>
  <si>
    <t>T2</t>
  </si>
  <si>
    <t>TP2</t>
  </si>
  <si>
    <t>teorica:</t>
  </si>
  <si>
    <t>Tp1</t>
  </si>
  <si>
    <t>s1</t>
  </si>
  <si>
    <t>s2</t>
  </si>
  <si>
    <t>Tp2</t>
  </si>
  <si>
    <t>Tp3</t>
  </si>
  <si>
    <t>participação</t>
  </si>
  <si>
    <t xml:space="preserve">Teorica: </t>
  </si>
  <si>
    <t xml:space="preserve">Total: </t>
  </si>
  <si>
    <t>RecursoT</t>
  </si>
  <si>
    <t>RecursoP</t>
  </si>
  <si>
    <t>Total</t>
  </si>
  <si>
    <t>Teorica:</t>
  </si>
  <si>
    <t>Total:</t>
  </si>
  <si>
    <t>RecursoP:</t>
  </si>
  <si>
    <t>RecursoT:</t>
  </si>
  <si>
    <t>11,7 no prrimeiro</t>
  </si>
  <si>
    <t>pratica</t>
  </si>
  <si>
    <t>1º mini teste</t>
  </si>
  <si>
    <t>2º mini teste</t>
  </si>
  <si>
    <t>assiduidade TP</t>
  </si>
  <si>
    <t>PL03</t>
  </si>
  <si>
    <t>PL04</t>
  </si>
  <si>
    <t>Nota Final:</t>
  </si>
  <si>
    <t>pds quizes</t>
  </si>
  <si>
    <t>tp3</t>
  </si>
  <si>
    <t>grasp</t>
  </si>
  <si>
    <t>quizz</t>
  </si>
  <si>
    <t>design patterns</t>
  </si>
  <si>
    <t>tp4</t>
  </si>
  <si>
    <t>PDS</t>
  </si>
  <si>
    <t>C-P7</t>
  </si>
  <si>
    <t>IHC-P3</t>
  </si>
  <si>
    <t>C-TP2</t>
  </si>
  <si>
    <t>PDS-P5</t>
  </si>
  <si>
    <t>PDS-TP1</t>
  </si>
  <si>
    <t>BD-P2</t>
  </si>
  <si>
    <t>IHC-TP3</t>
  </si>
  <si>
    <t>AC2-P9</t>
  </si>
  <si>
    <t>segunda</t>
  </si>
  <si>
    <t>**</t>
  </si>
  <si>
    <t>fazivel</t>
  </si>
  <si>
    <t>fodasse</t>
  </si>
  <si>
    <t>estudar urgentemente</t>
  </si>
  <si>
    <t>recurso</t>
  </si>
  <si>
    <t>nota mínima de 7.0 nas 2</t>
  </si>
  <si>
    <t>ATP1</t>
  </si>
  <si>
    <t>ExameATP2</t>
  </si>
  <si>
    <t>ExameTP2</t>
  </si>
  <si>
    <t>AC</t>
  </si>
  <si>
    <t>APF-E</t>
  </si>
  <si>
    <t>APF-T</t>
  </si>
  <si>
    <t>inicial</t>
  </si>
  <si>
    <t>final</t>
  </si>
  <si>
    <t>Quiz etc</t>
  </si>
  <si>
    <t>Entregas P - code submissions,</t>
  </si>
  <si>
    <t>EntregasP</t>
  </si>
  <si>
    <t>nota mínima de 7.5 nas 2</t>
  </si>
  <si>
    <t>Exam</t>
  </si>
  <si>
    <t>Paper</t>
  </si>
  <si>
    <t>Assign1</t>
  </si>
  <si>
    <t>Assign2</t>
  </si>
  <si>
    <t>tasks during theoretical classes</t>
  </si>
  <si>
    <t xml:space="preserve"> 40% - Quizzes or other </t>
  </si>
  <si>
    <t>AC - desempenho nas aulas,</t>
  </si>
  <si>
    <t>e entrega dos guiões</t>
  </si>
  <si>
    <t xml:space="preserve"> assiduidade, realização </t>
  </si>
  <si>
    <t>APF -  trabalho prático final</t>
  </si>
  <si>
    <t xml:space="preserve"> (grupo de 2 elementos)</t>
  </si>
  <si>
    <t xml:space="preserve">code analysis , presentations </t>
  </si>
  <si>
    <t>Terça</t>
  </si>
  <si>
    <t>Datas</t>
  </si>
  <si>
    <t>Tp4</t>
  </si>
  <si>
    <t>Exame:</t>
  </si>
  <si>
    <t>Requirement analysis</t>
  </si>
  <si>
    <t>ATP2</t>
  </si>
  <si>
    <t>Exames</t>
  </si>
  <si>
    <t>fazer DER e ER</t>
  </si>
  <si>
    <t>Tp5</t>
  </si>
  <si>
    <t>fazer as merdas para tras</t>
  </si>
  <si>
    <t>get/post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</si>
</sst>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Open Sans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9F5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0" fillId="7" borderId="1" xfId="2" applyFont="1" applyFill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4" fillId="0" borderId="0" xfId="0" applyFont="1"/>
    <xf numFmtId="0" fontId="0" fillId="0" borderId="20" xfId="0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16" xfId="0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3" borderId="38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/>
    </xf>
    <xf numFmtId="0" fontId="0" fillId="5" borderId="41" xfId="0" applyFill="1" applyBorder="1" applyAlignment="1">
      <alignment horizontal="center" vertical="center"/>
    </xf>
    <xf numFmtId="0" fontId="4" fillId="5" borderId="38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0" borderId="0" xfId="0"/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9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5" xfId="0" applyFon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9" fontId="0" fillId="0" borderId="17" xfId="2" applyFont="1" applyFill="1" applyBorder="1" applyAlignment="1">
      <alignment horizontal="center" vertical="center"/>
    </xf>
    <xf numFmtId="9" fontId="0" fillId="0" borderId="19" xfId="2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1" xfId="0" applyFill="1" applyBorder="1" applyAlignment="1">
      <alignment horizontal="center"/>
    </xf>
    <xf numFmtId="9" fontId="0" fillId="18" borderId="1" xfId="0" applyNumberFormat="1" applyFill="1" applyBorder="1" applyAlignment="1">
      <alignment horizontal="center"/>
    </xf>
    <xf numFmtId="0" fontId="0" fillId="18" borderId="1" xfId="0" applyFill="1" applyBorder="1"/>
    <xf numFmtId="0" fontId="0" fillId="18" borderId="12" xfId="0" applyFill="1" applyBorder="1" applyAlignment="1">
      <alignment horizontal="center"/>
    </xf>
    <xf numFmtId="0" fontId="0" fillId="18" borderId="1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/>
    </xf>
    <xf numFmtId="0" fontId="0" fillId="18" borderId="4" xfId="0" applyFill="1" applyBorder="1" applyAlignment="1">
      <alignment horizontal="center" vertical="center"/>
    </xf>
    <xf numFmtId="9" fontId="0" fillId="15" borderId="15" xfId="0" applyNumberFormat="1" applyFill="1" applyBorder="1" applyAlignment="1">
      <alignment horizontal="center"/>
    </xf>
    <xf numFmtId="9" fontId="0" fillId="15" borderId="17" xfId="0" applyNumberFormat="1" applyFill="1" applyBorder="1" applyAlignment="1">
      <alignment horizontal="center"/>
    </xf>
    <xf numFmtId="0" fontId="0" fillId="15" borderId="56" xfId="0" applyFill="1" applyBorder="1" applyAlignment="1">
      <alignment horizontal="center"/>
    </xf>
    <xf numFmtId="0" fontId="0" fillId="15" borderId="23" xfId="0" applyFill="1" applyBorder="1"/>
    <xf numFmtId="0" fontId="0" fillId="15" borderId="6" xfId="0" applyFill="1" applyBorder="1"/>
    <xf numFmtId="0" fontId="0" fillId="15" borderId="5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5" borderId="60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9" fontId="0" fillId="0" borderId="15" xfId="2" applyFont="1" applyFill="1" applyBorder="1" applyAlignment="1">
      <alignment horizontal="center" vertical="center"/>
    </xf>
    <xf numFmtId="0" fontId="0" fillId="5" borderId="62" xfId="0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4" fillId="5" borderId="62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7" borderId="5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9" fontId="0" fillId="0" borderId="52" xfId="0" applyNumberFormat="1" applyFont="1" applyBorder="1" applyAlignment="1">
      <alignment horizontal="center" vertical="center"/>
    </xf>
    <xf numFmtId="0" fontId="0" fillId="15" borderId="28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37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0" fillId="7" borderId="42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7" fillId="9" borderId="47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5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7" borderId="44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9" fontId="0" fillId="0" borderId="19" xfId="0" applyNumberFormat="1" applyFont="1" applyFill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0" fillId="14" borderId="41" xfId="0" applyFont="1" applyFill="1" applyBorder="1" applyAlignment="1">
      <alignment horizontal="center" vertical="center"/>
    </xf>
    <xf numFmtId="0" fontId="0" fillId="20" borderId="48" xfId="0" applyFont="1" applyFill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/>
    </xf>
    <xf numFmtId="0" fontId="0" fillId="14" borderId="25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15" borderId="25" xfId="0" applyFont="1" applyFill="1" applyBorder="1" applyAlignment="1">
      <alignment horizontal="center" vertical="center"/>
    </xf>
    <xf numFmtId="0" fontId="0" fillId="7" borderId="45" xfId="0" applyFont="1" applyFill="1" applyBorder="1" applyAlignment="1">
      <alignment horizontal="center" vertical="center"/>
    </xf>
    <xf numFmtId="0" fontId="0" fillId="7" borderId="39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0" fillId="7" borderId="48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7" borderId="50" xfId="0" applyFont="1" applyFill="1" applyBorder="1" applyAlignment="1">
      <alignment horizontal="center" vertical="center"/>
    </xf>
    <xf numFmtId="9" fontId="0" fillId="7" borderId="4" xfId="0" applyNumberFormat="1" applyFont="1" applyFill="1" applyBorder="1" applyAlignment="1">
      <alignment horizontal="center" vertical="center"/>
    </xf>
    <xf numFmtId="9" fontId="0" fillId="0" borderId="17" xfId="0" applyNumberFormat="1" applyFont="1" applyFill="1" applyBorder="1" applyAlignment="1">
      <alignment horizontal="center" vertical="center"/>
    </xf>
    <xf numFmtId="0" fontId="0" fillId="7" borderId="57" xfId="0" applyFont="1" applyFill="1" applyBorder="1" applyAlignment="1">
      <alignment horizontal="center" vertical="center"/>
    </xf>
    <xf numFmtId="9" fontId="0" fillId="7" borderId="9" xfId="0" applyNumberFormat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16" borderId="25" xfId="0" applyFont="1" applyFill="1" applyBorder="1" applyAlignment="1">
      <alignment horizontal="center" vertical="center"/>
    </xf>
    <xf numFmtId="0" fontId="7" fillId="9" borderId="44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0" fillId="19" borderId="37" xfId="0" applyFont="1" applyFill="1" applyBorder="1" applyAlignment="1">
      <alignment horizontal="center" vertical="center"/>
    </xf>
    <xf numFmtId="0" fontId="0" fillId="20" borderId="25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15" borderId="30" xfId="0" applyFont="1" applyFill="1" applyBorder="1" applyAlignment="1">
      <alignment horizontal="center" vertical="center"/>
    </xf>
    <xf numFmtId="0" fontId="0" fillId="15" borderId="37" xfId="0" applyFont="1" applyFill="1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0" fillId="10" borderId="37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9" fontId="0" fillId="0" borderId="22" xfId="0" applyNumberFormat="1" applyFont="1" applyFill="1" applyBorder="1" applyAlignment="1">
      <alignment horizontal="center" vertical="center"/>
    </xf>
    <xf numFmtId="9" fontId="0" fillId="0" borderId="15" xfId="0" applyNumberFormat="1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0" fillId="0" borderId="51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9" fontId="0" fillId="0" borderId="52" xfId="2" applyFont="1" applyFill="1" applyBorder="1" applyAlignment="1">
      <alignment horizontal="center" vertical="center"/>
    </xf>
    <xf numFmtId="9" fontId="0" fillId="0" borderId="52" xfId="0" applyNumberFormat="1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horizontal="center" vertical="center"/>
    </xf>
    <xf numFmtId="9" fontId="3" fillId="0" borderId="8" xfId="0" applyNumberFormat="1" applyFont="1" applyFill="1" applyBorder="1" applyAlignment="1">
      <alignment horizontal="center" vertical="center"/>
    </xf>
    <xf numFmtId="0" fontId="0" fillId="0" borderId="6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0" fillId="23" borderId="4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4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40" xfId="0" applyFont="1" applyFill="1" applyBorder="1" applyAlignment="1">
      <alignment vertical="center"/>
    </xf>
    <xf numFmtId="0" fontId="0" fillId="0" borderId="5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5" fontId="0" fillId="0" borderId="15" xfId="0" applyNumberForma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5" fontId="0" fillId="0" borderId="4" xfId="0" applyNumberFormat="1" applyBorder="1"/>
    <xf numFmtId="16" fontId="0" fillId="0" borderId="17" xfId="0" applyNumberFormat="1" applyFont="1" applyBorder="1" applyAlignment="1">
      <alignment horizontal="center" vertical="center"/>
    </xf>
    <xf numFmtId="15" fontId="0" fillId="0" borderId="15" xfId="0" applyNumberFormat="1" applyBorder="1" applyAlignment="1">
      <alignment horizontal="center" vertical="center"/>
    </xf>
    <xf numFmtId="0" fontId="3" fillId="0" borderId="37" xfId="0" applyFont="1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25" borderId="29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0" fillId="23" borderId="23" xfId="0" applyFont="1" applyFill="1" applyBorder="1" applyAlignment="1">
      <alignment horizontal="center" vertical="center"/>
    </xf>
    <xf numFmtId="0" fontId="0" fillId="23" borderId="7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60" xfId="0" applyFont="1" applyFill="1" applyBorder="1" applyAlignment="1">
      <alignment horizontal="center" vertical="center"/>
    </xf>
    <xf numFmtId="0" fontId="0" fillId="7" borderId="5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0" fillId="7" borderId="63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0" fontId="0" fillId="10" borderId="36" xfId="0" applyFont="1" applyFill="1" applyBorder="1" applyAlignment="1">
      <alignment horizontal="center" vertical="center"/>
    </xf>
    <xf numFmtId="0" fontId="0" fillId="10" borderId="37" xfId="0" applyFont="1" applyFill="1" applyBorder="1" applyAlignment="1">
      <alignment horizontal="center" vertical="center"/>
    </xf>
    <xf numFmtId="0" fontId="0" fillId="15" borderId="30" xfId="0" applyFont="1" applyFill="1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/>
    </xf>
    <xf numFmtId="0" fontId="0" fillId="15" borderId="37" xfId="0" applyFont="1" applyFill="1" applyBorder="1" applyAlignment="1">
      <alignment horizontal="center" vertical="center"/>
    </xf>
    <xf numFmtId="0" fontId="0" fillId="16" borderId="30" xfId="0" applyFont="1" applyFill="1" applyBorder="1" applyAlignment="1">
      <alignment horizontal="center" vertical="center"/>
    </xf>
    <xf numFmtId="0" fontId="0" fillId="16" borderId="36" xfId="0" applyFont="1" applyFill="1" applyBorder="1" applyAlignment="1">
      <alignment horizontal="center" vertical="center"/>
    </xf>
    <xf numFmtId="0" fontId="0" fillId="16" borderId="37" xfId="0" applyFont="1" applyFill="1" applyBorder="1" applyAlignment="1">
      <alignment horizontal="center" vertical="center"/>
    </xf>
    <xf numFmtId="0" fontId="0" fillId="12" borderId="30" xfId="0" applyFont="1" applyFill="1" applyBorder="1" applyAlignment="1">
      <alignment horizontal="center" vertical="center"/>
    </xf>
    <xf numFmtId="0" fontId="0" fillId="12" borderId="37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12" borderId="26" xfId="0" applyFont="1" applyFill="1" applyBorder="1" applyAlignment="1">
      <alignment horizontal="center" vertical="center"/>
    </xf>
    <xf numFmtId="0" fontId="0" fillId="16" borderId="23" xfId="0" applyFont="1" applyFill="1" applyBorder="1" applyAlignment="1">
      <alignment horizontal="center" vertical="center"/>
    </xf>
    <xf numFmtId="0" fontId="0" fillId="16" borderId="7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9" borderId="46" xfId="0" applyFont="1" applyFill="1" applyBorder="1" applyAlignment="1">
      <alignment horizontal="center" vertical="center"/>
    </xf>
    <xf numFmtId="0" fontId="0" fillId="19" borderId="41" xfId="0" applyFont="1" applyFill="1" applyBorder="1" applyAlignment="1">
      <alignment horizontal="center" vertical="center"/>
    </xf>
    <xf numFmtId="0" fontId="0" fillId="21" borderId="23" xfId="0" applyFont="1" applyFill="1" applyBorder="1" applyAlignment="1">
      <alignment horizontal="center" vertical="center"/>
    </xf>
    <xf numFmtId="0" fontId="0" fillId="21" borderId="7" xfId="0" applyFont="1" applyFill="1" applyBorder="1" applyAlignment="1">
      <alignment horizontal="center" vertical="center"/>
    </xf>
    <xf numFmtId="0" fontId="0" fillId="19" borderId="23" xfId="0" applyFont="1" applyFill="1" applyBorder="1" applyAlignment="1">
      <alignment horizontal="center" vertical="center"/>
    </xf>
    <xf numFmtId="0" fontId="0" fillId="19" borderId="7" xfId="0" applyFont="1" applyFill="1" applyBorder="1" applyAlignment="1">
      <alignment horizontal="center" vertical="center"/>
    </xf>
    <xf numFmtId="0" fontId="0" fillId="20" borderId="23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0" fillId="0" borderId="60" xfId="0" applyFont="1" applyFill="1" applyBorder="1" applyAlignment="1">
      <alignment horizontal="center" vertical="center"/>
    </xf>
    <xf numFmtId="0" fontId="0" fillId="0" borderId="62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4" borderId="3" xfId="0" applyFont="1" applyFill="1" applyBorder="1" applyAlignment="1">
      <alignment horizontal="center" vertical="center"/>
    </xf>
    <xf numFmtId="0" fontId="0" fillId="24" borderId="4" xfId="0" applyFont="1" applyFill="1" applyBorder="1" applyAlignment="1">
      <alignment horizontal="center" vertical="center"/>
    </xf>
    <xf numFmtId="0" fontId="0" fillId="7" borderId="60" xfId="0" applyFont="1" applyFill="1" applyBorder="1" applyAlignment="1">
      <alignment horizontal="center" vertical="center" wrapText="1"/>
    </xf>
    <xf numFmtId="0" fontId="0" fillId="7" borderId="55" xfId="0" applyFont="1" applyFill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 vertical="center" wrapText="1"/>
    </xf>
    <xf numFmtId="0" fontId="0" fillId="7" borderId="62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27" xfId="0" applyFont="1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7" borderId="30" xfId="0" applyFill="1" applyBorder="1" applyAlignment="1">
      <alignment horizontal="center" vertical="center"/>
    </xf>
    <xf numFmtId="0" fontId="0" fillId="17" borderId="5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</cellXfs>
  <cellStyles count="3">
    <cellStyle name="Normal" xfId="0" builtinId="0"/>
    <cellStyle name="Percentagem" xfId="2" builtinId="5"/>
    <cellStyle name="Vírgula" xfId="1" builtinId="3"/>
  </cellStyles>
  <dxfs count="0"/>
  <tableStyles count="0" defaultTableStyle="TableStyleMedium2" defaultPivotStyle="PivotStyleLight16"/>
  <colors>
    <mruColors>
      <color rgb="FF9F5FCF"/>
      <color rgb="FF996600"/>
      <color rgb="FFFF7C80"/>
      <color rgb="FF6633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FB-233A-4EDD-8101-F45C6AA7976A}">
  <dimension ref="A1:AJ28"/>
  <sheetViews>
    <sheetView tabSelected="1" zoomScale="86" zoomScaleNormal="110" workbookViewId="0">
      <selection activeCell="I19" sqref="I19"/>
    </sheetView>
  </sheetViews>
  <sheetFormatPr defaultRowHeight="14.4" x14ac:dyDescent="0.3"/>
  <cols>
    <col min="1" max="1" width="13.6640625" style="130" bestFit="1" customWidth="1"/>
    <col min="2" max="2" width="11.5546875" style="130" customWidth="1"/>
    <col min="3" max="8" width="11" style="130" bestFit="1" customWidth="1"/>
    <col min="9" max="9" width="8.6640625" style="130" customWidth="1"/>
    <col min="10" max="10" width="12.5546875" style="130" customWidth="1"/>
    <col min="11" max="11" width="9.33203125" style="130" bestFit="1" customWidth="1"/>
    <col min="12" max="14" width="18.21875" style="130" bestFit="1" customWidth="1"/>
    <col min="15" max="15" width="8.88671875" style="130"/>
    <col min="16" max="16" width="12.88671875" style="130" customWidth="1"/>
    <col min="17" max="17" width="7.109375" style="130" customWidth="1"/>
    <col min="18" max="18" width="7.5546875" style="130" customWidth="1"/>
    <col min="19" max="19" width="8.88671875" style="130"/>
    <col min="20" max="20" width="9.5546875" style="130" bestFit="1" customWidth="1"/>
    <col min="21" max="21" width="7.6640625" style="130" bestFit="1" customWidth="1"/>
    <col min="22" max="22" width="5.88671875" style="130" customWidth="1"/>
    <col min="23" max="23" width="8.88671875" style="130"/>
    <col min="24" max="24" width="10" style="130" customWidth="1"/>
    <col min="25" max="25" width="9.6640625" style="130" bestFit="1" customWidth="1"/>
    <col min="26" max="26" width="4.44140625" style="130" bestFit="1" customWidth="1"/>
    <col min="27" max="27" width="6" style="130" customWidth="1"/>
    <col min="28" max="28" width="12" style="130" customWidth="1"/>
    <col min="29" max="29" width="9.6640625" style="130" bestFit="1" customWidth="1"/>
    <col min="30" max="30" width="5.21875" style="130" customWidth="1"/>
    <col min="31" max="31" width="8.33203125" style="130" customWidth="1"/>
    <col min="32" max="32" width="6.109375" style="130" customWidth="1"/>
    <col min="33" max="33" width="6.21875" style="130" customWidth="1"/>
    <col min="34" max="34" width="6.33203125" style="130" customWidth="1"/>
    <col min="35" max="35" width="5.88671875" style="130" customWidth="1"/>
    <col min="36" max="16384" width="8.88671875" style="130"/>
  </cols>
  <sheetData>
    <row r="1" spans="1:36" ht="15" thickBot="1" x14ac:dyDescent="0.35">
      <c r="B1" s="130">
        <v>8</v>
      </c>
      <c r="C1" s="130">
        <v>9</v>
      </c>
      <c r="D1" s="130">
        <v>10</v>
      </c>
      <c r="E1" s="130">
        <v>4</v>
      </c>
      <c r="F1" s="130">
        <v>5</v>
      </c>
      <c r="G1" s="130">
        <v>6</v>
      </c>
      <c r="H1" s="130">
        <v>7</v>
      </c>
    </row>
    <row r="2" spans="1:36" ht="15" thickBot="1" x14ac:dyDescent="0.35">
      <c r="A2" s="131" t="s">
        <v>97</v>
      </c>
      <c r="B2" s="132" t="s">
        <v>90</v>
      </c>
      <c r="C2" s="133" t="s">
        <v>91</v>
      </c>
      <c r="D2" s="133" t="s">
        <v>92</v>
      </c>
      <c r="E2" s="133" t="s">
        <v>93</v>
      </c>
      <c r="F2" s="133" t="s">
        <v>94</v>
      </c>
      <c r="G2" s="133" t="s">
        <v>95</v>
      </c>
      <c r="H2" s="133" t="s">
        <v>96</v>
      </c>
      <c r="I2" s="131" t="s">
        <v>97</v>
      </c>
      <c r="K2" s="279" t="s">
        <v>98</v>
      </c>
      <c r="L2" s="283"/>
      <c r="M2" s="279" t="s">
        <v>112</v>
      </c>
      <c r="N2" s="280"/>
      <c r="P2" s="270" t="s">
        <v>164</v>
      </c>
      <c r="Q2" s="271"/>
      <c r="R2" s="272"/>
      <c r="T2" s="276" t="s">
        <v>84</v>
      </c>
      <c r="U2" s="277"/>
      <c r="V2" s="278"/>
      <c r="X2" s="270" t="s">
        <v>73</v>
      </c>
      <c r="Y2" s="271"/>
      <c r="Z2" s="272"/>
      <c r="AB2" s="187" t="s">
        <v>72</v>
      </c>
      <c r="AC2" s="188"/>
      <c r="AD2" s="189"/>
    </row>
    <row r="3" spans="1:36" ht="15" thickBot="1" x14ac:dyDescent="0.35">
      <c r="A3" s="134" t="s">
        <v>100</v>
      </c>
      <c r="B3" s="135"/>
      <c r="C3" s="294" t="s">
        <v>166</v>
      </c>
      <c r="D3" s="286" t="s">
        <v>99</v>
      </c>
      <c r="E3" s="135"/>
      <c r="F3" s="292" t="s">
        <v>172</v>
      </c>
      <c r="G3" s="135"/>
      <c r="H3" s="135"/>
      <c r="I3" s="136" t="s">
        <v>114</v>
      </c>
      <c r="K3" s="298" t="s">
        <v>173</v>
      </c>
      <c r="L3" s="153"/>
      <c r="M3" s="137"/>
      <c r="N3" s="138"/>
      <c r="P3" s="182" t="s">
        <v>188</v>
      </c>
      <c r="Q3" s="198"/>
      <c r="R3" s="199">
        <v>0.4</v>
      </c>
      <c r="S3" s="140"/>
      <c r="T3" s="209" t="s">
        <v>149</v>
      </c>
      <c r="U3" s="168"/>
      <c r="V3" s="169">
        <v>0.6</v>
      </c>
      <c r="W3" s="140"/>
      <c r="X3" s="181" t="s">
        <v>193</v>
      </c>
      <c r="Y3" s="211"/>
      <c r="Z3" s="212">
        <v>0.1</v>
      </c>
      <c r="AA3" s="140"/>
      <c r="AB3" s="181" t="s">
        <v>180</v>
      </c>
      <c r="AC3" s="139"/>
      <c r="AD3" s="107">
        <v>0.25</v>
      </c>
      <c r="AF3" s="140"/>
    </row>
    <row r="4" spans="1:36" ht="15" thickBot="1" x14ac:dyDescent="0.35">
      <c r="A4" s="141" t="s">
        <v>101</v>
      </c>
      <c r="B4" s="220"/>
      <c r="C4" s="295"/>
      <c r="D4" s="287"/>
      <c r="E4" s="142"/>
      <c r="F4" s="293"/>
      <c r="G4" s="142"/>
      <c r="H4" s="142"/>
      <c r="I4" s="141" t="s">
        <v>115</v>
      </c>
      <c r="K4" s="299"/>
      <c r="L4" s="159"/>
      <c r="M4" s="143"/>
      <c r="N4" s="138"/>
      <c r="P4" s="182" t="s">
        <v>190</v>
      </c>
      <c r="Q4" s="144"/>
      <c r="R4" s="170">
        <v>0.2</v>
      </c>
      <c r="S4" s="140"/>
      <c r="T4" s="210" t="s">
        <v>148</v>
      </c>
      <c r="U4" s="171"/>
      <c r="V4" s="172">
        <v>0.4</v>
      </c>
      <c r="W4" s="140"/>
      <c r="X4" s="181" t="s">
        <v>194</v>
      </c>
      <c r="Y4" s="204"/>
      <c r="Z4" s="200">
        <v>0.1</v>
      </c>
      <c r="AA4" s="140"/>
      <c r="AB4" s="182" t="s">
        <v>181</v>
      </c>
      <c r="AC4" s="203"/>
      <c r="AD4" s="205">
        <v>0.25</v>
      </c>
      <c r="AF4" s="140"/>
    </row>
    <row r="5" spans="1:36" ht="15" thickBot="1" x14ac:dyDescent="0.35">
      <c r="A5" s="183" t="s">
        <v>102</v>
      </c>
      <c r="B5" s="249"/>
      <c r="C5" s="296" t="s">
        <v>165</v>
      </c>
      <c r="D5" s="284" t="s">
        <v>169</v>
      </c>
      <c r="E5" s="288" t="s">
        <v>170</v>
      </c>
      <c r="F5" s="249"/>
      <c r="G5" s="249"/>
      <c r="H5" s="249"/>
      <c r="I5" s="136" t="s">
        <v>116</v>
      </c>
      <c r="K5" s="299"/>
      <c r="L5" s="159"/>
      <c r="M5" s="143"/>
      <c r="N5" s="146"/>
      <c r="P5" s="182" t="s">
        <v>45</v>
      </c>
      <c r="Q5" s="144"/>
      <c r="R5" s="170">
        <v>0.4</v>
      </c>
      <c r="S5" s="140"/>
      <c r="T5" s="156" t="s">
        <v>147</v>
      </c>
      <c r="U5" s="273">
        <f>U3*V3+U4*V4</f>
        <v>0</v>
      </c>
      <c r="V5" s="275"/>
      <c r="W5" s="140"/>
      <c r="X5" s="183" t="s">
        <v>195</v>
      </c>
      <c r="Y5" s="214"/>
      <c r="Z5" s="206">
        <v>0.35</v>
      </c>
      <c r="AA5" s="140"/>
      <c r="AB5" s="202" t="s">
        <v>183</v>
      </c>
      <c r="AC5" s="204"/>
      <c r="AD5" s="107">
        <v>0.15</v>
      </c>
      <c r="AF5" s="140"/>
    </row>
    <row r="6" spans="1:36" ht="15" thickBot="1" x14ac:dyDescent="0.35">
      <c r="A6" s="141" t="s">
        <v>103</v>
      </c>
      <c r="B6" s="250"/>
      <c r="C6" s="297"/>
      <c r="D6" s="285"/>
      <c r="E6" s="289"/>
      <c r="F6" s="250"/>
      <c r="G6" s="250"/>
      <c r="H6" s="250"/>
      <c r="I6" s="141" t="s">
        <v>117</v>
      </c>
      <c r="K6" s="299"/>
      <c r="L6" s="145"/>
      <c r="M6" s="225"/>
      <c r="N6" s="148"/>
      <c r="P6" s="273" t="s">
        <v>179</v>
      </c>
      <c r="Q6" s="274"/>
      <c r="R6" s="275"/>
      <c r="S6" s="140"/>
      <c r="W6" s="140"/>
      <c r="X6" s="173" t="s">
        <v>192</v>
      </c>
      <c r="Y6" s="213"/>
      <c r="Z6" s="147">
        <v>0.45</v>
      </c>
      <c r="AA6" s="140"/>
      <c r="AB6" s="182" t="s">
        <v>184</v>
      </c>
      <c r="AC6" s="144"/>
      <c r="AD6" s="85">
        <v>0.05</v>
      </c>
      <c r="AE6" s="130" t="s">
        <v>186</v>
      </c>
      <c r="AF6" s="140"/>
    </row>
    <row r="7" spans="1:36" ht="15" thickBot="1" x14ac:dyDescent="0.35">
      <c r="A7" s="149" t="s">
        <v>104</v>
      </c>
      <c r="B7" s="135"/>
      <c r="C7" s="150" t="s">
        <v>167</v>
      </c>
      <c r="D7" s="151"/>
      <c r="E7" s="135"/>
      <c r="F7" s="229"/>
      <c r="G7" s="226"/>
      <c r="H7" s="226"/>
      <c r="I7" s="152" t="s">
        <v>113</v>
      </c>
      <c r="K7" s="201" t="s">
        <v>204</v>
      </c>
      <c r="L7" s="126"/>
      <c r="M7" s="154"/>
      <c r="N7" s="155"/>
      <c r="P7" s="82" t="s">
        <v>141</v>
      </c>
      <c r="Q7" s="281">
        <f>(Q3*R3)</f>
        <v>0</v>
      </c>
      <c r="R7" s="282"/>
      <c r="S7" s="140"/>
      <c r="T7" s="270" t="s">
        <v>36</v>
      </c>
      <c r="U7" s="271"/>
      <c r="V7" s="272"/>
      <c r="W7" s="140"/>
      <c r="X7" s="273" t="s">
        <v>191</v>
      </c>
      <c r="Y7" s="274"/>
      <c r="Z7" s="275"/>
      <c r="AA7" s="140"/>
      <c r="AB7" s="183" t="s">
        <v>185</v>
      </c>
      <c r="AC7" s="144"/>
      <c r="AD7" s="85">
        <v>0.3</v>
      </c>
      <c r="AE7" s="130" t="s">
        <v>187</v>
      </c>
      <c r="AF7" s="140"/>
    </row>
    <row r="8" spans="1:36" ht="15" thickBot="1" x14ac:dyDescent="0.35">
      <c r="A8" s="141" t="s">
        <v>105</v>
      </c>
      <c r="B8" s="142"/>
      <c r="C8" s="157"/>
      <c r="D8" s="158"/>
      <c r="E8" s="290" t="s">
        <v>171</v>
      </c>
      <c r="F8" s="228"/>
      <c r="G8" s="227"/>
      <c r="H8" s="227"/>
      <c r="I8" s="136" t="s">
        <v>118</v>
      </c>
      <c r="K8" s="300" t="s">
        <v>92</v>
      </c>
      <c r="L8" s="219"/>
      <c r="M8" s="154"/>
      <c r="N8" s="155"/>
      <c r="P8" s="122" t="s">
        <v>142</v>
      </c>
      <c r="Q8" s="273">
        <f>(Q3*R3 + Q4*R4+ Q5*R5 )</f>
        <v>0</v>
      </c>
      <c r="R8" s="275"/>
      <c r="T8" s="181" t="s">
        <v>128</v>
      </c>
      <c r="U8" s="139"/>
      <c r="V8" s="200">
        <v>0.2</v>
      </c>
      <c r="X8" s="201" t="s">
        <v>147</v>
      </c>
      <c r="Y8" s="207">
        <f>(Y4*Z4 + Y5*Z5+ Y7*Z7)</f>
        <v>0</v>
      </c>
      <c r="Z8" s="208"/>
      <c r="AB8" s="184"/>
      <c r="AC8" s="186"/>
      <c r="AD8" s="185"/>
      <c r="AF8" s="140"/>
    </row>
    <row r="9" spans="1:36" ht="15" thickBot="1" x14ac:dyDescent="0.35">
      <c r="A9" s="183" t="s">
        <v>106</v>
      </c>
      <c r="B9" s="249"/>
      <c r="C9" s="249"/>
      <c r="D9" s="249"/>
      <c r="E9" s="291"/>
      <c r="F9" s="249"/>
      <c r="G9" s="249"/>
      <c r="H9" s="249"/>
      <c r="I9" s="141" t="s">
        <v>119</v>
      </c>
      <c r="K9" s="301"/>
      <c r="L9" s="218"/>
      <c r="M9" s="161"/>
      <c r="N9" s="162"/>
      <c r="T9" s="182" t="s">
        <v>182</v>
      </c>
      <c r="U9" s="203"/>
      <c r="V9" s="206">
        <v>0.2</v>
      </c>
      <c r="AB9" s="156" t="s">
        <v>147</v>
      </c>
      <c r="AC9" s="273">
        <f>(AC3*AD3+AC4*AD4+AC5*AD5+AC6*AD6+AC7*AD7)</f>
        <v>0</v>
      </c>
      <c r="AD9" s="275"/>
    </row>
    <row r="10" spans="1:36" ht="15" thickBot="1" x14ac:dyDescent="0.35">
      <c r="A10" s="141" t="s">
        <v>107</v>
      </c>
      <c r="B10" s="250"/>
      <c r="C10" s="250"/>
      <c r="D10" s="250"/>
      <c r="E10" s="142"/>
      <c r="F10" s="250"/>
      <c r="G10" s="250"/>
      <c r="H10" s="250"/>
      <c r="I10" s="183" t="s">
        <v>120</v>
      </c>
      <c r="J10" s="164"/>
      <c r="K10" s="256" t="s">
        <v>93</v>
      </c>
      <c r="L10" s="153"/>
      <c r="M10" s="143"/>
      <c r="N10" s="165"/>
      <c r="P10" s="264" t="s">
        <v>197</v>
      </c>
      <c r="Q10" s="265"/>
      <c r="R10" s="266"/>
      <c r="T10" s="181" t="s">
        <v>126</v>
      </c>
      <c r="U10" s="204"/>
      <c r="V10" s="200">
        <v>0.3</v>
      </c>
    </row>
    <row r="11" spans="1:36" ht="15" customHeight="1" thickBot="1" x14ac:dyDescent="0.35">
      <c r="A11" s="183" t="s">
        <v>108</v>
      </c>
      <c r="B11" s="249"/>
      <c r="C11" s="284" t="s">
        <v>168</v>
      </c>
      <c r="D11" s="249"/>
      <c r="E11" s="166" t="s">
        <v>167</v>
      </c>
      <c r="F11" s="249"/>
      <c r="G11" s="249"/>
      <c r="H11" s="249"/>
      <c r="I11" s="167" t="s">
        <v>121</v>
      </c>
      <c r="K11" s="258"/>
      <c r="L11" s="145"/>
      <c r="M11" s="143"/>
      <c r="N11" s="138"/>
      <c r="P11" s="267" t="s">
        <v>196</v>
      </c>
      <c r="Q11" s="268"/>
      <c r="R11" s="269"/>
      <c r="T11" s="173" t="s">
        <v>45</v>
      </c>
      <c r="U11" s="163"/>
      <c r="V11" s="147">
        <v>0.3</v>
      </c>
      <c r="X11" s="302" t="s">
        <v>205</v>
      </c>
      <c r="Y11" s="303"/>
      <c r="AB11" s="304" t="s">
        <v>198</v>
      </c>
      <c r="AC11" s="305"/>
      <c r="AD11" s="306"/>
      <c r="AE11" s="215"/>
      <c r="AF11" s="215"/>
      <c r="AG11" s="215"/>
      <c r="AH11" s="215"/>
      <c r="AI11" s="215"/>
      <c r="AJ11" s="215"/>
    </row>
    <row r="12" spans="1:36" ht="15" thickBot="1" x14ac:dyDescent="0.35">
      <c r="A12" s="141" t="s">
        <v>109</v>
      </c>
      <c r="B12" s="250"/>
      <c r="C12" s="285"/>
      <c r="D12" s="250"/>
      <c r="E12" s="220"/>
      <c r="F12" s="250"/>
      <c r="G12" s="250"/>
      <c r="H12" s="250"/>
      <c r="I12" s="136" t="s">
        <v>122</v>
      </c>
      <c r="K12" s="256" t="s">
        <v>94</v>
      </c>
      <c r="L12" s="153"/>
      <c r="M12" s="143"/>
      <c r="N12" s="138"/>
      <c r="T12" s="273" t="s">
        <v>179</v>
      </c>
      <c r="U12" s="274"/>
      <c r="V12" s="275"/>
      <c r="X12" s="235" t="s">
        <v>193</v>
      </c>
      <c r="Y12" s="236">
        <v>45427</v>
      </c>
      <c r="AB12" s="307" t="s">
        <v>200</v>
      </c>
      <c r="AC12" s="308"/>
      <c r="AD12" s="309"/>
    </row>
    <row r="13" spans="1:36" ht="15" thickBot="1" x14ac:dyDescent="0.35">
      <c r="A13" s="183" t="s">
        <v>110</v>
      </c>
      <c r="B13" s="135"/>
      <c r="C13" s="160"/>
      <c r="D13" s="151"/>
      <c r="E13" s="135"/>
      <c r="F13" s="135"/>
      <c r="G13" s="135"/>
      <c r="H13" s="135"/>
      <c r="I13" s="141" t="s">
        <v>124</v>
      </c>
      <c r="K13" s="257"/>
      <c r="L13" s="159"/>
      <c r="M13" s="143"/>
      <c r="N13" s="138"/>
      <c r="P13" s="264" t="s">
        <v>189</v>
      </c>
      <c r="Q13" s="265"/>
      <c r="R13" s="266"/>
      <c r="T13" s="156" t="s">
        <v>147</v>
      </c>
      <c r="U13" s="273">
        <f>(U8*V8 + U9*V9+ U10*V10 + U11*V11)</f>
        <v>0</v>
      </c>
      <c r="V13" s="275"/>
      <c r="X13" s="237"/>
      <c r="Y13" s="238"/>
      <c r="AB13" s="267" t="s">
        <v>199</v>
      </c>
      <c r="AC13" s="268"/>
      <c r="AD13" s="269"/>
    </row>
    <row r="14" spans="1:36" ht="15" customHeight="1" thickBot="1" x14ac:dyDescent="0.35">
      <c r="A14" s="141" t="s">
        <v>111</v>
      </c>
      <c r="B14" s="142"/>
      <c r="C14" s="157"/>
      <c r="D14" s="158"/>
      <c r="E14" s="142"/>
      <c r="F14" s="142"/>
      <c r="G14" s="142"/>
      <c r="H14" s="142"/>
      <c r="I14" s="173" t="s">
        <v>123</v>
      </c>
      <c r="K14" s="258"/>
      <c r="L14" s="224"/>
      <c r="M14" s="143"/>
      <c r="N14" s="138"/>
      <c r="P14" s="267" t="s">
        <v>203</v>
      </c>
      <c r="Q14" s="268"/>
      <c r="R14" s="269"/>
      <c r="X14" s="237"/>
      <c r="Y14" s="238"/>
    </row>
    <row r="15" spans="1:36" ht="15" thickBot="1" x14ac:dyDescent="0.35">
      <c r="K15" s="256" t="s">
        <v>95</v>
      </c>
      <c r="L15" s="153"/>
      <c r="M15" s="143"/>
      <c r="N15" s="138"/>
      <c r="X15" s="239"/>
      <c r="Y15" s="240"/>
      <c r="AB15" s="264" t="s">
        <v>201</v>
      </c>
      <c r="AC15" s="265"/>
      <c r="AD15" s="266"/>
      <c r="AE15" s="216"/>
      <c r="AF15" s="216"/>
      <c r="AG15" s="216"/>
    </row>
    <row r="16" spans="1:36" ht="15.6" customHeight="1" thickBot="1" x14ac:dyDescent="0.35">
      <c r="A16" s="190" t="s">
        <v>99</v>
      </c>
      <c r="B16" s="251" t="s">
        <v>214</v>
      </c>
      <c r="C16" s="252"/>
      <c r="D16" s="246"/>
      <c r="E16" s="245"/>
      <c r="F16" s="123" t="s">
        <v>174</v>
      </c>
      <c r="G16" s="196"/>
      <c r="K16" s="257"/>
      <c r="L16" s="159" t="s">
        <v>67</v>
      </c>
      <c r="M16" s="143"/>
      <c r="N16" s="138"/>
      <c r="P16" s="302" t="s">
        <v>205</v>
      </c>
      <c r="Q16" s="303"/>
      <c r="AB16" s="267" t="s">
        <v>202</v>
      </c>
      <c r="AC16" s="268"/>
      <c r="AD16" s="269"/>
      <c r="AE16" s="217"/>
      <c r="AF16" s="217"/>
      <c r="AG16" s="217"/>
    </row>
    <row r="17" spans="1:29" ht="15.6" customHeight="1" thickBot="1" x14ac:dyDescent="0.35">
      <c r="A17" s="174" t="s">
        <v>164</v>
      </c>
      <c r="B17" s="125"/>
      <c r="C17" s="126"/>
      <c r="D17" s="127"/>
      <c r="E17" s="126"/>
      <c r="F17" s="126"/>
      <c r="G17" s="221"/>
      <c r="K17" s="258"/>
      <c r="L17" s="224" t="s">
        <v>67</v>
      </c>
      <c r="M17" s="175"/>
      <c r="N17" s="176"/>
      <c r="P17" s="241" t="s">
        <v>207</v>
      </c>
      <c r="Q17" s="242"/>
    </row>
    <row r="18" spans="1:29" ht="15" thickBot="1" x14ac:dyDescent="0.35">
      <c r="A18" s="191" t="s">
        <v>72</v>
      </c>
      <c r="B18" s="251" t="s">
        <v>211</v>
      </c>
      <c r="C18" s="252"/>
      <c r="D18" s="128"/>
      <c r="E18" s="129"/>
      <c r="F18" s="129"/>
      <c r="G18" s="221"/>
      <c r="K18" s="256" t="s">
        <v>96</v>
      </c>
      <c r="L18" s="153" t="s">
        <v>77</v>
      </c>
      <c r="M18" s="143"/>
      <c r="N18" s="138"/>
      <c r="AB18" s="302" t="s">
        <v>205</v>
      </c>
      <c r="AC18" s="303"/>
    </row>
    <row r="19" spans="1:29" ht="15" thickBot="1" x14ac:dyDescent="0.35">
      <c r="A19" s="177" t="s">
        <v>73</v>
      </c>
      <c r="B19" s="251" t="s">
        <v>208</v>
      </c>
      <c r="C19" s="252"/>
      <c r="D19" s="246"/>
      <c r="E19" s="245"/>
      <c r="F19" s="123"/>
      <c r="G19" s="221"/>
      <c r="K19" s="257"/>
      <c r="L19" s="159" t="s">
        <v>77</v>
      </c>
      <c r="M19" s="143"/>
      <c r="N19" s="138"/>
      <c r="P19" s="253" t="s">
        <v>158</v>
      </c>
      <c r="Q19" s="254"/>
      <c r="R19" s="254"/>
      <c r="S19" s="254"/>
      <c r="T19" s="255"/>
      <c r="AB19" s="235" t="s">
        <v>184</v>
      </c>
      <c r="AC19" s="244">
        <v>45427</v>
      </c>
    </row>
    <row r="20" spans="1:29" ht="15" thickBot="1" x14ac:dyDescent="0.35">
      <c r="A20" s="178" t="s">
        <v>36</v>
      </c>
      <c r="B20" s="251" t="s">
        <v>213</v>
      </c>
      <c r="C20" s="252"/>
      <c r="D20" s="124"/>
      <c r="E20" s="123"/>
      <c r="F20" s="123"/>
      <c r="G20" s="222"/>
      <c r="K20" s="258"/>
      <c r="L20" s="224" t="s">
        <v>67</v>
      </c>
      <c r="M20" s="175"/>
      <c r="N20" s="176"/>
      <c r="P20" s="231" t="s">
        <v>139</v>
      </c>
      <c r="Q20" s="261">
        <v>16</v>
      </c>
      <c r="R20" s="262"/>
      <c r="S20" s="262"/>
      <c r="T20" s="263"/>
      <c r="AB20" s="237" t="s">
        <v>180</v>
      </c>
      <c r="AC20" s="243">
        <v>45394</v>
      </c>
    </row>
    <row r="21" spans="1:29" ht="15" thickBot="1" x14ac:dyDescent="0.35">
      <c r="A21" s="179" t="s">
        <v>84</v>
      </c>
      <c r="B21" s="247"/>
      <c r="C21" s="247"/>
      <c r="D21" s="247"/>
      <c r="E21" s="247"/>
      <c r="F21" s="248"/>
      <c r="G21" s="223"/>
      <c r="P21" s="300" t="s">
        <v>206</v>
      </c>
      <c r="Q21" s="232" t="s">
        <v>160</v>
      </c>
      <c r="R21" s="233" t="s">
        <v>161</v>
      </c>
      <c r="S21" s="310" t="s">
        <v>162</v>
      </c>
      <c r="T21" s="311"/>
      <c r="AB21" s="237" t="s">
        <v>185</v>
      </c>
      <c r="AC21" s="243">
        <v>45448</v>
      </c>
    </row>
    <row r="22" spans="1:29" ht="15" thickBot="1" x14ac:dyDescent="0.35">
      <c r="P22" s="301"/>
      <c r="Q22" s="234">
        <v>20</v>
      </c>
      <c r="R22" s="230">
        <v>17</v>
      </c>
      <c r="S22" s="259">
        <v>20</v>
      </c>
      <c r="T22" s="260"/>
      <c r="AB22" s="239" t="s">
        <v>209</v>
      </c>
      <c r="AC22" s="240" t="s">
        <v>210</v>
      </c>
    </row>
    <row r="23" spans="1:29" ht="15" thickBot="1" x14ac:dyDescent="0.35">
      <c r="P23" s="231" t="s">
        <v>212</v>
      </c>
      <c r="Q23" s="253">
        <v>0</v>
      </c>
      <c r="R23" s="254"/>
      <c r="S23" s="254"/>
      <c r="T23" s="255"/>
    </row>
    <row r="25" spans="1:29" x14ac:dyDescent="0.3">
      <c r="G25" s="195"/>
      <c r="H25" s="130" t="s">
        <v>175</v>
      </c>
    </row>
    <row r="26" spans="1:29" x14ac:dyDescent="0.3">
      <c r="G26" s="193"/>
      <c r="H26" s="180" t="s">
        <v>177</v>
      </c>
    </row>
    <row r="27" spans="1:29" x14ac:dyDescent="0.3">
      <c r="G27" s="194"/>
      <c r="H27" s="130" t="s">
        <v>176</v>
      </c>
    </row>
    <row r="28" spans="1:29" x14ac:dyDescent="0.3">
      <c r="G28" s="197"/>
      <c r="H28" s="130" t="s">
        <v>178</v>
      </c>
    </row>
  </sheetData>
  <mergeCells count="65">
    <mergeCell ref="X11:Y11"/>
    <mergeCell ref="T12:V12"/>
    <mergeCell ref="S21:T21"/>
    <mergeCell ref="P21:P22"/>
    <mergeCell ref="P16:Q16"/>
    <mergeCell ref="P11:R11"/>
    <mergeCell ref="AB18:AC18"/>
    <mergeCell ref="AB11:AD11"/>
    <mergeCell ref="AB12:AD12"/>
    <mergeCell ref="AB13:AD13"/>
    <mergeCell ref="AB16:AD16"/>
    <mergeCell ref="AB15:AD15"/>
    <mergeCell ref="AC9:AD9"/>
    <mergeCell ref="F3:F4"/>
    <mergeCell ref="C3:C4"/>
    <mergeCell ref="C5:C6"/>
    <mergeCell ref="U5:V5"/>
    <mergeCell ref="T7:V7"/>
    <mergeCell ref="H9:H10"/>
    <mergeCell ref="H5:H6"/>
    <mergeCell ref="G5:G6"/>
    <mergeCell ref="G9:G10"/>
    <mergeCell ref="P10:R10"/>
    <mergeCell ref="K3:K6"/>
    <mergeCell ref="K8:K9"/>
    <mergeCell ref="F9:F10"/>
    <mergeCell ref="F5:F6"/>
    <mergeCell ref="K10:K11"/>
    <mergeCell ref="X2:Z2"/>
    <mergeCell ref="X7:Z7"/>
    <mergeCell ref="T2:V2"/>
    <mergeCell ref="B19:C19"/>
    <mergeCell ref="M2:N2"/>
    <mergeCell ref="Q8:R8"/>
    <mergeCell ref="P6:R6"/>
    <mergeCell ref="Q7:R7"/>
    <mergeCell ref="K2:L2"/>
    <mergeCell ref="P2:R2"/>
    <mergeCell ref="C11:C12"/>
    <mergeCell ref="D3:D4"/>
    <mergeCell ref="D5:D6"/>
    <mergeCell ref="U13:V13"/>
    <mergeCell ref="E5:E6"/>
    <mergeCell ref="E8:E9"/>
    <mergeCell ref="B5:B6"/>
    <mergeCell ref="B9:B10"/>
    <mergeCell ref="B11:B12"/>
    <mergeCell ref="D9:D10"/>
    <mergeCell ref="D11:D12"/>
    <mergeCell ref="C9:C10"/>
    <mergeCell ref="F11:F12"/>
    <mergeCell ref="B18:C18"/>
    <mergeCell ref="Q23:T23"/>
    <mergeCell ref="B20:C20"/>
    <mergeCell ref="B16:C16"/>
    <mergeCell ref="K12:K14"/>
    <mergeCell ref="H11:H12"/>
    <mergeCell ref="G11:G12"/>
    <mergeCell ref="K15:K17"/>
    <mergeCell ref="K18:K20"/>
    <mergeCell ref="S22:T22"/>
    <mergeCell ref="Q20:T20"/>
    <mergeCell ref="P19:T19"/>
    <mergeCell ref="P13:R13"/>
    <mergeCell ref="P14:R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A766-224E-4EF8-A6BB-32A3CEEA2D41}">
  <dimension ref="A1:T37"/>
  <sheetViews>
    <sheetView zoomScaleNormal="100" workbookViewId="0">
      <selection activeCell="B36" sqref="B36"/>
    </sheetView>
  </sheetViews>
  <sheetFormatPr defaultRowHeight="14.4" x14ac:dyDescent="0.3"/>
  <cols>
    <col min="1" max="1" width="7" bestFit="1" customWidth="1"/>
    <col min="2" max="2" width="52.88671875" bestFit="1" customWidth="1"/>
    <col min="3" max="3" width="13.44140625" bestFit="1" customWidth="1"/>
    <col min="4" max="4" width="5.109375" bestFit="1" customWidth="1"/>
    <col min="5" max="5" width="56.33203125" customWidth="1"/>
    <col min="6" max="6" width="7.6640625" customWidth="1"/>
    <col min="7" max="7" width="10.44140625" customWidth="1"/>
    <col min="10" max="10" width="52.88671875" style="19" bestFit="1" customWidth="1"/>
    <col min="11" max="11" width="12" bestFit="1" customWidth="1"/>
    <col min="12" max="13" width="29" bestFit="1" customWidth="1"/>
    <col min="14" max="14" width="7.88671875" customWidth="1"/>
    <col min="15" max="15" width="8.109375" customWidth="1"/>
    <col min="16" max="16" width="38.6640625" customWidth="1"/>
    <col min="17" max="18" width="9.109375" customWidth="1"/>
    <col min="19" max="19" width="23.44140625" customWidth="1"/>
  </cols>
  <sheetData>
    <row r="1" spans="1:10" ht="15" thickBot="1" x14ac:dyDescent="0.35"/>
    <row r="2" spans="1:10" ht="15" thickBot="1" x14ac:dyDescent="0.35">
      <c r="A2" s="4"/>
      <c r="B2" s="31" t="s">
        <v>0</v>
      </c>
      <c r="C2" s="13" t="s">
        <v>8</v>
      </c>
      <c r="D2" s="14" t="s">
        <v>1</v>
      </c>
      <c r="E2" s="4"/>
      <c r="F2" s="4"/>
      <c r="G2" s="4"/>
    </row>
    <row r="3" spans="1:10" x14ac:dyDescent="0.3">
      <c r="A3" s="320" t="s">
        <v>19</v>
      </c>
      <c r="B3" s="32" t="s">
        <v>2</v>
      </c>
      <c r="C3" s="39">
        <v>10</v>
      </c>
      <c r="D3" s="15">
        <v>6</v>
      </c>
      <c r="E3" s="312">
        <f>AVERAGE(C3:C7)</f>
        <v>11.25</v>
      </c>
      <c r="F3" s="315">
        <f t="array" ref="F3">SUMPRODUCT(IF(C3:C12&lt;&gt;"",C3:C12*D3:D12,0))/SUM(IF(C3:C12&lt;&gt;"", D3:D12,0))</f>
        <v>11.888888888888889</v>
      </c>
      <c r="G3" s="315">
        <f t="array" ref="G3">ROUND(SUMPRODUCT(IF(C3:C32&lt;&gt;"",C3:C32*D3:D32,0))/SUM(IF(C3:C32&lt;&gt;"", D3:D32,0)),2)</f>
        <v>11.83</v>
      </c>
    </row>
    <row r="4" spans="1:10" x14ac:dyDescent="0.3">
      <c r="A4" s="263"/>
      <c r="B4" s="33" t="s">
        <v>7</v>
      </c>
      <c r="C4" s="30">
        <v>12</v>
      </c>
      <c r="D4" s="16">
        <v>6</v>
      </c>
      <c r="E4" s="313"/>
      <c r="F4" s="262"/>
      <c r="G4" s="262"/>
    </row>
    <row r="5" spans="1:10" x14ac:dyDescent="0.3">
      <c r="A5" s="263"/>
      <c r="B5" s="33" t="s">
        <v>6</v>
      </c>
      <c r="C5" s="40"/>
      <c r="D5" s="16">
        <v>6</v>
      </c>
      <c r="E5" s="313"/>
      <c r="F5" s="262"/>
      <c r="G5" s="262"/>
    </row>
    <row r="6" spans="1:10" x14ac:dyDescent="0.3">
      <c r="A6" s="263"/>
      <c r="B6" s="34" t="s">
        <v>5</v>
      </c>
      <c r="C6" s="26">
        <v>10</v>
      </c>
      <c r="D6" s="16">
        <v>6</v>
      </c>
      <c r="E6" s="313"/>
      <c r="F6" s="262"/>
      <c r="G6" s="262"/>
    </row>
    <row r="7" spans="1:10" ht="15" thickBot="1" x14ac:dyDescent="0.35">
      <c r="A7" s="263"/>
      <c r="B7" s="47" t="s">
        <v>64</v>
      </c>
      <c r="C7" s="41">
        <v>13</v>
      </c>
      <c r="D7" s="17">
        <v>6</v>
      </c>
      <c r="E7" s="314"/>
      <c r="F7" s="262"/>
      <c r="G7" s="262"/>
    </row>
    <row r="8" spans="1:10" x14ac:dyDescent="0.3">
      <c r="A8" s="263"/>
      <c r="B8" s="63" t="s">
        <v>3</v>
      </c>
      <c r="C8" s="66">
        <v>10</v>
      </c>
      <c r="D8" s="67">
        <v>6</v>
      </c>
      <c r="E8" s="312">
        <f>AVERAGE(C8:C12)</f>
        <v>12.4</v>
      </c>
      <c r="F8" s="262"/>
      <c r="G8" s="262"/>
    </row>
    <row r="9" spans="1:10" x14ac:dyDescent="0.3">
      <c r="A9" s="263"/>
      <c r="B9" s="64" t="s">
        <v>4</v>
      </c>
      <c r="C9" s="68">
        <v>11</v>
      </c>
      <c r="D9" s="69">
        <v>6</v>
      </c>
      <c r="E9" s="313"/>
      <c r="F9" s="262"/>
      <c r="G9" s="262"/>
    </row>
    <row r="10" spans="1:10" x14ac:dyDescent="0.3">
      <c r="A10" s="263"/>
      <c r="B10" s="64" t="s">
        <v>9</v>
      </c>
      <c r="C10" s="68">
        <v>13</v>
      </c>
      <c r="D10" s="69">
        <v>6</v>
      </c>
      <c r="E10" s="313"/>
      <c r="F10" s="262"/>
      <c r="G10" s="262"/>
    </row>
    <row r="11" spans="1:10" x14ac:dyDescent="0.3">
      <c r="A11" s="263"/>
      <c r="B11" s="64" t="s">
        <v>14</v>
      </c>
      <c r="C11" s="68">
        <v>16</v>
      </c>
      <c r="D11" s="69">
        <v>6</v>
      </c>
      <c r="E11" s="313"/>
      <c r="F11" s="262"/>
      <c r="G11" s="262"/>
    </row>
    <row r="12" spans="1:10" ht="15" thickBot="1" x14ac:dyDescent="0.35">
      <c r="A12" s="321"/>
      <c r="B12" s="65" t="s">
        <v>10</v>
      </c>
      <c r="C12" s="70">
        <v>12</v>
      </c>
      <c r="D12" s="71">
        <v>6</v>
      </c>
      <c r="E12" s="314"/>
      <c r="F12" s="316"/>
      <c r="G12" s="262"/>
    </row>
    <row r="13" spans="1:10" x14ac:dyDescent="0.3">
      <c r="A13" s="322" t="s">
        <v>20</v>
      </c>
      <c r="B13" s="32" t="s">
        <v>11</v>
      </c>
      <c r="C13" s="39">
        <v>10</v>
      </c>
      <c r="D13" s="15">
        <v>6</v>
      </c>
      <c r="E13" s="312">
        <f>AVERAGE(C13:C17)</f>
        <v>11.75</v>
      </c>
      <c r="F13" s="315">
        <f t="array" ref="F13">SUMPRODUCT(IF(C13:C22&lt;&gt;"",C13:C22*D13:D22,0))/SUM(IF(C13:C22&lt;&gt;"", D13:D22,0))</f>
        <v>11.875</v>
      </c>
      <c r="G13" s="262"/>
    </row>
    <row r="14" spans="1:10" ht="15" thickBot="1" x14ac:dyDescent="0.35">
      <c r="A14" s="323"/>
      <c r="B14" s="33" t="s">
        <v>12</v>
      </c>
      <c r="C14" s="30">
        <v>13</v>
      </c>
      <c r="D14" s="16">
        <v>6</v>
      </c>
      <c r="E14" s="313"/>
      <c r="F14" s="262"/>
      <c r="G14" s="262"/>
    </row>
    <row r="15" spans="1:10" ht="15" thickBot="1" x14ac:dyDescent="0.35">
      <c r="A15" s="323"/>
      <c r="B15" s="33" t="s">
        <v>24</v>
      </c>
      <c r="C15" s="30">
        <v>13</v>
      </c>
      <c r="D15" s="16">
        <v>6</v>
      </c>
      <c r="E15" s="313"/>
      <c r="F15" s="262"/>
      <c r="G15" s="262"/>
      <c r="J15" s="61" t="s">
        <v>66</v>
      </c>
    </row>
    <row r="16" spans="1:10" x14ac:dyDescent="0.3">
      <c r="A16" s="323"/>
      <c r="B16" s="33" t="s">
        <v>13</v>
      </c>
      <c r="C16" s="40"/>
      <c r="D16" s="16">
        <v>6</v>
      </c>
      <c r="E16" s="313"/>
      <c r="F16" s="262"/>
      <c r="G16" s="262"/>
    </row>
    <row r="17" spans="1:20" ht="15" thickBot="1" x14ac:dyDescent="0.35">
      <c r="A17" s="323"/>
      <c r="B17" s="34" t="s">
        <v>40</v>
      </c>
      <c r="C17" s="42">
        <v>11</v>
      </c>
      <c r="D17" s="17">
        <v>6</v>
      </c>
      <c r="E17" s="314"/>
      <c r="F17" s="262"/>
      <c r="G17" s="262"/>
    </row>
    <row r="18" spans="1:20" x14ac:dyDescent="0.3">
      <c r="A18" s="323"/>
      <c r="B18" s="35" t="s">
        <v>15</v>
      </c>
      <c r="C18" s="43">
        <v>12</v>
      </c>
      <c r="D18" s="15">
        <v>6</v>
      </c>
      <c r="E18" s="312">
        <f>AVERAGE(C18:C22)</f>
        <v>12</v>
      </c>
      <c r="F18" s="262"/>
      <c r="G18" s="262"/>
    </row>
    <row r="19" spans="1:20" x14ac:dyDescent="0.3">
      <c r="A19" s="323"/>
      <c r="B19" s="36" t="s">
        <v>17</v>
      </c>
      <c r="C19" s="30">
        <v>12</v>
      </c>
      <c r="D19" s="16">
        <v>6</v>
      </c>
      <c r="E19" s="313"/>
      <c r="F19" s="262"/>
      <c r="G19" s="262"/>
    </row>
    <row r="20" spans="1:20" x14ac:dyDescent="0.3">
      <c r="A20" s="323"/>
      <c r="B20" s="36" t="s">
        <v>25</v>
      </c>
      <c r="C20" s="30">
        <v>12</v>
      </c>
      <c r="D20" s="16">
        <v>6</v>
      </c>
      <c r="E20" s="313"/>
      <c r="F20" s="262"/>
      <c r="G20" s="262"/>
    </row>
    <row r="21" spans="1:20" ht="15" thickBot="1" x14ac:dyDescent="0.35">
      <c r="A21" s="323"/>
      <c r="B21" s="36" t="s">
        <v>16</v>
      </c>
      <c r="C21" s="40"/>
      <c r="D21" s="16">
        <v>6</v>
      </c>
      <c r="E21" s="313"/>
      <c r="F21" s="262"/>
      <c r="G21" s="262"/>
    </row>
    <row r="22" spans="1:20" ht="15" thickBot="1" x14ac:dyDescent="0.35">
      <c r="A22" s="324"/>
      <c r="B22" s="48" t="s">
        <v>18</v>
      </c>
      <c r="C22" s="44">
        <v>12</v>
      </c>
      <c r="D22" s="17">
        <v>6</v>
      </c>
      <c r="E22" s="314"/>
      <c r="F22" s="316"/>
      <c r="G22" s="262"/>
      <c r="J22" s="55" t="s">
        <v>74</v>
      </c>
    </row>
    <row r="23" spans="1:20" x14ac:dyDescent="0.3">
      <c r="A23" s="325" t="s">
        <v>29</v>
      </c>
      <c r="B23" s="32" t="s">
        <v>30</v>
      </c>
      <c r="C23" s="45"/>
      <c r="D23" s="15">
        <v>6</v>
      </c>
      <c r="E23" s="312">
        <f>AVERAGE(C23:C27)</f>
        <v>5.5</v>
      </c>
      <c r="F23" s="315">
        <f t="array" ref="F23">SUMPRODUCT(IF(C23:C32&lt;&gt;"",C23:C32*D23:D32,0))/SUM(IF(C23:C32&lt;&gt;"", D23:D32,0))</f>
        <v>11</v>
      </c>
      <c r="G23" s="262"/>
      <c r="J23" s="57" t="s">
        <v>68</v>
      </c>
      <c r="L23" t="s">
        <v>88</v>
      </c>
      <c r="S23" s="62"/>
      <c r="T23" s="62"/>
    </row>
    <row r="24" spans="1:20" x14ac:dyDescent="0.3">
      <c r="A24" s="326"/>
      <c r="B24" s="33" t="s">
        <v>31</v>
      </c>
      <c r="C24" s="40"/>
      <c r="D24" s="16">
        <v>6</v>
      </c>
      <c r="E24" s="313"/>
      <c r="F24" s="262"/>
      <c r="G24" s="262"/>
      <c r="J24" s="57" t="s">
        <v>76</v>
      </c>
      <c r="L24" t="s">
        <v>89</v>
      </c>
      <c r="O24" s="19"/>
      <c r="R24" s="19"/>
      <c r="S24" s="62"/>
      <c r="T24" s="62"/>
    </row>
    <row r="25" spans="1:20" x14ac:dyDescent="0.3">
      <c r="A25" s="326"/>
      <c r="B25" s="33" t="s">
        <v>32</v>
      </c>
      <c r="C25" s="40"/>
      <c r="D25" s="16">
        <v>6</v>
      </c>
      <c r="E25" s="313"/>
      <c r="F25" s="262"/>
      <c r="G25" s="262"/>
      <c r="J25" s="57" t="s">
        <v>69</v>
      </c>
      <c r="L25" t="s">
        <v>80</v>
      </c>
      <c r="O25" s="19"/>
      <c r="R25" s="19"/>
      <c r="S25" s="62"/>
      <c r="T25" s="62"/>
    </row>
    <row r="26" spans="1:20" x14ac:dyDescent="0.3">
      <c r="A26" s="326"/>
      <c r="B26" s="33" t="s">
        <v>33</v>
      </c>
      <c r="C26" s="30">
        <v>11</v>
      </c>
      <c r="D26" s="16">
        <v>6</v>
      </c>
      <c r="E26" s="313"/>
      <c r="F26" s="262"/>
      <c r="G26" s="262"/>
      <c r="J26" s="57" t="s">
        <v>71</v>
      </c>
      <c r="K26" t="s">
        <v>78</v>
      </c>
      <c r="O26" s="19"/>
      <c r="R26" s="19"/>
      <c r="S26" s="62"/>
      <c r="T26" s="62"/>
    </row>
    <row r="27" spans="1:20" ht="15" thickBot="1" x14ac:dyDescent="0.35">
      <c r="A27" s="326"/>
      <c r="B27" s="53" t="s">
        <v>38</v>
      </c>
      <c r="C27" s="51">
        <f>SUM(C32)</f>
        <v>0</v>
      </c>
      <c r="D27" s="52"/>
      <c r="E27" s="314"/>
      <c r="F27" s="262"/>
      <c r="G27" s="262"/>
      <c r="J27" s="54" t="s">
        <v>70</v>
      </c>
      <c r="K27" t="s">
        <v>79</v>
      </c>
      <c r="L27" t="s">
        <v>82</v>
      </c>
      <c r="O27" s="19"/>
      <c r="R27" s="19"/>
      <c r="S27" s="62"/>
      <c r="T27" s="62"/>
    </row>
    <row r="28" spans="1:20" ht="15" thickBot="1" x14ac:dyDescent="0.35">
      <c r="A28" s="326"/>
      <c r="B28" s="38" t="s">
        <v>34</v>
      </c>
      <c r="C28" s="46"/>
      <c r="D28" s="18">
        <v>6</v>
      </c>
      <c r="E28" s="312" t="e">
        <f>AVERAGE(C28:C32)</f>
        <v>#DIV/0!</v>
      </c>
      <c r="F28" s="262"/>
      <c r="G28" s="262"/>
      <c r="J28" s="56" t="s">
        <v>67</v>
      </c>
      <c r="L28" t="s">
        <v>83</v>
      </c>
      <c r="O28" s="19"/>
      <c r="R28" s="19"/>
      <c r="S28" s="62"/>
      <c r="T28" s="62"/>
    </row>
    <row r="29" spans="1:20" ht="15" thickBot="1" x14ac:dyDescent="0.35">
      <c r="A29" s="326"/>
      <c r="B29" s="36" t="s">
        <v>35</v>
      </c>
      <c r="C29" s="40"/>
      <c r="D29" s="16">
        <v>6</v>
      </c>
      <c r="E29" s="313"/>
      <c r="F29" s="262"/>
      <c r="G29" s="262"/>
      <c r="O29" s="19"/>
      <c r="R29" s="19"/>
      <c r="S29" s="62"/>
      <c r="T29" s="62"/>
    </row>
    <row r="30" spans="1:20" x14ac:dyDescent="0.3">
      <c r="A30" s="326"/>
      <c r="B30" s="36" t="s">
        <v>36</v>
      </c>
      <c r="C30" s="40"/>
      <c r="D30" s="16">
        <v>6</v>
      </c>
      <c r="E30" s="313"/>
      <c r="F30" s="262"/>
      <c r="G30" s="262"/>
      <c r="J30" s="55" t="s">
        <v>75</v>
      </c>
      <c r="S30" s="62"/>
      <c r="T30" s="62"/>
    </row>
    <row r="31" spans="1:20" x14ac:dyDescent="0.3">
      <c r="A31" s="326"/>
      <c r="B31" s="36" t="s">
        <v>37</v>
      </c>
      <c r="C31" s="40"/>
      <c r="D31" s="16">
        <v>6</v>
      </c>
      <c r="E31" s="313"/>
      <c r="F31" s="262"/>
      <c r="G31" s="262"/>
      <c r="J31" s="57" t="s">
        <v>72</v>
      </c>
      <c r="K31" t="s">
        <v>81</v>
      </c>
      <c r="L31" t="s">
        <v>86</v>
      </c>
      <c r="S31" s="62"/>
      <c r="T31" s="62"/>
    </row>
    <row r="32" spans="1:20" ht="15" thickBot="1" x14ac:dyDescent="0.35">
      <c r="A32" s="327"/>
      <c r="B32" s="37" t="s">
        <v>38</v>
      </c>
      <c r="C32" s="50"/>
      <c r="D32" s="49">
        <v>12</v>
      </c>
      <c r="E32" s="314"/>
      <c r="F32" s="316"/>
      <c r="G32" s="316"/>
      <c r="J32" s="58" t="s">
        <v>84</v>
      </c>
      <c r="S32" s="62"/>
      <c r="T32" s="62"/>
    </row>
    <row r="33" spans="1:20" x14ac:dyDescent="0.3">
      <c r="J33" s="59" t="s">
        <v>73</v>
      </c>
      <c r="K33" t="s">
        <v>79</v>
      </c>
      <c r="S33" s="19"/>
      <c r="T33" s="62"/>
    </row>
    <row r="34" spans="1:20" x14ac:dyDescent="0.3">
      <c r="J34" s="60" t="s">
        <v>77</v>
      </c>
      <c r="K34" t="s">
        <v>85</v>
      </c>
    </row>
    <row r="35" spans="1:20" x14ac:dyDescent="0.3">
      <c r="J35" s="57" t="s">
        <v>87</v>
      </c>
      <c r="K35" t="s">
        <v>79</v>
      </c>
    </row>
    <row r="36" spans="1:20" ht="15" thickBot="1" x14ac:dyDescent="0.35">
      <c r="D36" t="s">
        <v>1</v>
      </c>
      <c r="J36" s="56" t="s">
        <v>67</v>
      </c>
    </row>
    <row r="37" spans="1:20" ht="15" thickBot="1" x14ac:dyDescent="0.35">
      <c r="A37" s="317" t="s">
        <v>65</v>
      </c>
      <c r="B37" s="318"/>
      <c r="C37" s="319"/>
      <c r="D37">
        <v>12</v>
      </c>
    </row>
  </sheetData>
  <mergeCells count="14">
    <mergeCell ref="E23:E27"/>
    <mergeCell ref="E28:E32"/>
    <mergeCell ref="F23:F32"/>
    <mergeCell ref="A37:C37"/>
    <mergeCell ref="G3:G32"/>
    <mergeCell ref="A3:A12"/>
    <mergeCell ref="A13:A22"/>
    <mergeCell ref="E3:E7"/>
    <mergeCell ref="E8:E12"/>
    <mergeCell ref="E13:E17"/>
    <mergeCell ref="E18:E22"/>
    <mergeCell ref="F13:F22"/>
    <mergeCell ref="A23:A32"/>
    <mergeCell ref="F3:F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DA8-F32B-454D-9B80-5F67A4560FEE}">
  <dimension ref="A1:V48"/>
  <sheetViews>
    <sheetView zoomScale="85" zoomScaleNormal="85" workbookViewId="0">
      <selection activeCell="E10" sqref="E10"/>
    </sheetView>
  </sheetViews>
  <sheetFormatPr defaultRowHeight="14.4" x14ac:dyDescent="0.3"/>
  <cols>
    <col min="2" max="3" width="10" customWidth="1"/>
    <col min="4" max="4" width="8.6640625" customWidth="1"/>
    <col min="5" max="5" width="15.88671875" customWidth="1"/>
    <col min="6" max="6" width="12.5546875" bestFit="1" customWidth="1"/>
    <col min="8" max="8" width="5.77734375" customWidth="1"/>
    <col min="9" max="9" width="13.44140625" customWidth="1"/>
    <col min="10" max="10" width="11.77734375" customWidth="1"/>
    <col min="12" max="12" width="10.5546875" customWidth="1"/>
  </cols>
  <sheetData>
    <row r="1" spans="1:13" ht="15" thickBot="1" x14ac:dyDescent="0.35"/>
    <row r="2" spans="1:13" ht="15" thickBot="1" x14ac:dyDescent="0.35">
      <c r="A2" s="62"/>
      <c r="B2" s="270" t="s">
        <v>164</v>
      </c>
      <c r="C2" s="271"/>
      <c r="D2" s="272"/>
      <c r="E2" s="130"/>
      <c r="F2" s="270" t="s">
        <v>36</v>
      </c>
      <c r="G2" s="271"/>
      <c r="H2" s="272"/>
      <c r="I2" s="130"/>
      <c r="J2" s="187" t="s">
        <v>72</v>
      </c>
      <c r="K2" s="188"/>
      <c r="L2" s="189"/>
      <c r="M2" s="130"/>
    </row>
    <row r="3" spans="1:13" x14ac:dyDescent="0.3">
      <c r="A3" s="62"/>
      <c r="B3" s="182" t="s">
        <v>188</v>
      </c>
      <c r="C3" s="198"/>
      <c r="D3" s="199">
        <v>0.4</v>
      </c>
      <c r="E3" s="140"/>
      <c r="F3" s="181" t="s">
        <v>128</v>
      </c>
      <c r="G3" s="139"/>
      <c r="H3" s="200">
        <v>0.2</v>
      </c>
      <c r="I3" s="140"/>
      <c r="J3" s="181" t="s">
        <v>180</v>
      </c>
      <c r="K3" s="139"/>
      <c r="L3" s="107">
        <v>0.25</v>
      </c>
      <c r="M3" s="140"/>
    </row>
    <row r="4" spans="1:13" ht="15" thickBot="1" x14ac:dyDescent="0.35">
      <c r="A4" s="62"/>
      <c r="B4" s="182" t="s">
        <v>190</v>
      </c>
      <c r="C4" s="144"/>
      <c r="D4" s="170">
        <v>0.2</v>
      </c>
      <c r="E4" s="140"/>
      <c r="F4" s="182" t="s">
        <v>182</v>
      </c>
      <c r="G4" s="203"/>
      <c r="H4" s="206">
        <v>0.2</v>
      </c>
      <c r="I4" s="140"/>
      <c r="J4" s="182" t="s">
        <v>181</v>
      </c>
      <c r="K4" s="203"/>
      <c r="L4" s="205">
        <v>0.25</v>
      </c>
      <c r="M4" s="140"/>
    </row>
    <row r="5" spans="1:13" x14ac:dyDescent="0.3">
      <c r="A5" s="62"/>
      <c r="B5" s="182" t="s">
        <v>45</v>
      </c>
      <c r="C5" s="144"/>
      <c r="D5" s="170">
        <v>0.4</v>
      </c>
      <c r="E5" s="140"/>
      <c r="F5" s="181" t="s">
        <v>126</v>
      </c>
      <c r="G5" s="204"/>
      <c r="H5" s="200">
        <v>0.3</v>
      </c>
      <c r="I5" s="140"/>
      <c r="J5" s="202" t="s">
        <v>183</v>
      </c>
      <c r="K5" s="204"/>
      <c r="L5" s="107">
        <v>0.15</v>
      </c>
      <c r="M5" s="140"/>
    </row>
    <row r="6" spans="1:13" ht="15" thickBot="1" x14ac:dyDescent="0.35">
      <c r="A6" s="62"/>
      <c r="B6" s="182"/>
      <c r="C6" s="144"/>
      <c r="D6" s="170"/>
      <c r="E6" s="140"/>
      <c r="F6" s="173" t="s">
        <v>45</v>
      </c>
      <c r="G6" s="163"/>
      <c r="H6" s="147">
        <v>0.3</v>
      </c>
      <c r="I6" s="140"/>
      <c r="J6" s="182" t="s">
        <v>184</v>
      </c>
      <c r="K6" s="144"/>
      <c r="L6" s="85">
        <v>0.05</v>
      </c>
      <c r="M6" s="140"/>
    </row>
    <row r="7" spans="1:13" ht="15" thickBot="1" x14ac:dyDescent="0.35">
      <c r="A7" s="62"/>
      <c r="B7" s="182"/>
      <c r="C7" s="144"/>
      <c r="D7" s="170"/>
      <c r="E7" s="140"/>
      <c r="F7" s="273" t="s">
        <v>179</v>
      </c>
      <c r="G7" s="274"/>
      <c r="H7" s="275"/>
      <c r="I7" s="140"/>
      <c r="J7" s="183" t="s">
        <v>185</v>
      </c>
      <c r="K7" s="144"/>
      <c r="L7" s="85">
        <v>0.3</v>
      </c>
      <c r="M7" s="140"/>
    </row>
    <row r="8" spans="1:13" ht="15" thickBot="1" x14ac:dyDescent="0.35">
      <c r="A8" s="62"/>
      <c r="B8" s="119"/>
      <c r="C8" s="120"/>
      <c r="D8" s="121"/>
      <c r="E8" s="130"/>
      <c r="F8" s="156" t="s">
        <v>147</v>
      </c>
      <c r="G8" s="273">
        <f>(G3*H3 + G4*H4+ G5*H5 + G6*H6)</f>
        <v>0</v>
      </c>
      <c r="H8" s="275"/>
      <c r="I8" s="130"/>
      <c r="J8" s="184"/>
      <c r="K8" s="186"/>
      <c r="L8" s="185"/>
      <c r="M8" s="130"/>
    </row>
    <row r="9" spans="1:13" ht="15" thickBot="1" x14ac:dyDescent="0.35">
      <c r="A9" s="62"/>
      <c r="B9" s="273" t="s">
        <v>179</v>
      </c>
      <c r="C9" s="274"/>
      <c r="D9" s="275"/>
      <c r="E9" s="130"/>
      <c r="I9" s="130"/>
      <c r="J9" s="156" t="s">
        <v>147</v>
      </c>
      <c r="K9" s="273">
        <f>(K3*L3+K4*L4+K5*L5+K6*L6+K7*L7)</f>
        <v>0</v>
      </c>
      <c r="L9" s="275"/>
      <c r="M9" s="130"/>
    </row>
    <row r="10" spans="1:13" ht="15" thickBot="1" x14ac:dyDescent="0.35">
      <c r="B10" s="82" t="s">
        <v>141</v>
      </c>
      <c r="C10" s="281">
        <f>ROUND((C3*0.33333+ C4*0.33333 + C5*0.33333),2)</f>
        <v>0</v>
      </c>
      <c r="D10" s="282"/>
      <c r="E10" s="130"/>
      <c r="I10" s="130"/>
      <c r="J10" s="130"/>
      <c r="K10" s="130"/>
      <c r="L10" s="130"/>
      <c r="M10" s="130"/>
    </row>
    <row r="11" spans="1:13" ht="15" thickBot="1" x14ac:dyDescent="0.35">
      <c r="B11" s="122" t="s">
        <v>142</v>
      </c>
      <c r="C11" s="273">
        <f>(C3*D3 + C4*D4+ C5*D5 + C6*D6+ C7*D7+C8*D8)</f>
        <v>0</v>
      </c>
      <c r="D11" s="275"/>
      <c r="E11" s="130"/>
      <c r="F11" s="270" t="s">
        <v>73</v>
      </c>
      <c r="G11" s="271"/>
      <c r="H11" s="272"/>
      <c r="I11" s="130"/>
      <c r="J11" s="304" t="s">
        <v>198</v>
      </c>
      <c r="K11" s="305"/>
      <c r="L11" s="306"/>
      <c r="M11" s="130"/>
    </row>
    <row r="12" spans="1:13" ht="15" thickBot="1" x14ac:dyDescent="0.35">
      <c r="A12" s="19"/>
      <c r="B12" s="130"/>
      <c r="C12" s="130"/>
      <c r="D12" s="130"/>
      <c r="E12" s="130"/>
      <c r="F12" s="181" t="s">
        <v>193</v>
      </c>
      <c r="G12" s="211"/>
      <c r="H12" s="212">
        <v>0.1</v>
      </c>
      <c r="I12" s="130"/>
      <c r="J12" s="307" t="s">
        <v>200</v>
      </c>
      <c r="K12" s="308"/>
      <c r="L12" s="309"/>
      <c r="M12" s="130"/>
    </row>
    <row r="13" spans="1:13" ht="15" thickBot="1" x14ac:dyDescent="0.35">
      <c r="A13" s="62"/>
      <c r="B13" s="264" t="s">
        <v>197</v>
      </c>
      <c r="C13" s="265"/>
      <c r="D13" s="266"/>
      <c r="E13" s="130"/>
      <c r="F13" s="181" t="s">
        <v>194</v>
      </c>
      <c r="G13" s="204"/>
      <c r="H13" s="200">
        <v>0.1</v>
      </c>
      <c r="I13" s="130"/>
      <c r="J13" s="267" t="s">
        <v>199</v>
      </c>
      <c r="K13" s="268"/>
      <c r="L13" s="269"/>
      <c r="M13" s="130"/>
    </row>
    <row r="14" spans="1:13" ht="15" thickBot="1" x14ac:dyDescent="0.35">
      <c r="A14" s="62"/>
      <c r="B14" s="267" t="s">
        <v>196</v>
      </c>
      <c r="C14" s="268"/>
      <c r="D14" s="269"/>
      <c r="E14" s="130"/>
      <c r="F14" s="183" t="s">
        <v>195</v>
      </c>
      <c r="G14" s="214"/>
      <c r="H14" s="206">
        <v>0.35</v>
      </c>
      <c r="I14" s="130"/>
      <c r="J14" s="130"/>
      <c r="K14" s="130"/>
      <c r="L14" s="130"/>
      <c r="M14" s="130"/>
    </row>
    <row r="15" spans="1:13" ht="15" thickBot="1" x14ac:dyDescent="0.35">
      <c r="A15" s="19"/>
      <c r="B15" s="130"/>
      <c r="C15" s="130"/>
      <c r="D15" s="130"/>
      <c r="E15" s="130"/>
      <c r="F15" s="173" t="s">
        <v>192</v>
      </c>
      <c r="G15" s="213"/>
      <c r="H15" s="147">
        <v>0.45</v>
      </c>
      <c r="I15" s="130"/>
      <c r="J15" s="264" t="s">
        <v>201</v>
      </c>
      <c r="K15" s="265"/>
      <c r="L15" s="266"/>
      <c r="M15" s="130"/>
    </row>
    <row r="16" spans="1:13" ht="15" thickBot="1" x14ac:dyDescent="0.35">
      <c r="A16" s="19"/>
      <c r="B16" s="264" t="s">
        <v>189</v>
      </c>
      <c r="C16" s="265"/>
      <c r="D16" s="266"/>
      <c r="E16" s="130"/>
      <c r="F16" s="273" t="s">
        <v>191</v>
      </c>
      <c r="G16" s="274"/>
      <c r="H16" s="275"/>
      <c r="I16" s="130"/>
      <c r="J16" s="267" t="s">
        <v>202</v>
      </c>
      <c r="K16" s="268"/>
      <c r="L16" s="269"/>
      <c r="M16" s="130"/>
    </row>
    <row r="17" spans="1:16" ht="15" thickBot="1" x14ac:dyDescent="0.35">
      <c r="A17" s="19"/>
      <c r="B17" s="267" t="s">
        <v>203</v>
      </c>
      <c r="C17" s="268"/>
      <c r="D17" s="269"/>
      <c r="E17" s="130"/>
      <c r="F17" s="201" t="s">
        <v>147</v>
      </c>
      <c r="G17" s="207">
        <f>(G13*H13 + G14*H14+ G16*H16)</f>
        <v>0</v>
      </c>
      <c r="H17" s="208"/>
      <c r="I17" s="130"/>
      <c r="J17" s="130"/>
      <c r="K17" s="130"/>
      <c r="L17" s="130"/>
      <c r="M17" s="130"/>
      <c r="N17" s="130"/>
      <c r="O17" s="130"/>
      <c r="P17" s="130"/>
    </row>
    <row r="24" spans="1:16" x14ac:dyDescent="0.3">
      <c r="B24" s="330" t="s">
        <v>158</v>
      </c>
      <c r="C24" s="330"/>
      <c r="D24" s="330"/>
      <c r="E24" s="330"/>
      <c r="F24" s="330"/>
    </row>
    <row r="25" spans="1:16" x14ac:dyDescent="0.3">
      <c r="B25" s="192" t="s">
        <v>159</v>
      </c>
      <c r="C25" s="330" t="s">
        <v>163</v>
      </c>
      <c r="D25" s="330"/>
      <c r="E25" s="330"/>
      <c r="F25" s="330"/>
    </row>
    <row r="26" spans="1:16" x14ac:dyDescent="0.3">
      <c r="B26" s="192"/>
      <c r="C26" s="192" t="s">
        <v>160</v>
      </c>
      <c r="D26" s="192" t="s">
        <v>161</v>
      </c>
      <c r="E26" s="330" t="s">
        <v>162</v>
      </c>
      <c r="F26" s="330"/>
    </row>
    <row r="27" spans="1:16" x14ac:dyDescent="0.3">
      <c r="B27" s="192">
        <v>16</v>
      </c>
      <c r="C27" s="192">
        <v>20</v>
      </c>
      <c r="D27" s="192">
        <v>17</v>
      </c>
      <c r="E27" s="330">
        <v>20</v>
      </c>
      <c r="F27" s="330"/>
    </row>
    <row r="44" spans="8:22" x14ac:dyDescent="0.3"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</row>
    <row r="45" spans="8:22" x14ac:dyDescent="0.3">
      <c r="H45" s="328" t="s">
        <v>158</v>
      </c>
      <c r="I45" s="329"/>
      <c r="J45" s="329"/>
      <c r="K45" s="329"/>
      <c r="L45" s="329"/>
      <c r="M45" s="130"/>
      <c r="N45" s="130"/>
      <c r="O45" s="130"/>
      <c r="P45" s="130"/>
      <c r="Q45" s="130"/>
      <c r="R45" s="130"/>
      <c r="S45" s="130"/>
      <c r="T45" s="130"/>
      <c r="U45" s="130"/>
      <c r="V45" s="130"/>
    </row>
    <row r="46" spans="8:22" x14ac:dyDescent="0.3">
      <c r="H46" s="192" t="s">
        <v>159</v>
      </c>
      <c r="I46" s="328" t="s">
        <v>163</v>
      </c>
      <c r="J46" s="329"/>
      <c r="K46" s="329"/>
      <c r="L46" s="329"/>
      <c r="M46" s="130"/>
      <c r="N46" s="130"/>
      <c r="O46" s="130"/>
      <c r="P46" s="130"/>
      <c r="Q46" s="130"/>
      <c r="R46" s="130"/>
      <c r="S46" s="130"/>
      <c r="T46" s="130"/>
      <c r="U46" s="130"/>
      <c r="V46" s="130"/>
    </row>
    <row r="47" spans="8:22" x14ac:dyDescent="0.3">
      <c r="H47" s="192"/>
      <c r="I47" s="192" t="s">
        <v>160</v>
      </c>
      <c r="J47" s="192" t="s">
        <v>161</v>
      </c>
      <c r="K47" s="328" t="s">
        <v>162</v>
      </c>
      <c r="L47" s="329"/>
      <c r="M47" s="130"/>
      <c r="N47" s="130"/>
      <c r="O47" s="130"/>
      <c r="P47" s="130"/>
      <c r="Q47" s="130"/>
      <c r="R47" s="130"/>
      <c r="S47" s="130"/>
      <c r="T47" s="130"/>
      <c r="U47" s="130"/>
      <c r="V47" s="130"/>
    </row>
    <row r="48" spans="8:22" x14ac:dyDescent="0.3">
      <c r="H48" s="192">
        <v>16</v>
      </c>
      <c r="I48" s="192">
        <v>20</v>
      </c>
      <c r="J48" s="192">
        <v>17</v>
      </c>
      <c r="K48" s="328">
        <v>20</v>
      </c>
      <c r="L48" s="329"/>
      <c r="M48" s="130"/>
      <c r="N48" s="130"/>
      <c r="O48" s="130"/>
      <c r="P48" s="130"/>
      <c r="Q48" s="130"/>
      <c r="R48" s="130"/>
      <c r="S48" s="130"/>
      <c r="T48" s="130"/>
      <c r="U48" s="130"/>
      <c r="V48" s="130"/>
    </row>
  </sheetData>
  <mergeCells count="27">
    <mergeCell ref="K47:L47"/>
    <mergeCell ref="K48:L48"/>
    <mergeCell ref="B24:F24"/>
    <mergeCell ref="C25:F25"/>
    <mergeCell ref="E26:F26"/>
    <mergeCell ref="E27:F27"/>
    <mergeCell ref="B16:D16"/>
    <mergeCell ref="J16:L16"/>
    <mergeCell ref="B17:D17"/>
    <mergeCell ref="H45:L45"/>
    <mergeCell ref="I46:L46"/>
    <mergeCell ref="B2:D2"/>
    <mergeCell ref="F2:H2"/>
    <mergeCell ref="F16:H16"/>
    <mergeCell ref="F7:H7"/>
    <mergeCell ref="J12:L12"/>
    <mergeCell ref="B13:D13"/>
    <mergeCell ref="G8:H8"/>
    <mergeCell ref="J13:L13"/>
    <mergeCell ref="F11:H11"/>
    <mergeCell ref="B9:D9"/>
    <mergeCell ref="K9:L9"/>
    <mergeCell ref="C10:D10"/>
    <mergeCell ref="C11:D11"/>
    <mergeCell ref="J11:L11"/>
    <mergeCell ref="B14:D14"/>
    <mergeCell ref="J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1879-E528-4352-86BD-F5E31A7A058F}">
  <dimension ref="A2:R18"/>
  <sheetViews>
    <sheetView workbookViewId="0">
      <selection activeCell="A2" sqref="A2:C11"/>
    </sheetView>
  </sheetViews>
  <sheetFormatPr defaultRowHeight="14.4" x14ac:dyDescent="0.3"/>
  <cols>
    <col min="5" max="5" width="13.5546875" customWidth="1"/>
    <col min="6" max="6" width="14.109375" customWidth="1"/>
    <col min="7" max="7" width="34.6640625" customWidth="1"/>
    <col min="8" max="8" width="13.109375" customWidth="1"/>
    <col min="9" max="9" width="16.33203125" customWidth="1"/>
    <col min="11" max="11" width="13.44140625" customWidth="1"/>
    <col min="12" max="12" width="15.88671875" customWidth="1"/>
    <col min="13" max="13" width="13.6640625" customWidth="1"/>
    <col min="14" max="14" width="13.44140625" customWidth="1"/>
    <col min="15" max="15" width="15" customWidth="1"/>
    <col min="16" max="16" width="12.44140625" customWidth="1"/>
    <col min="17" max="17" width="11.5546875" customWidth="1"/>
    <col min="18" max="18" width="12.44140625" customWidth="1"/>
  </cols>
  <sheetData>
    <row r="2" spans="1:18" x14ac:dyDescent="0.3">
      <c r="B2" s="331" t="s">
        <v>15</v>
      </c>
      <c r="C2" s="332"/>
      <c r="E2" s="331" t="s">
        <v>17</v>
      </c>
      <c r="F2" s="332"/>
      <c r="H2" s="331" t="s">
        <v>25</v>
      </c>
      <c r="I2" s="332"/>
      <c r="K2" s="333" t="s">
        <v>16</v>
      </c>
      <c r="L2" s="334"/>
      <c r="N2" s="331" t="s">
        <v>18</v>
      </c>
      <c r="O2" s="332"/>
    </row>
    <row r="3" spans="1:18" x14ac:dyDescent="0.3">
      <c r="B3" s="2">
        <v>2.5</v>
      </c>
      <c r="C3" s="5">
        <v>0.15</v>
      </c>
      <c r="D3" s="4" t="s">
        <v>48</v>
      </c>
      <c r="E3" s="2">
        <v>11</v>
      </c>
      <c r="F3" s="5">
        <v>0.33</v>
      </c>
      <c r="G3" s="27" t="s">
        <v>61</v>
      </c>
      <c r="H3" s="2">
        <v>14.8</v>
      </c>
      <c r="I3" s="6">
        <v>0.25</v>
      </c>
      <c r="J3" s="4" t="s">
        <v>43</v>
      </c>
      <c r="K3" s="2"/>
      <c r="L3" s="5">
        <v>0.18</v>
      </c>
      <c r="M3" s="4"/>
      <c r="N3" s="2">
        <v>10.8</v>
      </c>
      <c r="O3" s="5">
        <v>0.16</v>
      </c>
      <c r="P3" t="s">
        <v>43</v>
      </c>
    </row>
    <row r="4" spans="1:18" x14ac:dyDescent="0.3">
      <c r="A4" s="25"/>
      <c r="B4" s="22">
        <v>9.3000000000000007</v>
      </c>
      <c r="C4" s="5">
        <v>0.25</v>
      </c>
      <c r="D4" s="4" t="s">
        <v>48</v>
      </c>
      <c r="E4" s="2">
        <v>15</v>
      </c>
      <c r="F4" s="5">
        <f>33%</f>
        <v>0.33</v>
      </c>
      <c r="G4" s="27" t="s">
        <v>62</v>
      </c>
      <c r="H4" s="2">
        <v>14</v>
      </c>
      <c r="I4" s="6">
        <v>0.25</v>
      </c>
      <c r="J4" s="4" t="s">
        <v>43</v>
      </c>
      <c r="K4" s="2"/>
      <c r="L4" s="5">
        <v>0.22</v>
      </c>
      <c r="M4" s="4"/>
      <c r="N4" s="2">
        <v>18.899999999999999</v>
      </c>
      <c r="O4" s="5">
        <v>0.24</v>
      </c>
      <c r="P4" t="s">
        <v>43</v>
      </c>
    </row>
    <row r="5" spans="1:18" x14ac:dyDescent="0.3">
      <c r="B5" s="22">
        <v>14</v>
      </c>
      <c r="C5" s="5">
        <v>0.2</v>
      </c>
      <c r="D5" s="4" t="s">
        <v>49</v>
      </c>
      <c r="E5" s="2">
        <v>10</v>
      </c>
      <c r="F5" s="5">
        <f>33%</f>
        <v>0.33</v>
      </c>
      <c r="G5" s="27" t="s">
        <v>63</v>
      </c>
      <c r="H5" s="2">
        <v>8.9</v>
      </c>
      <c r="I5" s="6">
        <v>0.5</v>
      </c>
      <c r="J5" s="4" t="s">
        <v>42</v>
      </c>
      <c r="K5" s="2"/>
      <c r="L5" s="5">
        <v>0.6</v>
      </c>
      <c r="M5" s="4"/>
      <c r="N5" s="2">
        <v>9.25</v>
      </c>
      <c r="O5" s="5">
        <v>0.6</v>
      </c>
      <c r="P5" t="s">
        <v>42</v>
      </c>
    </row>
    <row r="6" spans="1:18" x14ac:dyDescent="0.3">
      <c r="B6" s="22">
        <v>17</v>
      </c>
      <c r="C6" s="5">
        <v>0.4</v>
      </c>
      <c r="D6" s="4" t="s">
        <v>50</v>
      </c>
      <c r="E6" s="2"/>
      <c r="F6" s="5"/>
      <c r="G6" s="11"/>
      <c r="H6" s="2"/>
      <c r="I6" s="2"/>
      <c r="J6" s="4"/>
      <c r="K6" s="2" t="s">
        <v>28</v>
      </c>
      <c r="L6" s="9">
        <v>10</v>
      </c>
      <c r="M6" s="4"/>
      <c r="N6" s="2"/>
      <c r="O6" s="2"/>
    </row>
    <row r="7" spans="1:18" x14ac:dyDescent="0.3">
      <c r="B7" s="2"/>
      <c r="C7" s="2"/>
      <c r="D7" s="4"/>
      <c r="E7" s="2"/>
      <c r="F7" s="5"/>
      <c r="G7" s="10"/>
      <c r="H7" s="2"/>
      <c r="I7" s="2"/>
      <c r="J7" s="4"/>
      <c r="K7" s="2"/>
      <c r="L7" s="5"/>
      <c r="M7" s="4"/>
      <c r="N7" s="2"/>
      <c r="O7" s="2"/>
    </row>
    <row r="8" spans="1:18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/>
      <c r="O8" s="2"/>
    </row>
    <row r="9" spans="1:18" x14ac:dyDescent="0.3">
      <c r="A9" s="4"/>
      <c r="B9" s="2"/>
      <c r="C9" s="2"/>
      <c r="D9" s="4"/>
      <c r="E9" s="2"/>
      <c r="F9" s="5"/>
      <c r="G9" s="4"/>
      <c r="H9" s="2"/>
      <c r="I9" s="2"/>
      <c r="J9" s="4"/>
      <c r="K9" s="2"/>
      <c r="L9" s="2"/>
      <c r="M9" s="4"/>
      <c r="N9" s="2"/>
      <c r="O9" s="2"/>
    </row>
    <row r="10" spans="1:18" x14ac:dyDescent="0.3">
      <c r="A10" s="2" t="s">
        <v>21</v>
      </c>
      <c r="B10" s="2">
        <f>ROUND(       PRODUCT(      SUM(PRODUCT(B3,C3),PRODUCT(B4,C4)),2.5),1)</f>
        <v>6.8</v>
      </c>
      <c r="C10" s="2">
        <f t="array" ref="C10">ROUND(SUM(B3:B6*C3:C6),0)</f>
        <v>12</v>
      </c>
      <c r="D10" s="4"/>
      <c r="E10" s="2"/>
      <c r="F10" s="2">
        <f t="array" ref="F10">ROUND(SUM(E3:E7*F3:F7),0)</f>
        <v>12</v>
      </c>
      <c r="G10" s="4"/>
      <c r="H10" s="2"/>
      <c r="I10" s="2">
        <f t="array" ref="I10">ROUND(SUM(H3:H5*I3:I5),0)</f>
        <v>12</v>
      </c>
      <c r="J10" s="4"/>
      <c r="K10" s="2"/>
      <c r="L10" s="2">
        <f t="array" ref="L10">ROUND(SUM(K3:K4*L3:L4) + 0.6 * L6,0)</f>
        <v>6</v>
      </c>
      <c r="M10" s="4"/>
      <c r="N10" s="2">
        <f>ROUND(       PRODUCT(      SUM(PRODUCT(N3,O3),PRODUCT(N4,O4),PRODUCT(N5,O5)), ),1)</f>
        <v>11.8</v>
      </c>
      <c r="O10" s="2">
        <f t="array" ref="O10">ROUND(SUM(N3:N4:N5*O3:O4:O5),0)</f>
        <v>12</v>
      </c>
    </row>
    <row r="11" spans="1:18" x14ac:dyDescent="0.3">
      <c r="A11" s="4"/>
      <c r="B11" s="4" t="s">
        <v>52</v>
      </c>
      <c r="C11" s="4" t="s">
        <v>51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53</v>
      </c>
      <c r="O11" s="4"/>
      <c r="P11" s="4"/>
      <c r="R11" s="4"/>
    </row>
    <row r="12" spans="1:18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55</v>
      </c>
      <c r="O12" s="4"/>
      <c r="P12" s="4"/>
      <c r="R12" s="4"/>
    </row>
    <row r="13" spans="1:18" x14ac:dyDescent="0.3">
      <c r="A13" s="2" t="s">
        <v>23</v>
      </c>
      <c r="B13" s="2">
        <f>(C10+F10+I10+L10+O10)/6</f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54</v>
      </c>
      <c r="O13" s="4"/>
      <c r="P13" s="4"/>
      <c r="R13" s="4"/>
    </row>
    <row r="14" spans="1:18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4"/>
      <c r="B15" s="4"/>
      <c r="C15" s="4"/>
      <c r="D15" s="4"/>
      <c r="E15" s="24">
        <v>45026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4"/>
      <c r="B16" s="4"/>
      <c r="C16" s="4"/>
      <c r="D16" s="4"/>
      <c r="F16" s="4"/>
      <c r="J16" s="4"/>
      <c r="K16" s="4"/>
      <c r="P16" s="4"/>
      <c r="Q16" s="4"/>
      <c r="R16" s="4"/>
    </row>
    <row r="17" spans="1:18" x14ac:dyDescent="0.3">
      <c r="A17" s="4"/>
      <c r="B17" s="4"/>
      <c r="C17" s="4"/>
      <c r="D17" s="4"/>
      <c r="F17" s="4"/>
      <c r="J17" s="4"/>
      <c r="K17" s="4"/>
      <c r="P17" s="4"/>
      <c r="Q17" s="4"/>
      <c r="R17" s="4"/>
    </row>
    <row r="18" spans="1:18" x14ac:dyDescent="0.3">
      <c r="A18" s="4"/>
      <c r="B18" s="4"/>
      <c r="C18" s="4"/>
      <c r="D18" s="4"/>
      <c r="F18" s="4"/>
      <c r="J18" s="4"/>
      <c r="K18" s="4"/>
      <c r="Q18" s="4"/>
      <c r="R18" s="4"/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9CF-B77D-46A6-8A4A-A68ED590C25C}">
  <dimension ref="A2:O13"/>
  <sheetViews>
    <sheetView workbookViewId="0">
      <selection activeCell="K2" sqref="K2:L2"/>
    </sheetView>
  </sheetViews>
  <sheetFormatPr defaultRowHeight="14.4" x14ac:dyDescent="0.3"/>
  <cols>
    <col min="2" max="2" width="8.88671875" customWidth="1"/>
    <col min="6" max="7" width="10.44140625" customWidth="1"/>
    <col min="8" max="8" width="13.44140625" customWidth="1"/>
    <col min="9" max="9" width="16.6640625" customWidth="1"/>
    <col min="11" max="11" width="15.5546875" customWidth="1"/>
    <col min="12" max="12" width="17.6640625" customWidth="1"/>
    <col min="14" max="14" width="12.109375" customWidth="1"/>
    <col min="15" max="15" width="13.44140625" customWidth="1"/>
  </cols>
  <sheetData>
    <row r="2" spans="1:15" x14ac:dyDescent="0.3">
      <c r="B2" s="331" t="s">
        <v>3</v>
      </c>
      <c r="C2" s="332"/>
      <c r="E2" s="331" t="s">
        <v>4</v>
      </c>
      <c r="F2" s="332"/>
      <c r="H2" s="331" t="s">
        <v>9</v>
      </c>
      <c r="I2" s="332"/>
      <c r="K2" s="331" t="s">
        <v>27</v>
      </c>
      <c r="L2" s="332"/>
      <c r="N2" s="331" t="s">
        <v>10</v>
      </c>
      <c r="O2" s="332"/>
    </row>
    <row r="3" spans="1:15" x14ac:dyDescent="0.3">
      <c r="A3" s="4"/>
      <c r="B3" s="2">
        <v>10</v>
      </c>
      <c r="C3" s="5">
        <v>0.15</v>
      </c>
      <c r="D3" s="4"/>
      <c r="E3" s="2"/>
      <c r="F3" s="5">
        <v>0.1</v>
      </c>
      <c r="G3" s="4"/>
      <c r="H3" s="2">
        <v>10</v>
      </c>
      <c r="I3" s="5">
        <v>0.24</v>
      </c>
      <c r="J3" s="4"/>
      <c r="K3" s="2">
        <v>2</v>
      </c>
      <c r="L3" s="5">
        <v>0.05</v>
      </c>
      <c r="M3" s="4" t="s">
        <v>47</v>
      </c>
      <c r="N3" s="2">
        <v>10</v>
      </c>
      <c r="O3" s="5">
        <v>0.1</v>
      </c>
    </row>
    <row r="4" spans="1:15" x14ac:dyDescent="0.3">
      <c r="A4" s="4"/>
      <c r="B4" s="2">
        <v>10</v>
      </c>
      <c r="C4" s="5">
        <v>0.35</v>
      </c>
      <c r="D4" s="4"/>
      <c r="E4" s="2"/>
      <c r="F4" s="5">
        <v>0.3</v>
      </c>
      <c r="G4" s="4"/>
      <c r="H4" s="2">
        <v>10</v>
      </c>
      <c r="I4" s="5">
        <v>0.36</v>
      </c>
      <c r="J4" s="4"/>
      <c r="K4" s="2">
        <v>15.14</v>
      </c>
      <c r="L4" s="5">
        <v>0.2</v>
      </c>
      <c r="M4" s="4" t="s">
        <v>44</v>
      </c>
      <c r="N4" s="2">
        <v>10</v>
      </c>
      <c r="O4" s="5">
        <v>0.15</v>
      </c>
    </row>
    <row r="5" spans="1:15" x14ac:dyDescent="0.3">
      <c r="A5" s="4"/>
      <c r="B5" s="2">
        <v>10</v>
      </c>
      <c r="C5" s="5">
        <v>0.15</v>
      </c>
      <c r="D5" s="4"/>
      <c r="E5" s="2"/>
      <c r="F5" s="5">
        <v>0.3</v>
      </c>
      <c r="G5" s="4"/>
      <c r="H5" s="2" t="s">
        <v>22</v>
      </c>
      <c r="I5" s="5">
        <v>1</v>
      </c>
      <c r="J5" s="4"/>
      <c r="K5" s="2">
        <v>14.1</v>
      </c>
      <c r="L5" s="5">
        <v>0.2</v>
      </c>
      <c r="M5" s="4" t="s">
        <v>44</v>
      </c>
      <c r="N5" s="2">
        <v>10</v>
      </c>
      <c r="O5" s="5">
        <v>0.1</v>
      </c>
    </row>
    <row r="6" spans="1:15" x14ac:dyDescent="0.3">
      <c r="A6" s="4"/>
      <c r="B6" s="2">
        <v>10</v>
      </c>
      <c r="C6" s="5">
        <v>0.35</v>
      </c>
      <c r="D6" s="4"/>
      <c r="E6" s="2"/>
      <c r="F6" s="5">
        <v>0.3</v>
      </c>
      <c r="G6" s="4"/>
      <c r="H6" s="2">
        <v>10</v>
      </c>
      <c r="I6" s="5">
        <v>0.4</v>
      </c>
      <c r="J6" s="4"/>
      <c r="K6" s="2">
        <v>16.7</v>
      </c>
      <c r="L6" s="5">
        <v>0.15</v>
      </c>
      <c r="M6" s="4" t="s">
        <v>46</v>
      </c>
      <c r="N6" s="2">
        <v>10</v>
      </c>
      <c r="O6" s="5">
        <v>0.25</v>
      </c>
    </row>
    <row r="7" spans="1:15" x14ac:dyDescent="0.3">
      <c r="A7" s="4"/>
      <c r="B7" s="2"/>
      <c r="C7" s="2"/>
      <c r="D7" s="4"/>
      <c r="E7" s="2" t="s">
        <v>22</v>
      </c>
      <c r="F7" s="5">
        <v>1</v>
      </c>
      <c r="G7" s="4"/>
      <c r="H7" s="2">
        <v>10</v>
      </c>
      <c r="I7" s="5">
        <v>0.6</v>
      </c>
      <c r="J7" s="4"/>
      <c r="K7" s="2">
        <v>17.7</v>
      </c>
      <c r="L7" s="5">
        <v>0.4</v>
      </c>
      <c r="M7" s="4" t="s">
        <v>45</v>
      </c>
      <c r="N7" s="2">
        <v>10</v>
      </c>
      <c r="O7" s="5">
        <v>0.2</v>
      </c>
    </row>
    <row r="8" spans="1:15" x14ac:dyDescent="0.3">
      <c r="A8" s="4"/>
      <c r="B8" s="2"/>
      <c r="C8" s="2"/>
      <c r="D8" s="4"/>
      <c r="E8" s="2"/>
      <c r="F8" s="2"/>
      <c r="G8" s="4"/>
      <c r="H8" s="2"/>
      <c r="I8" s="2"/>
      <c r="J8" s="4"/>
      <c r="K8" s="2"/>
      <c r="L8" s="5"/>
      <c r="M8" s="4"/>
      <c r="N8" s="2">
        <v>10</v>
      </c>
      <c r="O8" s="5">
        <v>0.2</v>
      </c>
    </row>
    <row r="9" spans="1:15" x14ac:dyDescent="0.3">
      <c r="A9" s="4"/>
      <c r="B9" s="2"/>
      <c r="C9" s="2"/>
      <c r="D9" s="4"/>
      <c r="E9" s="2"/>
      <c r="F9" s="5"/>
      <c r="G9" s="4"/>
      <c r="H9" s="2"/>
      <c r="I9" s="7"/>
      <c r="J9" s="4"/>
      <c r="K9" s="2"/>
      <c r="L9" s="2"/>
      <c r="M9" s="4"/>
      <c r="N9" s="2"/>
      <c r="O9" s="2"/>
    </row>
    <row r="10" spans="1:15" x14ac:dyDescent="0.3">
      <c r="A10" s="2" t="s">
        <v>21</v>
      </c>
      <c r="B10" s="3"/>
      <c r="C10" s="2">
        <f t="array" ref="C10">ROUND(SUM(B3:B6*C3:C6),0)</f>
        <v>10</v>
      </c>
      <c r="D10" s="4"/>
      <c r="E10" s="2"/>
      <c r="F10" s="2">
        <v>11</v>
      </c>
      <c r="G10" s="4"/>
      <c r="H10" s="2"/>
      <c r="I10" s="2">
        <v>13</v>
      </c>
      <c r="J10" s="4"/>
      <c r="K10" s="2">
        <f>ROUND(       PRODUCT(      SUM(PRODUCT(K3,L3),PRODUCT(K4,L4),PRODUCT(K5,L5),PRODUCT(K6,L6),PRODUCT(K7,L7)), ),1)</f>
        <v>15.5</v>
      </c>
      <c r="L10" s="2">
        <f t="array" ref="L10">ROUND(SUM(K3:K8*L3:L8),0)</f>
        <v>16</v>
      </c>
      <c r="M10" s="4"/>
      <c r="N10" s="2"/>
      <c r="O10" s="2">
        <v>12</v>
      </c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1" t="s">
        <v>23</v>
      </c>
      <c r="B13" s="1">
        <f>(C10+L10+F10+I10+O10)/5</f>
        <v>12.4</v>
      </c>
      <c r="C13" t="s">
        <v>41</v>
      </c>
    </row>
  </sheetData>
  <mergeCells count="5">
    <mergeCell ref="B2:C2"/>
    <mergeCell ref="E2:F2"/>
    <mergeCell ref="H2:I2"/>
    <mergeCell ref="K2:L2"/>
    <mergeCell ref="N2:O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043-F51A-4DB1-8C0B-313C8D48A7CD}">
  <dimension ref="A2:P14"/>
  <sheetViews>
    <sheetView workbookViewId="0">
      <selection activeCell="C19" sqref="C19:F22"/>
    </sheetView>
  </sheetViews>
  <sheetFormatPr defaultRowHeight="14.4" x14ac:dyDescent="0.3"/>
  <cols>
    <col min="1" max="1" width="8.88671875" style="19"/>
    <col min="2" max="2" width="10" style="19" customWidth="1"/>
    <col min="3" max="3" width="11" style="19" customWidth="1"/>
    <col min="4" max="4" width="8.88671875" style="19"/>
    <col min="5" max="5" width="7" style="19" bestFit="1" customWidth="1"/>
    <col min="6" max="6" width="23.88671875" style="19" customWidth="1"/>
    <col min="7" max="7" width="14.109375" style="19" customWidth="1"/>
    <col min="8" max="8" width="4.109375" style="19" customWidth="1"/>
    <col min="9" max="9" width="23.21875" style="19" bestFit="1" customWidth="1"/>
    <col min="10" max="10" width="24.21875" style="19" customWidth="1"/>
    <col min="11" max="11" width="20.6640625" style="19" customWidth="1"/>
    <col min="12" max="12" width="15.109375" style="19" bestFit="1" customWidth="1"/>
    <col min="13" max="13" width="3.88671875" style="19" customWidth="1"/>
    <col min="14" max="14" width="3.6640625" style="19" customWidth="1"/>
    <col min="15" max="16384" width="8.88671875" style="19"/>
  </cols>
  <sheetData>
    <row r="2" spans="1:16" ht="15" thickBot="1" x14ac:dyDescent="0.35">
      <c r="B2" s="337" t="s">
        <v>30</v>
      </c>
      <c r="C2" s="338"/>
      <c r="F2" s="337" t="s">
        <v>31</v>
      </c>
      <c r="G2" s="338"/>
      <c r="J2" s="339" t="s">
        <v>32</v>
      </c>
      <c r="K2" s="340"/>
      <c r="O2" s="337" t="s">
        <v>33</v>
      </c>
      <c r="P2" s="338"/>
    </row>
    <row r="3" spans="1:16" x14ac:dyDescent="0.3">
      <c r="A3" s="83" t="s">
        <v>125</v>
      </c>
      <c r="B3" s="73">
        <v>10.199999999999999</v>
      </c>
      <c r="C3" s="72">
        <v>0.45</v>
      </c>
      <c r="E3" s="83" t="s">
        <v>127</v>
      </c>
      <c r="F3" s="73">
        <v>13.4</v>
      </c>
      <c r="G3" s="75">
        <f>25%</f>
        <v>0.25</v>
      </c>
      <c r="H3" s="74"/>
      <c r="I3" s="105" t="s">
        <v>128</v>
      </c>
      <c r="J3" s="106">
        <v>6</v>
      </c>
      <c r="K3" s="107">
        <v>0.2</v>
      </c>
      <c r="O3" s="20">
        <v>10.4</v>
      </c>
      <c r="P3" s="21">
        <f>10%</f>
        <v>0.1</v>
      </c>
    </row>
    <row r="4" spans="1:16" x14ac:dyDescent="0.3">
      <c r="A4" s="83" t="s">
        <v>45</v>
      </c>
      <c r="B4" s="73">
        <v>4.5</v>
      </c>
      <c r="C4" s="75">
        <v>0.25</v>
      </c>
      <c r="E4" s="83" t="s">
        <v>127</v>
      </c>
      <c r="F4" s="73">
        <v>5.4</v>
      </c>
      <c r="G4" s="75">
        <f>25%</f>
        <v>0.25</v>
      </c>
      <c r="H4" s="74"/>
      <c r="I4" s="108" t="s">
        <v>152</v>
      </c>
      <c r="J4" s="73">
        <v>12</v>
      </c>
      <c r="K4" s="85">
        <v>2.5000000000000001E-2</v>
      </c>
      <c r="L4" s="19" t="s">
        <v>150</v>
      </c>
      <c r="O4" s="20">
        <v>12.3</v>
      </c>
      <c r="P4" s="21">
        <f>10%</f>
        <v>0.1</v>
      </c>
    </row>
    <row r="5" spans="1:16" x14ac:dyDescent="0.3">
      <c r="A5" s="83" t="s">
        <v>126</v>
      </c>
      <c r="B5" s="73">
        <v>17.899999999999999</v>
      </c>
      <c r="C5" s="75">
        <v>0.3</v>
      </c>
      <c r="E5" s="83" t="s">
        <v>126</v>
      </c>
      <c r="F5" s="73">
        <v>13.5</v>
      </c>
      <c r="G5" s="75">
        <f>25%</f>
        <v>0.25</v>
      </c>
      <c r="H5" s="74"/>
      <c r="I5" s="108" t="s">
        <v>153</v>
      </c>
      <c r="J5" s="73">
        <v>11.7</v>
      </c>
      <c r="K5" s="85">
        <v>2.5000000000000001E-2</v>
      </c>
      <c r="O5" s="20">
        <v>16.3</v>
      </c>
      <c r="P5" s="21">
        <f>25%</f>
        <v>0.25</v>
      </c>
    </row>
    <row r="6" spans="1:16" ht="15" thickBot="1" x14ac:dyDescent="0.35">
      <c r="B6" s="73"/>
      <c r="C6" s="75"/>
      <c r="E6" s="83" t="s">
        <v>126</v>
      </c>
      <c r="F6" s="73">
        <v>12.12</v>
      </c>
      <c r="G6" s="75">
        <f>25%</f>
        <v>0.25</v>
      </c>
      <c r="H6" s="74"/>
      <c r="I6" s="109" t="s">
        <v>154</v>
      </c>
      <c r="J6" s="104">
        <v>20</v>
      </c>
      <c r="K6" s="86">
        <v>0.05</v>
      </c>
      <c r="O6" s="20">
        <v>14.4</v>
      </c>
      <c r="P6" s="21">
        <f>10%</f>
        <v>0.1</v>
      </c>
    </row>
    <row r="7" spans="1:16" ht="15" thickBot="1" x14ac:dyDescent="0.35">
      <c r="B7" s="73"/>
      <c r="C7" s="73"/>
      <c r="E7" s="74"/>
      <c r="F7" s="73"/>
      <c r="G7" s="75"/>
      <c r="H7" s="74"/>
      <c r="I7" s="335" t="s">
        <v>146</v>
      </c>
      <c r="J7" s="336"/>
      <c r="K7" s="113">
        <f>ROUND(((J4*K4+J5*K5+J6*K6+J3*K3)*100/30),1)</f>
        <v>9.3000000000000007</v>
      </c>
      <c r="O7" s="20">
        <v>8</v>
      </c>
      <c r="P7" s="23">
        <f>45%</f>
        <v>0.45</v>
      </c>
    </row>
    <row r="8" spans="1:16" ht="15" thickBot="1" x14ac:dyDescent="0.35">
      <c r="A8" s="73"/>
      <c r="B8" s="115"/>
      <c r="C8" s="115"/>
      <c r="E8" s="74"/>
      <c r="F8" s="73"/>
      <c r="G8" s="73"/>
      <c r="H8" s="74"/>
      <c r="I8" s="105" t="s">
        <v>155</v>
      </c>
      <c r="J8" s="106">
        <v>7.9</v>
      </c>
      <c r="K8" s="107">
        <v>0.17499999999999999</v>
      </c>
      <c r="O8" s="20"/>
      <c r="P8" s="20"/>
    </row>
    <row r="9" spans="1:16" ht="15" thickBot="1" x14ac:dyDescent="0.35">
      <c r="B9" s="76" t="s">
        <v>151</v>
      </c>
      <c r="C9" s="118">
        <f>ROUND((B5*C5 +  B4*C4)/55*100,2)</f>
        <v>11.81</v>
      </c>
      <c r="F9" s="20"/>
      <c r="G9" s="20">
        <f>(F3*G3 + F4*G4)/50*100</f>
        <v>9.4</v>
      </c>
      <c r="I9" s="110" t="s">
        <v>156</v>
      </c>
      <c r="J9" s="103">
        <v>14.8</v>
      </c>
      <c r="K9" s="85">
        <v>0.17499999999999999</v>
      </c>
      <c r="O9" s="20"/>
      <c r="P9" s="20"/>
    </row>
    <row r="10" spans="1:16" s="89" customFormat="1" x14ac:dyDescent="0.3">
      <c r="A10" s="88" t="s">
        <v>21</v>
      </c>
      <c r="B10" s="116"/>
      <c r="C10" s="117">
        <f>ROUND((B3*C3 + B4*C4+ B5*C5),2)</f>
        <v>11.09</v>
      </c>
      <c r="F10" s="88"/>
      <c r="G10" s="88">
        <f>(F3*G3 + F4*G4+ F5*G5 + F6*G6)</f>
        <v>11.104999999999999</v>
      </c>
      <c r="I10" s="108" t="s">
        <v>130</v>
      </c>
      <c r="J10" s="73">
        <v>5.5</v>
      </c>
      <c r="K10" s="85">
        <v>0.25</v>
      </c>
      <c r="O10" s="88"/>
      <c r="P10" s="88">
        <f t="array" ref="P10">ROUND(SUMPRODUCT(IF(O3:O7&lt;&gt;"",O3:O7*P3:P7,0))/SUM(IF(O3:O7&lt;&gt;"", P3:P7,0)),0)</f>
        <v>11</v>
      </c>
    </row>
    <row r="11" spans="1:16" ht="15" thickBot="1" x14ac:dyDescent="0.35">
      <c r="I11" s="111" t="s">
        <v>129</v>
      </c>
      <c r="J11" s="112">
        <v>15</v>
      </c>
      <c r="K11" s="86">
        <v>0.1</v>
      </c>
      <c r="P11" s="19">
        <f t="array" ref="P11">ROUND(SUM(O3:O7*P3:P7),2)</f>
        <v>11.39</v>
      </c>
    </row>
    <row r="12" spans="1:16" ht="15" thickBot="1" x14ac:dyDescent="0.35">
      <c r="I12" s="335" t="s">
        <v>157</v>
      </c>
      <c r="J12" s="336"/>
      <c r="K12" s="114">
        <f>ROUND((J6*K6+J3*K3+J5*K5+J11*K11+J8*K8+J9*K9+J10*K10+J4*K4),0 )</f>
        <v>10</v>
      </c>
    </row>
    <row r="13" spans="1:16" ht="15" thickBot="1" x14ac:dyDescent="0.35">
      <c r="A13" s="20" t="s">
        <v>23</v>
      </c>
      <c r="B13" s="20">
        <f>(C10+G10+K13+P10)/4</f>
        <v>10.70875</v>
      </c>
      <c r="K13" s="114">
        <f>(J3*K3+J4*K4+J6*K6+J8*K8+J9*K9+J10*K10+J11*K11+J5*K5)</f>
        <v>9.64</v>
      </c>
    </row>
    <row r="14" spans="1:16" x14ac:dyDescent="0.3">
      <c r="B14" s="19">
        <f>SUM(C11,K7,P11,G11)/4</f>
        <v>5.1725000000000003</v>
      </c>
    </row>
  </sheetData>
  <mergeCells count="6">
    <mergeCell ref="I12:J12"/>
    <mergeCell ref="O2:P2"/>
    <mergeCell ref="B2:C2"/>
    <mergeCell ref="F2:G2"/>
    <mergeCell ref="J2:K2"/>
    <mergeCell ref="I7:J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D666-62CA-4935-98B3-7465ACEEDE34}">
  <dimension ref="A2:Q16"/>
  <sheetViews>
    <sheetView workbookViewId="0">
      <selection activeCell="I19" sqref="I19"/>
    </sheetView>
  </sheetViews>
  <sheetFormatPr defaultRowHeight="14.4" x14ac:dyDescent="0.3"/>
  <cols>
    <col min="2" max="2" width="15.88671875" customWidth="1"/>
    <col min="3" max="3" width="16.109375" customWidth="1"/>
    <col min="5" max="6" width="13.33203125" customWidth="1"/>
    <col min="7" max="7" width="20.6640625" customWidth="1"/>
    <col min="8" max="8" width="10.88671875" customWidth="1"/>
    <col min="9" max="9" width="13.44140625" customWidth="1"/>
    <col min="10" max="10" width="10.6640625" customWidth="1"/>
    <col min="11" max="11" width="15.33203125" customWidth="1"/>
    <col min="12" max="12" width="14.44140625" customWidth="1"/>
    <col min="13" max="13" width="14.88671875" customWidth="1"/>
    <col min="14" max="14" width="14" customWidth="1"/>
    <col min="15" max="15" width="17" customWidth="1"/>
    <col min="16" max="16" width="13.44140625" customWidth="1"/>
    <col min="17" max="17" width="14.77734375" customWidth="1"/>
  </cols>
  <sheetData>
    <row r="2" spans="1:17" x14ac:dyDescent="0.3">
      <c r="B2" s="331" t="s">
        <v>11</v>
      </c>
      <c r="C2" s="332"/>
      <c r="E2" s="331" t="s">
        <v>12</v>
      </c>
      <c r="F2" s="332"/>
      <c r="I2" s="331" t="s">
        <v>24</v>
      </c>
      <c r="J2" s="332"/>
      <c r="M2" s="343" t="s">
        <v>13</v>
      </c>
      <c r="N2" s="344"/>
      <c r="P2" s="331" t="s">
        <v>57</v>
      </c>
      <c r="Q2" s="332"/>
    </row>
    <row r="3" spans="1:17" x14ac:dyDescent="0.3">
      <c r="B3" s="2">
        <v>10</v>
      </c>
      <c r="C3" s="8">
        <f>5%*70%</f>
        <v>3.4999999999999996E-2</v>
      </c>
      <c r="D3" s="4"/>
      <c r="E3" s="2">
        <v>11</v>
      </c>
      <c r="F3" s="8">
        <v>0.33329999999999999</v>
      </c>
      <c r="G3" s="29" t="s">
        <v>58</v>
      </c>
      <c r="I3" s="2">
        <v>10</v>
      </c>
      <c r="J3" s="5">
        <f>30%*40%</f>
        <v>0.12</v>
      </c>
      <c r="K3" s="4"/>
      <c r="L3" s="83" t="s">
        <v>131</v>
      </c>
      <c r="M3" s="90">
        <v>9.6999999999999993</v>
      </c>
      <c r="N3" s="91">
        <v>0.27</v>
      </c>
      <c r="O3" s="4"/>
      <c r="P3" s="2"/>
      <c r="Q3" s="5">
        <f>40%*40%</f>
        <v>0.16000000000000003</v>
      </c>
    </row>
    <row r="4" spans="1:17" x14ac:dyDescent="0.3">
      <c r="B4" s="2">
        <v>10</v>
      </c>
      <c r="C4" s="8">
        <f>5%*70%</f>
        <v>3.4999999999999996E-2</v>
      </c>
      <c r="D4" s="4"/>
      <c r="E4" s="2">
        <v>11</v>
      </c>
      <c r="F4" s="8">
        <v>0.33329999999999999</v>
      </c>
      <c r="G4" s="29" t="s">
        <v>59</v>
      </c>
      <c r="I4" s="2">
        <v>10</v>
      </c>
      <c r="J4" s="8">
        <f>30%*40%</f>
        <v>0.12</v>
      </c>
      <c r="K4" s="4"/>
      <c r="L4" s="19" t="s">
        <v>132</v>
      </c>
      <c r="M4" s="90">
        <v>0</v>
      </c>
      <c r="N4" s="91">
        <v>0.33</v>
      </c>
      <c r="O4" s="4"/>
      <c r="P4" s="2"/>
      <c r="Q4" s="5">
        <f>60%*40%</f>
        <v>0.24</v>
      </c>
    </row>
    <row r="5" spans="1:17" x14ac:dyDescent="0.3">
      <c r="B5" s="2">
        <v>10</v>
      </c>
      <c r="C5" s="8">
        <f>5%*70%</f>
        <v>3.4999999999999996E-2</v>
      </c>
      <c r="D5" s="4"/>
      <c r="E5" s="2">
        <v>18</v>
      </c>
      <c r="F5" s="8">
        <v>0.33329999999999999</v>
      </c>
      <c r="G5" s="29" t="s">
        <v>60</v>
      </c>
      <c r="I5" s="2">
        <v>10</v>
      </c>
      <c r="J5" s="5">
        <f>25%*40%</f>
        <v>0.1</v>
      </c>
      <c r="K5" s="4"/>
      <c r="L5" s="83" t="s">
        <v>128</v>
      </c>
      <c r="M5" s="90">
        <v>15.4</v>
      </c>
      <c r="N5" s="91">
        <v>0.16</v>
      </c>
      <c r="O5" s="4"/>
      <c r="P5" s="2"/>
      <c r="Q5" s="5">
        <v>0.6</v>
      </c>
    </row>
    <row r="6" spans="1:17" x14ac:dyDescent="0.3">
      <c r="B6" s="2">
        <v>10</v>
      </c>
      <c r="C6" s="5">
        <v>0.3</v>
      </c>
      <c r="D6" s="4"/>
      <c r="E6" s="2"/>
      <c r="F6" s="2"/>
      <c r="G6" s="28"/>
      <c r="I6" s="2">
        <v>10</v>
      </c>
      <c r="J6" s="8">
        <f>15%*40%</f>
        <v>0.06</v>
      </c>
      <c r="K6" s="4"/>
      <c r="L6" s="19" t="s">
        <v>133</v>
      </c>
      <c r="M6" s="90">
        <v>0</v>
      </c>
      <c r="N6" s="91">
        <v>0.24</v>
      </c>
      <c r="O6" s="4"/>
      <c r="P6" s="2"/>
      <c r="Q6" s="2"/>
    </row>
    <row r="7" spans="1:17" x14ac:dyDescent="0.3">
      <c r="B7" s="2">
        <v>10</v>
      </c>
      <c r="C7" s="5">
        <v>0.59499999999999997</v>
      </c>
      <c r="D7" s="4"/>
      <c r="E7" s="2"/>
      <c r="F7" s="2"/>
      <c r="G7" s="4"/>
      <c r="I7" s="2">
        <v>10</v>
      </c>
      <c r="J7" s="8">
        <f>60%*100%</f>
        <v>0.6</v>
      </c>
      <c r="K7" s="4"/>
      <c r="M7" s="92"/>
      <c r="N7" s="92"/>
      <c r="O7" s="4"/>
      <c r="P7" s="2"/>
      <c r="Q7" s="2"/>
    </row>
    <row r="8" spans="1:17" x14ac:dyDescent="0.3">
      <c r="B8" s="2"/>
      <c r="C8" s="8"/>
      <c r="D8" s="4"/>
      <c r="E8" s="2"/>
      <c r="F8" s="2"/>
      <c r="G8" s="4"/>
      <c r="I8" s="2"/>
      <c r="J8" s="2">
        <v>10</v>
      </c>
      <c r="K8" s="4"/>
      <c r="M8" s="92"/>
      <c r="N8" s="92"/>
      <c r="O8" s="4"/>
      <c r="P8" s="2"/>
      <c r="Q8" s="2"/>
    </row>
    <row r="9" spans="1:17" x14ac:dyDescent="0.3">
      <c r="B9" s="2"/>
      <c r="C9" s="2"/>
      <c r="D9" s="4"/>
      <c r="E9" s="2"/>
      <c r="F9" s="2"/>
      <c r="G9" s="4"/>
      <c r="I9" s="2"/>
      <c r="J9" s="2"/>
      <c r="K9" s="4"/>
      <c r="M9" s="90"/>
      <c r="N9" s="90"/>
      <c r="O9" s="4"/>
      <c r="P9" s="2"/>
      <c r="Q9" s="2"/>
    </row>
    <row r="10" spans="1:17" ht="15" thickBot="1" x14ac:dyDescent="0.35">
      <c r="A10" s="2" t="s">
        <v>26</v>
      </c>
      <c r="B10" s="2"/>
      <c r="C10" s="2">
        <f t="array" ref="C10">ROUND(SUM(B3:B7*C3:C7),0)</f>
        <v>10</v>
      </c>
      <c r="D10" s="4"/>
      <c r="E10" s="2"/>
      <c r="F10" s="2">
        <f>ROUND(SUM(E3:E5)/3,0)</f>
        <v>13</v>
      </c>
      <c r="G10" s="4"/>
      <c r="I10" s="2"/>
      <c r="J10" s="2">
        <v>13</v>
      </c>
      <c r="K10" s="4"/>
      <c r="M10" s="93" t="s">
        <v>145</v>
      </c>
      <c r="N10" s="94">
        <f>(M3*N3 + M4*N4+ M5*N5 + M6*N6)</f>
        <v>5.0830000000000002</v>
      </c>
      <c r="O10" s="4"/>
      <c r="P10" s="2"/>
      <c r="Q10" s="2">
        <v>11</v>
      </c>
    </row>
    <row r="11" spans="1:17" ht="15" thickBot="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5" t="s">
        <v>134</v>
      </c>
      <c r="N11" s="96">
        <f>( M3*0.45 + M4*0.55)</f>
        <v>4.3650000000000002</v>
      </c>
    </row>
    <row r="12" spans="1:17" ht="15" thickBot="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7" x14ac:dyDescent="0.3">
      <c r="A13" s="2" t="s">
        <v>23</v>
      </c>
      <c r="B13" s="2">
        <f>(C10+F10+J10+N10)/4</f>
        <v>10.27075</v>
      </c>
      <c r="C13" s="4"/>
      <c r="D13" s="4"/>
      <c r="F13" s="4"/>
      <c r="G13" s="4"/>
      <c r="H13" s="4"/>
      <c r="I13" s="4"/>
      <c r="J13" s="4"/>
      <c r="K13" s="4"/>
      <c r="L13" s="100" t="s">
        <v>143</v>
      </c>
      <c r="M13" s="99"/>
      <c r="N13" s="97">
        <v>0.6</v>
      </c>
    </row>
    <row r="14" spans="1:17" ht="15" thickBot="1" x14ac:dyDescent="0.35">
      <c r="B14" s="4"/>
      <c r="C14" s="4"/>
      <c r="D14" s="4"/>
      <c r="F14" s="4"/>
      <c r="G14" s="4"/>
      <c r="H14" s="4"/>
      <c r="I14" s="4"/>
      <c r="J14" s="4"/>
      <c r="K14" s="4"/>
      <c r="L14" s="101" t="s">
        <v>144</v>
      </c>
      <c r="M14" s="102"/>
      <c r="N14" s="98">
        <v>0.4</v>
      </c>
    </row>
    <row r="15" spans="1:17" ht="15" thickBot="1" x14ac:dyDescent="0.35">
      <c r="B15" s="4"/>
      <c r="C15" s="4"/>
      <c r="D15" s="4"/>
      <c r="F15" s="4"/>
      <c r="G15" s="4"/>
      <c r="H15" s="4"/>
      <c r="I15" s="4"/>
      <c r="J15" s="4"/>
      <c r="K15" s="4"/>
      <c r="L15" s="341" t="s">
        <v>145</v>
      </c>
      <c r="M15" s="342"/>
      <c r="N15" s="87">
        <f>M13*N13+M14*N14</f>
        <v>0</v>
      </c>
    </row>
    <row r="16" spans="1:17" x14ac:dyDescent="0.3">
      <c r="B16" s="4"/>
      <c r="C16" s="4"/>
      <c r="D16" s="4"/>
      <c r="F16" s="4"/>
      <c r="G16" s="4"/>
      <c r="H16" s="4"/>
      <c r="I16" s="4"/>
      <c r="J16" s="4"/>
      <c r="K16" s="4"/>
    </row>
  </sheetData>
  <mergeCells count="6">
    <mergeCell ref="P2:Q2"/>
    <mergeCell ref="L15:M15"/>
    <mergeCell ref="B2:C2"/>
    <mergeCell ref="E2:F2"/>
    <mergeCell ref="I2:J2"/>
    <mergeCell ref="M2:N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22B-A7B8-4F5A-B287-157EE962F98A}">
  <dimension ref="A2:P26"/>
  <sheetViews>
    <sheetView zoomScaleNormal="100" workbookViewId="0">
      <selection activeCell="L2" sqref="L2:M2"/>
    </sheetView>
  </sheetViews>
  <sheetFormatPr defaultRowHeight="14.4" x14ac:dyDescent="0.3"/>
  <cols>
    <col min="3" max="3" width="15.44140625" bestFit="1" customWidth="1"/>
    <col min="8" max="8" width="15.5546875" customWidth="1"/>
    <col min="9" max="9" width="18.44140625" customWidth="1"/>
    <col min="11" max="11" width="13.88671875" customWidth="1"/>
    <col min="12" max="12" width="15.33203125" customWidth="1"/>
    <col min="13" max="13" width="16.21875" customWidth="1"/>
    <col min="14" max="14" width="14.88671875" customWidth="1"/>
    <col min="15" max="15" width="25.6640625" customWidth="1"/>
    <col min="16" max="16" width="16.33203125" customWidth="1"/>
  </cols>
  <sheetData>
    <row r="2" spans="1:16" x14ac:dyDescent="0.3">
      <c r="B2" s="331" t="s">
        <v>2</v>
      </c>
      <c r="C2" s="332"/>
      <c r="E2" s="331" t="s">
        <v>5</v>
      </c>
      <c r="F2" s="332"/>
      <c r="H2" s="331" t="s">
        <v>7</v>
      </c>
      <c r="I2" s="332"/>
      <c r="K2" s="77"/>
      <c r="L2" s="345" t="s">
        <v>6</v>
      </c>
      <c r="M2" s="346"/>
      <c r="N2" s="77"/>
      <c r="O2" s="345" t="s">
        <v>56</v>
      </c>
      <c r="P2" s="346"/>
    </row>
    <row r="3" spans="1:16" x14ac:dyDescent="0.3">
      <c r="A3" s="4"/>
      <c r="B3" s="2">
        <v>10</v>
      </c>
      <c r="C3" s="6">
        <v>0.3</v>
      </c>
      <c r="D3" s="4"/>
      <c r="E3" s="2">
        <v>10</v>
      </c>
      <c r="F3" s="6">
        <v>0.1</v>
      </c>
      <c r="G3" s="4"/>
      <c r="H3" s="2">
        <v>10</v>
      </c>
      <c r="I3" s="5">
        <v>0.2</v>
      </c>
      <c r="K3" s="84" t="s">
        <v>135</v>
      </c>
      <c r="L3" s="79">
        <v>13</v>
      </c>
      <c r="M3" s="80">
        <v>0.2</v>
      </c>
      <c r="N3" s="77"/>
      <c r="O3" s="79"/>
      <c r="P3" s="80">
        <v>0.2</v>
      </c>
    </row>
    <row r="4" spans="1:16" x14ac:dyDescent="0.3">
      <c r="A4" s="4"/>
      <c r="B4" s="2">
        <v>10</v>
      </c>
      <c r="C4" s="6">
        <v>0.4</v>
      </c>
      <c r="D4" s="4"/>
      <c r="E4" s="2">
        <v>10</v>
      </c>
      <c r="F4" s="6">
        <v>0.1</v>
      </c>
      <c r="G4" s="4"/>
      <c r="H4" s="2">
        <v>10</v>
      </c>
      <c r="I4" s="5">
        <v>0.3</v>
      </c>
      <c r="K4" s="84" t="s">
        <v>138</v>
      </c>
      <c r="L4" s="79">
        <v>16.3</v>
      </c>
      <c r="M4" s="80">
        <v>0.2</v>
      </c>
      <c r="N4" s="77"/>
      <c r="O4" s="79"/>
      <c r="P4" s="80">
        <v>0.3</v>
      </c>
    </row>
    <row r="5" spans="1:16" x14ac:dyDescent="0.3">
      <c r="A5" s="4"/>
      <c r="B5" s="2">
        <v>10</v>
      </c>
      <c r="C5" s="6">
        <v>0.3</v>
      </c>
      <c r="D5" s="4"/>
      <c r="E5" s="2">
        <v>10</v>
      </c>
      <c r="F5" s="6">
        <v>0.1</v>
      </c>
      <c r="G5" s="4"/>
      <c r="H5" s="2">
        <v>10</v>
      </c>
      <c r="I5" s="5">
        <v>0.5</v>
      </c>
      <c r="K5" s="84" t="s">
        <v>139</v>
      </c>
      <c r="L5" s="79">
        <v>16</v>
      </c>
      <c r="M5" s="80">
        <v>0.2</v>
      </c>
      <c r="N5" s="77"/>
      <c r="O5" s="79"/>
      <c r="P5" s="80">
        <v>0.5</v>
      </c>
    </row>
    <row r="6" spans="1:16" x14ac:dyDescent="0.3">
      <c r="A6" s="4"/>
      <c r="B6" s="2"/>
      <c r="C6" s="2"/>
      <c r="D6" s="4"/>
      <c r="E6" s="2">
        <v>10</v>
      </c>
      <c r="F6" s="6">
        <v>0.1</v>
      </c>
      <c r="G6" s="4"/>
      <c r="H6" s="2"/>
      <c r="I6" s="2"/>
      <c r="K6" s="84" t="s">
        <v>136</v>
      </c>
      <c r="L6" s="79">
        <v>20</v>
      </c>
      <c r="M6" s="80">
        <v>0.15</v>
      </c>
      <c r="N6" s="77"/>
      <c r="O6" s="79"/>
      <c r="P6" s="79"/>
    </row>
    <row r="7" spans="1:16" x14ac:dyDescent="0.3">
      <c r="A7" s="4"/>
      <c r="B7" s="2"/>
      <c r="C7" s="2"/>
      <c r="D7" s="4"/>
      <c r="E7" s="2">
        <v>10</v>
      </c>
      <c r="F7" s="6">
        <v>0.25</v>
      </c>
      <c r="G7" s="4"/>
      <c r="H7" s="2"/>
      <c r="I7" s="2"/>
      <c r="K7" s="84" t="s">
        <v>137</v>
      </c>
      <c r="L7" s="79">
        <v>0</v>
      </c>
      <c r="M7" s="80">
        <v>0.15</v>
      </c>
      <c r="N7" s="77"/>
      <c r="O7" s="79"/>
      <c r="P7" s="79"/>
    </row>
    <row r="8" spans="1:16" ht="15" thickBot="1" x14ac:dyDescent="0.35">
      <c r="A8" s="4"/>
      <c r="B8" s="2"/>
      <c r="C8" s="2"/>
      <c r="D8" s="4"/>
      <c r="E8" s="2">
        <v>10</v>
      </c>
      <c r="F8" s="6">
        <v>0.35</v>
      </c>
      <c r="G8" s="4"/>
      <c r="H8" s="2"/>
      <c r="I8" s="2"/>
      <c r="K8" s="84" t="s">
        <v>140</v>
      </c>
      <c r="L8" s="79">
        <v>0</v>
      </c>
      <c r="M8" s="80">
        <v>0.1</v>
      </c>
      <c r="N8" s="77"/>
      <c r="O8" s="79"/>
      <c r="P8" s="79"/>
    </row>
    <row r="9" spans="1:16" ht="15" thickBot="1" x14ac:dyDescent="0.35">
      <c r="A9" s="4"/>
      <c r="B9" s="2"/>
      <c r="C9" s="2"/>
      <c r="D9" s="4"/>
      <c r="E9" s="2"/>
      <c r="F9" s="2"/>
      <c r="G9" s="4"/>
      <c r="H9" s="2"/>
      <c r="I9" s="2"/>
      <c r="K9" s="78"/>
      <c r="L9" s="79" t="s">
        <v>141</v>
      </c>
      <c r="M9" s="82">
        <f>ROUND((L3*0.33333+ L4*0.33333 + L5*0.33333),2)</f>
        <v>15.1</v>
      </c>
      <c r="N9" s="77"/>
      <c r="O9" s="79"/>
      <c r="P9" s="79"/>
    </row>
    <row r="10" spans="1:16" ht="15" thickBot="1" x14ac:dyDescent="0.35">
      <c r="A10" s="2" t="s">
        <v>21</v>
      </c>
      <c r="B10" s="2"/>
      <c r="C10" s="2">
        <v>10</v>
      </c>
      <c r="D10" s="4"/>
      <c r="E10" s="5"/>
      <c r="F10" s="2">
        <f t="array" ref="F10">ROUND(SUM(E3:E8*F3:F8),0)</f>
        <v>10</v>
      </c>
      <c r="G10" s="4"/>
      <c r="H10" s="2"/>
      <c r="I10" s="2">
        <v>12</v>
      </c>
      <c r="K10" s="78"/>
      <c r="L10" s="81" t="s">
        <v>142</v>
      </c>
      <c r="M10" s="82">
        <f>(L3*M3 + L4*M4+ L5*M5 + L6*M6+ L7*M7+L8*M8)</f>
        <v>12.06</v>
      </c>
      <c r="N10" s="77"/>
      <c r="O10" s="79"/>
      <c r="P10" s="79">
        <v>13</v>
      </c>
    </row>
    <row r="11" spans="1:16" x14ac:dyDescent="0.3">
      <c r="A11" s="4"/>
      <c r="B11" s="4"/>
      <c r="C11" s="4"/>
      <c r="D11" s="4"/>
      <c r="E11" s="4"/>
      <c r="F11" s="4"/>
      <c r="G11" s="4"/>
      <c r="H11" s="4"/>
      <c r="I11" s="4"/>
      <c r="K11" s="78"/>
      <c r="L11" s="78"/>
      <c r="M11" s="78"/>
      <c r="N11" s="77"/>
      <c r="O11" s="77"/>
      <c r="P11" s="77"/>
    </row>
    <row r="12" spans="1:1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6" x14ac:dyDescent="0.3">
      <c r="A13" s="2" t="s">
        <v>23</v>
      </c>
      <c r="B13" s="2">
        <f>(C10+F10+I10+M10)/4</f>
        <v>11.015000000000001</v>
      </c>
      <c r="C13" s="12" t="s">
        <v>39</v>
      </c>
      <c r="D13" s="4"/>
      <c r="E13" s="4"/>
      <c r="F13" s="4"/>
      <c r="G13" s="4"/>
      <c r="H13" s="4"/>
      <c r="I13" s="4"/>
      <c r="J13" s="4"/>
      <c r="K13" s="4"/>
      <c r="L13" s="4"/>
    </row>
    <row r="14" spans="1:1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62"/>
      <c r="M18" s="62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62"/>
      <c r="M19" s="62"/>
    </row>
    <row r="20" spans="1:1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62"/>
      <c r="M20" s="62"/>
    </row>
    <row r="21" spans="1:13" x14ac:dyDescent="0.3">
      <c r="L21" s="62"/>
      <c r="M21" s="62"/>
    </row>
    <row r="22" spans="1:13" x14ac:dyDescent="0.3">
      <c r="L22" s="62"/>
      <c r="M22" s="62"/>
    </row>
    <row r="23" spans="1:13" x14ac:dyDescent="0.3">
      <c r="L23" s="62"/>
      <c r="M23" s="62"/>
    </row>
    <row r="24" spans="1:13" x14ac:dyDescent="0.3">
      <c r="L24" s="62"/>
      <c r="M24" s="62"/>
    </row>
    <row r="25" spans="1:13" x14ac:dyDescent="0.3">
      <c r="L25" s="62"/>
      <c r="M25" s="62"/>
    </row>
    <row r="26" spans="1:13" x14ac:dyDescent="0.3">
      <c r="L26" s="62"/>
      <c r="M26" s="62"/>
    </row>
  </sheetData>
  <mergeCells count="5">
    <mergeCell ref="O2:P2"/>
    <mergeCell ref="L2:M2"/>
    <mergeCell ref="H2:I2"/>
    <mergeCell ref="E2:F2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1</vt:i4>
      </vt:variant>
    </vt:vector>
  </HeadingPairs>
  <TitlesOfParts>
    <vt:vector size="9" baseType="lpstr">
      <vt:lpstr>Estudar</vt:lpstr>
      <vt:lpstr>Tudo</vt:lpstr>
      <vt:lpstr>3º ANO - 2º Semestre</vt:lpstr>
      <vt:lpstr>2º ANO - 2º Semestre</vt:lpstr>
      <vt:lpstr>1º ANO - 2º Semestre</vt:lpstr>
      <vt:lpstr>3º ANO - 1º Semestre</vt:lpstr>
      <vt:lpstr>2º ANO - 1º Semestre</vt:lpstr>
      <vt:lpstr>1º ANO - 1º Semestre</vt:lpstr>
      <vt:lpstr>Tudo!topo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Almeida</dc:creator>
  <cp:lastModifiedBy>Alex</cp:lastModifiedBy>
  <cp:lastPrinted>2022-07-04T22:31:53Z</cp:lastPrinted>
  <dcterms:created xsi:type="dcterms:W3CDTF">2022-01-22T02:13:42Z</dcterms:created>
  <dcterms:modified xsi:type="dcterms:W3CDTF">2024-04-06T14:59:47Z</dcterms:modified>
</cp:coreProperties>
</file>