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niversidade\University_Work\"/>
    </mc:Choice>
  </mc:AlternateContent>
  <xr:revisionPtr revIDLastSave="0" documentId="13_ncr:1_{86DEA8B7-9D75-4011-9630-0B541F880BA7}" xr6:coauthVersionLast="47" xr6:coauthVersionMax="47" xr10:uidLastSave="{00000000-0000-0000-0000-000000000000}"/>
  <bookViews>
    <workbookView xWindow="-108" yWindow="-108" windowWidth="23256" windowHeight="12576" tabRatio="797" activeTab="1" xr2:uid="{29B19686-80AD-465B-A46E-BA6EA21EF685}"/>
  </bookViews>
  <sheets>
    <sheet name="Salario" sheetId="9" r:id="rId1"/>
    <sheet name="Estudar" sheetId="7" r:id="rId2"/>
    <sheet name="Tudo" sheetId="1" r:id="rId3"/>
    <sheet name="3º ANO - 2º Semestre" sheetId="8" r:id="rId4"/>
    <sheet name="2º ANO - 2º Semestre" sheetId="5" r:id="rId5"/>
    <sheet name="1º ANO - 2º Semestre" sheetId="3" r:id="rId6"/>
    <sheet name="3º ANO - 1º Semestre" sheetId="6" r:id="rId7"/>
    <sheet name="2º ANO - 1º Semestre" sheetId="4" r:id="rId8"/>
    <sheet name="1º ANO - 1º Semestre" sheetId="2" r:id="rId9"/>
  </sheets>
  <definedNames>
    <definedName name="topo" localSheetId="2">Tudo!$C$10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9" l="1"/>
  <c r="E5" i="9" s="1"/>
  <c r="E4" i="9"/>
  <c r="E3" i="9"/>
  <c r="G3" i="1"/>
  <c r="F3" i="1"/>
  <c r="F23" i="1"/>
  <c r="E23" i="1"/>
  <c r="E28" i="1"/>
  <c r="E18" i="1"/>
  <c r="E13" i="1"/>
  <c r="F13" i="1" s="1"/>
  <c r="E8" i="1"/>
  <c r="E3" i="1"/>
  <c r="D43" i="1"/>
  <c r="D42" i="1"/>
  <c r="D44" i="1" s="1"/>
  <c r="K12" i="6"/>
  <c r="C9" i="6"/>
  <c r="K13" i="6"/>
  <c r="K7" i="6"/>
  <c r="C10" i="6"/>
  <c r="N15" i="4"/>
  <c r="M9" i="2"/>
  <c r="M10" i="2"/>
  <c r="N11" i="4"/>
  <c r="N10" i="4"/>
  <c r="K10" i="3"/>
  <c r="E8" i="9" l="1"/>
  <c r="E9" i="9" s="1"/>
  <c r="C10" i="5" a="1"/>
  <c r="C10" i="5" s="1"/>
  <c r="N10" i="5" l="1"/>
  <c r="Q4" i="4"/>
  <c r="Q3" i="4"/>
  <c r="O10" i="5" a="1"/>
  <c r="O10" i="5" s="1"/>
  <c r="B10" i="5" l="1"/>
  <c r="L10" i="3" a="1"/>
  <c r="L10" i="3" s="1"/>
  <c r="C10" i="3" a="1"/>
  <c r="C10" i="3" s="1"/>
  <c r="G3" i="6"/>
  <c r="P3" i="6"/>
  <c r="G4" i="6"/>
  <c r="P4" i="6"/>
  <c r="G5" i="6"/>
  <c r="P5" i="6"/>
  <c r="G6" i="6"/>
  <c r="P6" i="6"/>
  <c r="P7" i="6"/>
  <c r="P10" i="6" a="1"/>
  <c r="P10" i="6" s="1"/>
  <c r="L10" i="5" a="1"/>
  <c r="L10" i="5" s="1"/>
  <c r="I10" i="5" a="1"/>
  <c r="I10" i="5" s="1"/>
  <c r="F5" i="5"/>
  <c r="F4" i="5"/>
  <c r="F10" i="4"/>
  <c r="J7" i="4"/>
  <c r="J6" i="4"/>
  <c r="J5" i="4"/>
  <c r="J4" i="4"/>
  <c r="J3" i="4"/>
  <c r="C5" i="4"/>
  <c r="C4" i="4"/>
  <c r="C3" i="4"/>
  <c r="F10" i="2" a="1"/>
  <c r="F10" i="2" s="1"/>
  <c r="C10" i="4" l="1" a="1"/>
  <c r="C10" i="4" s="1"/>
  <c r="G9" i="6"/>
  <c r="G10" i="6"/>
  <c r="P11" i="6" a="1"/>
  <c r="P11" i="6" s="1"/>
  <c r="B14" i="6" s="1"/>
  <c r="F10" i="5" a="1"/>
  <c r="F10" i="5" s="1"/>
  <c r="B13" i="5" s="1"/>
  <c r="B13" i="4"/>
  <c r="B13" i="3"/>
  <c r="B13" i="2"/>
  <c r="B13" i="6" l="1"/>
</calcChain>
</file>

<file path=xl/sharedStrings.xml><?xml version="1.0" encoding="utf-8"?>
<sst xmlns="http://schemas.openxmlformats.org/spreadsheetml/2006/main" count="273" uniqueCount="186">
  <si>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</si>
  <si>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</si>
  <si>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</si>
  <si>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</si>
  <si>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</si>
  <si>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</si>
  <si>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</si>
  <si>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</si>
  <si>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</si>
  <si>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</si>
  <si>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</si>
  <si>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</si>
  <si>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</si>
  <si>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</si>
  <si>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</si>
  <si>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</si>
  <si>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</si>
  <si>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</si>
  <si>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</si>
  <si>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</si>
  <si>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</si>
  <si>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</si>
  <si>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</si>
  <si>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</si>
  <si>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</si>
  <si>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</si>
  <si>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</si>
  <si>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Programação Orientada a Objectos</t>
  </si>
  <si>
    <t>Recurso T.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</si>
  <si>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</si>
  <si>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</si>
  <si>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</si>
  <si>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</si>
  <si>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</si>
  <si>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</si>
  <si>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</si>
  <si>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</si>
  <si>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</si>
  <si>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</si>
  <si>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</si>
  <si>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>Algoritmos e estruturas de dados</t>
  </si>
  <si>
    <t>labi tem 8 ects</t>
  </si>
  <si>
    <t>t</t>
  </si>
  <si>
    <t>p</t>
  </si>
  <si>
    <t>tp</t>
  </si>
  <si>
    <t>ExameP</t>
  </si>
  <si>
    <t>aulaP</t>
  </si>
  <si>
    <t>aulaT</t>
  </si>
  <si>
    <t>T</t>
  </si>
  <si>
    <t>aula P</t>
  </si>
  <si>
    <t>P</t>
  </si>
  <si>
    <t>total</t>
  </si>
  <si>
    <t>teorico</t>
  </si>
  <si>
    <t>media</t>
  </si>
  <si>
    <t>arredondado</t>
  </si>
  <si>
    <t>não</t>
  </si>
  <si>
    <t xml:space="preserve">INTRODUÇÃO À ENGENHARIA INFORMÁTICA </t>
  </si>
  <si>
    <t>Algoritmos e Estruturas de Dados</t>
  </si>
  <si>
    <t>GESTÃO DE PROJETOS</t>
  </si>
  <si>
    <t>DESIGN THINKING</t>
  </si>
  <si>
    <t>TÉCNICAS DE COMUNICAÇÃO E APRESENTAÇÕES</t>
  </si>
  <si>
    <t>FABRICO ADITIVO E IMPRESSÃO 3D</t>
  </si>
  <si>
    <t>INTERAÇÃO HUMANO-COMPUTADOR</t>
  </si>
  <si>
    <t>INTRODUÇÃO AO MÉTODO DOS ELEMENTOS FINITOS</t>
  </si>
  <si>
    <t>Introdução à Engenharia Informática</t>
  </si>
  <si>
    <t>* PECI é cadeira anual logo ao alterar o de baixo altera o preto tambem</t>
  </si>
  <si>
    <t>AC1</t>
  </si>
  <si>
    <t>BD</t>
  </si>
  <si>
    <t>IHC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</si>
  <si>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</si>
  <si>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</si>
  <si>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</si>
  <si>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</si>
  <si>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</si>
  <si>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</si>
  <si>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</si>
  <si>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Horas</t>
  </si>
  <si>
    <t>9h -&gt;</t>
  </si>
  <si>
    <t>10h -&gt;</t>
  </si>
  <si>
    <t>11h -&gt;</t>
  </si>
  <si>
    <t>12h -&gt;</t>
  </si>
  <si>
    <t>13h -&gt;</t>
  </si>
  <si>
    <t>14h -&gt;</t>
  </si>
  <si>
    <t>15h -&gt;</t>
  </si>
  <si>
    <t>16h -&gt;</t>
  </si>
  <si>
    <t>17h-&gt;</t>
  </si>
  <si>
    <t>18h-&gt;</t>
  </si>
  <si>
    <t>19h -&gt;</t>
  </si>
  <si>
    <t>20h -&gt;</t>
  </si>
  <si>
    <t>13h</t>
  </si>
  <si>
    <t>9h</t>
  </si>
  <si>
    <t>10h</t>
  </si>
  <si>
    <t>11h</t>
  </si>
  <si>
    <t xml:space="preserve">12h </t>
  </si>
  <si>
    <t>14h</t>
  </si>
  <si>
    <t xml:space="preserve">15h </t>
  </si>
  <si>
    <t xml:space="preserve">16h </t>
  </si>
  <si>
    <t>17h</t>
  </si>
  <si>
    <t>18h</t>
  </si>
  <si>
    <t xml:space="preserve">20h </t>
  </si>
  <si>
    <t xml:space="preserve">19h </t>
  </si>
  <si>
    <t>ExameT</t>
  </si>
  <si>
    <t>Projeto</t>
  </si>
  <si>
    <t>TesteT</t>
  </si>
  <si>
    <t>TP1</t>
  </si>
  <si>
    <t>P3 - desempenho nas aulas</t>
  </si>
  <si>
    <t>P2 - Teste</t>
  </si>
  <si>
    <t>T1</t>
  </si>
  <si>
    <t>T2</t>
  </si>
  <si>
    <t>TP2</t>
  </si>
  <si>
    <t>teorica:</t>
  </si>
  <si>
    <t>Tp1</t>
  </si>
  <si>
    <t>s1</t>
  </si>
  <si>
    <t>s2</t>
  </si>
  <si>
    <t>Tp2</t>
  </si>
  <si>
    <t>Tp3</t>
  </si>
  <si>
    <t>participação</t>
  </si>
  <si>
    <t xml:space="preserve">Teorica: </t>
  </si>
  <si>
    <t xml:space="preserve">Total: </t>
  </si>
  <si>
    <t>RecursoT</t>
  </si>
  <si>
    <t>RecursoP</t>
  </si>
  <si>
    <t>Total</t>
  </si>
  <si>
    <t>Teorica:</t>
  </si>
  <si>
    <t>Total:</t>
  </si>
  <si>
    <t>11,7 no prrimeiro</t>
  </si>
  <si>
    <t>pratica</t>
  </si>
  <si>
    <t>1º mini teste</t>
  </si>
  <si>
    <t>2º mini teste</t>
  </si>
  <si>
    <t>assiduidade TP</t>
  </si>
  <si>
    <t>PL03</t>
  </si>
  <si>
    <t>PL04</t>
  </si>
  <si>
    <t>Nota Final:</t>
  </si>
  <si>
    <t>pds quizes</t>
  </si>
  <si>
    <t>tp3</t>
  </si>
  <si>
    <t>grasp</t>
  </si>
  <si>
    <t>quizz</t>
  </si>
  <si>
    <t>design patterns</t>
  </si>
  <si>
    <t>tp4</t>
  </si>
  <si>
    <t>PDS</t>
  </si>
  <si>
    <t>nota mínima de 7.0 nas 2</t>
  </si>
  <si>
    <t>ATP1</t>
  </si>
  <si>
    <t>ExameATP2</t>
  </si>
  <si>
    <t>ExameTP2</t>
  </si>
  <si>
    <t>AC</t>
  </si>
  <si>
    <t>APF-E</t>
  </si>
  <si>
    <t>APF-T</t>
  </si>
  <si>
    <t>Quiz etc</t>
  </si>
  <si>
    <t>Entregas P - code submissions,</t>
  </si>
  <si>
    <t>EntregasP</t>
  </si>
  <si>
    <t>nota mínima de 7.5 nas 2</t>
  </si>
  <si>
    <t>Exam</t>
  </si>
  <si>
    <t>Paper</t>
  </si>
  <si>
    <t>Assign1</t>
  </si>
  <si>
    <t>Assign2</t>
  </si>
  <si>
    <t>tasks during theoretical classes</t>
  </si>
  <si>
    <t>AC - desempenho nas aulas,</t>
  </si>
  <si>
    <t>e entrega dos guiões</t>
  </si>
  <si>
    <t>APF -  trabalho prático final</t>
  </si>
  <si>
    <t xml:space="preserve">code analysis , presentations </t>
  </si>
  <si>
    <t xml:space="preserve">Pratica: </t>
  </si>
  <si>
    <t xml:space="preserve">40% - Quizzes or other </t>
  </si>
  <si>
    <t xml:space="preserve">assiduidade, realização </t>
  </si>
  <si>
    <t>(grupo de 2 elementos)</t>
  </si>
  <si>
    <t>total:</t>
  </si>
  <si>
    <t>faltam:</t>
  </si>
  <si>
    <t>atual:</t>
  </si>
  <si>
    <t>ANUAL</t>
  </si>
  <si>
    <t>deal liquidos</t>
  </si>
  <si>
    <t>liq</t>
  </si>
  <si>
    <t>ajudas</t>
  </si>
  <si>
    <t>ano</t>
  </si>
  <si>
    <t>mês</t>
  </si>
  <si>
    <t>salario</t>
  </si>
  <si>
    <t>Sub.Alim</t>
  </si>
  <si>
    <t>tempo</t>
  </si>
  <si>
    <t>mês*dia</t>
  </si>
  <si>
    <t>brutos</t>
  </si>
  <si>
    <t>AC1 - TP2</t>
  </si>
  <si>
    <t>AC1 - P2</t>
  </si>
  <si>
    <t>guiao 5</t>
  </si>
  <si>
    <t>guiao 4</t>
  </si>
  <si>
    <t>teste treino</t>
  </si>
  <si>
    <t>testes</t>
  </si>
  <si>
    <t>almoçar</t>
  </si>
  <si>
    <t>estudar</t>
  </si>
  <si>
    <t>estudar até 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</si>
</sst>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Open Sans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749992370372631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9" fontId="0" fillId="3" borderId="1" xfId="2" applyFont="1" applyFill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/>
    <xf numFmtId="9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5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9" fontId="0" fillId="0" borderId="17" xfId="2" applyFont="1" applyFill="1" applyBorder="1" applyAlignment="1">
      <alignment horizontal="center" vertical="center"/>
    </xf>
    <xf numFmtId="9" fontId="0" fillId="0" borderId="19" xfId="2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/>
    </xf>
    <xf numFmtId="9" fontId="0" fillId="9" borderId="1" xfId="0" applyNumberFormat="1" applyFill="1" applyBorder="1" applyAlignment="1">
      <alignment horizontal="center"/>
    </xf>
    <xf numFmtId="0" fontId="0" fillId="9" borderId="1" xfId="0" applyFill="1" applyBorder="1"/>
    <xf numFmtId="0" fontId="0" fillId="9" borderId="12" xfId="0" applyFill="1" applyBorder="1" applyAlignment="1">
      <alignment horizontal="center"/>
    </xf>
    <xf numFmtId="0" fontId="0" fillId="9" borderId="1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 vertical="center"/>
    </xf>
    <xf numFmtId="9" fontId="0" fillId="7" borderId="15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0" fontId="0" fillId="7" borderId="50" xfId="0" applyFill="1" applyBorder="1" applyAlignment="1">
      <alignment horizontal="center"/>
    </xf>
    <xf numFmtId="0" fontId="0" fillId="7" borderId="23" xfId="0" applyFill="1" applyBorder="1"/>
    <xf numFmtId="0" fontId="0" fillId="7" borderId="6" xfId="0" applyFill="1" applyBorder="1"/>
    <xf numFmtId="0" fontId="0" fillId="7" borderId="45" xfId="0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9" fontId="0" fillId="0" borderId="15" xfId="2" applyFont="1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4" fillId="2" borderId="55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3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10" borderId="48" xfId="0" applyFont="1" applyFill="1" applyBorder="1" applyAlignment="1">
      <alignment horizontal="center" vertical="center"/>
    </xf>
    <xf numFmtId="9" fontId="7" fillId="0" borderId="22" xfId="0" applyNumberFormat="1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10" borderId="50" xfId="0" applyFont="1" applyFill="1" applyBorder="1" applyAlignment="1">
      <alignment horizontal="center" vertical="center"/>
    </xf>
    <xf numFmtId="9" fontId="7" fillId="0" borderId="15" xfId="0" applyNumberFormat="1" applyFont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9" fontId="7" fillId="0" borderId="17" xfId="0" applyNumberFormat="1" applyFont="1" applyBorder="1" applyAlignment="1">
      <alignment horizontal="center" vertical="center"/>
    </xf>
    <xf numFmtId="0" fontId="7" fillId="10" borderId="45" xfId="0" applyFont="1" applyFill="1" applyBorder="1" applyAlignment="1">
      <alignment horizontal="center" vertical="center"/>
    </xf>
    <xf numFmtId="9" fontId="7" fillId="0" borderId="46" xfId="0" applyNumberFormat="1" applyFont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10" borderId="47" xfId="0" applyFont="1" applyFill="1" applyBorder="1" applyAlignment="1">
      <alignment horizontal="center" vertical="center"/>
    </xf>
    <xf numFmtId="9" fontId="7" fillId="0" borderId="19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11" borderId="28" xfId="0" applyFont="1" applyFill="1" applyBorder="1" applyAlignment="1">
      <alignment horizontal="center" vertical="center"/>
    </xf>
    <xf numFmtId="0" fontId="7" fillId="11" borderId="25" xfId="0" applyFont="1" applyFill="1" applyBorder="1" applyAlignment="1">
      <alignment horizontal="center" vertical="center"/>
    </xf>
    <xf numFmtId="0" fontId="7" fillId="10" borderId="58" xfId="0" applyFont="1" applyFill="1" applyBorder="1" applyAlignment="1">
      <alignment horizontal="center" vertical="center"/>
    </xf>
    <xf numFmtId="9" fontId="3" fillId="0" borderId="8" xfId="0" applyNumberFormat="1" applyFont="1" applyBorder="1" applyAlignment="1">
      <alignment horizontal="center" vertical="center"/>
    </xf>
    <xf numFmtId="0" fontId="7" fillId="10" borderId="59" xfId="0" applyFont="1" applyFill="1" applyBorder="1" applyAlignment="1">
      <alignment horizontal="center" vertical="center"/>
    </xf>
    <xf numFmtId="0" fontId="7" fillId="10" borderId="1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13" borderId="30" xfId="0" applyFont="1" applyFill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7" fillId="14" borderId="31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14" borderId="32" xfId="0" applyFont="1" applyFill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14" borderId="33" xfId="0" applyFont="1" applyFill="1" applyBorder="1" applyAlignment="1">
      <alignment horizontal="center"/>
    </xf>
    <xf numFmtId="0" fontId="7" fillId="14" borderId="34" xfId="0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10" borderId="31" xfId="0" applyFont="1" applyFill="1" applyBorder="1" applyAlignment="1">
      <alignment horizontal="center"/>
    </xf>
    <xf numFmtId="0" fontId="7" fillId="12" borderId="14" xfId="0" applyFont="1" applyFill="1" applyBorder="1" applyAlignment="1">
      <alignment horizontal="center"/>
    </xf>
    <xf numFmtId="0" fontId="7" fillId="12" borderId="15" xfId="0" applyFont="1" applyFill="1" applyBorder="1" applyAlignment="1">
      <alignment horizontal="center"/>
    </xf>
    <xf numFmtId="0" fontId="7" fillId="10" borderId="32" xfId="0" applyFont="1" applyFill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2" borderId="17" xfId="0" applyFont="1" applyFill="1" applyBorder="1" applyAlignment="1">
      <alignment horizontal="center"/>
    </xf>
    <xf numFmtId="0" fontId="7" fillId="10" borderId="34" xfId="0" applyFont="1" applyFill="1" applyBorder="1" applyAlignment="1">
      <alignment horizontal="center"/>
    </xf>
    <xf numFmtId="0" fontId="7" fillId="12" borderId="18" xfId="0" applyFont="1" applyFill="1" applyBorder="1" applyAlignment="1">
      <alignment horizontal="center"/>
    </xf>
    <xf numFmtId="0" fontId="7" fillId="12" borderId="19" xfId="0" applyFont="1" applyFill="1" applyBorder="1" applyAlignment="1">
      <alignment horizontal="center"/>
    </xf>
    <xf numFmtId="0" fontId="7" fillId="15" borderId="16" xfId="0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32" xfId="0" applyFont="1" applyFill="1" applyBorder="1" applyAlignment="1">
      <alignment horizontal="center"/>
    </xf>
    <xf numFmtId="0" fontId="7" fillId="16" borderId="34" xfId="0" applyFont="1" applyFill="1" applyBorder="1" applyAlignment="1">
      <alignment horizontal="center"/>
    </xf>
    <xf numFmtId="0" fontId="7" fillId="16" borderId="35" xfId="0" applyFont="1" applyFill="1" applyBorder="1" applyAlignment="1">
      <alignment horizontal="center"/>
    </xf>
    <xf numFmtId="0" fontId="7" fillId="12" borderId="21" xfId="0" applyFont="1" applyFill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10" borderId="28" xfId="0" applyFont="1" applyFill="1" applyBorder="1" applyAlignment="1">
      <alignment horizontal="center"/>
    </xf>
    <xf numFmtId="0" fontId="0" fillId="0" borderId="61" xfId="0" applyBorder="1"/>
    <xf numFmtId="0" fontId="0" fillId="0" borderId="42" xfId="0" applyBorder="1"/>
    <xf numFmtId="0" fontId="0" fillId="0" borderId="43" xfId="0" applyBorder="1"/>
    <xf numFmtId="0" fontId="0" fillId="0" borderId="40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9" xfId="0" applyBorder="1" applyAlignment="1">
      <alignment horizontal="right"/>
    </xf>
    <xf numFmtId="0" fontId="7" fillId="18" borderId="28" xfId="0" applyFont="1" applyFill="1" applyBorder="1" applyAlignment="1">
      <alignment horizontal="center"/>
    </xf>
    <xf numFmtId="0" fontId="7" fillId="18" borderId="18" xfId="0" applyFont="1" applyFill="1" applyBorder="1" applyAlignment="1">
      <alignment horizontal="center"/>
    </xf>
    <xf numFmtId="0" fontId="7" fillId="18" borderId="10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19" borderId="38" xfId="0" applyFill="1" applyBorder="1" applyAlignment="1">
      <alignment horizontal="center" vertical="center"/>
    </xf>
    <xf numFmtId="0" fontId="0" fillId="19" borderId="39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9" borderId="62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41" xfId="0" applyFill="1" applyBorder="1" applyAlignment="1">
      <alignment horizontal="center" vertical="center"/>
    </xf>
    <xf numFmtId="0" fontId="0" fillId="19" borderId="25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51" xfId="0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0" fillId="3" borderId="35" xfId="0" applyFont="1" applyFill="1" applyBorder="1" applyAlignment="1">
      <alignment horizontal="center" vertical="center"/>
    </xf>
    <xf numFmtId="0" fontId="0" fillId="0" borderId="61" xfId="0" applyFont="1" applyFill="1" applyBorder="1" applyAlignment="1">
      <alignment horizontal="center" vertical="center"/>
    </xf>
    <xf numFmtId="0" fontId="0" fillId="0" borderId="64" xfId="0" applyFont="1" applyFill="1" applyBorder="1" applyAlignment="1">
      <alignment horizontal="center" vertical="center"/>
    </xf>
    <xf numFmtId="0" fontId="0" fillId="0" borderId="63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49" xfId="0" applyFont="1" applyFill="1" applyBorder="1" applyAlignment="1">
      <alignment horizontal="center" vertical="center"/>
    </xf>
    <xf numFmtId="0" fontId="0" fillId="3" borderId="5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21" borderId="25" xfId="0" applyFont="1" applyFill="1" applyBorder="1" applyAlignment="1">
      <alignment horizontal="center" vertical="center"/>
    </xf>
    <xf numFmtId="0" fontId="0" fillId="3" borderId="49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21" borderId="23" xfId="0" applyFont="1" applyFill="1" applyBorder="1" applyAlignment="1">
      <alignment horizontal="center" vertical="center"/>
    </xf>
    <xf numFmtId="0" fontId="0" fillId="21" borderId="7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10" borderId="30" xfId="0" applyFont="1" applyFill="1" applyBorder="1" applyAlignment="1">
      <alignment horizontal="center"/>
    </xf>
    <xf numFmtId="0" fontId="7" fillId="10" borderId="36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0" xfId="0" applyFont="1"/>
    <xf numFmtId="0" fontId="0" fillId="0" borderId="5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11" borderId="30" xfId="0" applyFont="1" applyFill="1" applyBorder="1" applyAlignment="1">
      <alignment horizontal="center" vertical="center"/>
    </xf>
    <xf numFmtId="0" fontId="7" fillId="11" borderId="36" xfId="0" applyFont="1" applyFill="1" applyBorder="1" applyAlignment="1">
      <alignment horizontal="center" vertical="center"/>
    </xf>
    <xf numFmtId="0" fontId="7" fillId="12" borderId="55" xfId="0" applyFont="1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0" fontId="7" fillId="12" borderId="53" xfId="0" applyFont="1" applyFill="1" applyBorder="1" applyAlignment="1">
      <alignment horizontal="center" vertical="center"/>
    </xf>
    <xf numFmtId="0" fontId="7" fillId="12" borderId="49" xfId="0" applyFont="1" applyFill="1" applyBorder="1" applyAlignment="1">
      <alignment horizontal="center" vertical="center"/>
    </xf>
    <xf numFmtId="0" fontId="7" fillId="12" borderId="28" xfId="0" applyFont="1" applyFill="1" applyBorder="1" applyAlignment="1">
      <alignment horizontal="center" vertical="center"/>
    </xf>
    <xf numFmtId="0" fontId="7" fillId="12" borderId="56" xfId="0" applyFont="1" applyFill="1" applyBorder="1" applyAlignment="1">
      <alignment horizontal="center" vertical="center"/>
    </xf>
    <xf numFmtId="0" fontId="7" fillId="10" borderId="30" xfId="0" applyFont="1" applyFill="1" applyBorder="1" applyAlignment="1">
      <alignment horizontal="center" vertical="center"/>
    </xf>
    <xf numFmtId="0" fontId="7" fillId="10" borderId="36" xfId="0" applyFont="1" applyFill="1" applyBorder="1" applyAlignment="1">
      <alignment horizontal="center" vertical="center"/>
    </xf>
    <xf numFmtId="0" fontId="7" fillId="12" borderId="53" xfId="0" applyFont="1" applyFill="1" applyBorder="1" applyAlignment="1">
      <alignment horizontal="center" vertical="center" wrapText="1"/>
    </xf>
    <xf numFmtId="0" fontId="7" fillId="12" borderId="49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8" borderId="30" xfId="0" applyFill="1" applyBorder="1" applyAlignment="1">
      <alignment horizontal="center" vertical="center"/>
    </xf>
    <xf numFmtId="0" fontId="0" fillId="8" borderId="4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2" borderId="40" xfId="0" applyFont="1" applyFill="1" applyBorder="1" applyAlignment="1">
      <alignment horizontal="center" vertical="center"/>
    </xf>
    <xf numFmtId="0" fontId="0" fillId="22" borderId="65" xfId="0" applyFont="1" applyFill="1" applyBorder="1" applyAlignment="1">
      <alignment horizontal="center" vertical="center"/>
    </xf>
    <xf numFmtId="0" fontId="0" fillId="5" borderId="25" xfId="0" applyFont="1" applyFill="1" applyBorder="1" applyAlignment="1">
      <alignment horizontal="center" vertical="center"/>
    </xf>
    <xf numFmtId="0" fontId="0" fillId="23" borderId="6" xfId="0" applyFont="1" applyFill="1" applyBorder="1" applyAlignment="1">
      <alignment horizontal="center" vertical="center"/>
    </xf>
    <xf numFmtId="0" fontId="0" fillId="23" borderId="40" xfId="0" applyFont="1" applyFill="1" applyBorder="1" applyAlignment="1">
      <alignment horizontal="center" vertical="center"/>
    </xf>
    <xf numFmtId="0" fontId="8" fillId="24" borderId="7" xfId="0" applyFont="1" applyFill="1" applyBorder="1" applyAlignment="1">
      <alignment horizontal="center" vertical="center"/>
    </xf>
    <xf numFmtId="0" fontId="8" fillId="24" borderId="43" xfId="0" applyFont="1" applyFill="1" applyBorder="1" applyAlignment="1">
      <alignment horizontal="center" vertical="center"/>
    </xf>
    <xf numFmtId="0" fontId="0" fillId="0" borderId="37" xfId="0" applyFont="1" applyFill="1" applyBorder="1" applyAlignment="1">
      <alignment horizontal="center" vertic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colors>
    <mruColors>
      <color rgb="FF9F5FCF"/>
      <color rgb="FF996600"/>
      <color rgb="FFFF7C80"/>
      <color rgb="FF6633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4023-36B5-40B1-AE3E-28B3E0E42FCF}">
  <dimension ref="A1:H10"/>
  <sheetViews>
    <sheetView workbookViewId="0">
      <selection activeCell="D21" sqref="D21:E23"/>
    </sheetView>
  </sheetViews>
  <sheetFormatPr defaultRowHeight="14.4" x14ac:dyDescent="0.3"/>
  <cols>
    <col min="1" max="1" width="10.33203125" style="13" bestFit="1" customWidth="1"/>
    <col min="2" max="3" width="8.88671875" style="13"/>
    <col min="4" max="5" width="11.109375" style="13" bestFit="1" customWidth="1"/>
    <col min="6" max="16384" width="8.88671875" style="13"/>
  </cols>
  <sheetData>
    <row r="1" spans="1:8" ht="15" thickBot="1" x14ac:dyDescent="0.35"/>
    <row r="2" spans="1:8" ht="15" thickBot="1" x14ac:dyDescent="0.35">
      <c r="B2" s="158"/>
      <c r="C2" s="154" t="s">
        <v>174</v>
      </c>
      <c r="D2" s="155" t="s">
        <v>167</v>
      </c>
      <c r="E2" s="156" t="s">
        <v>51</v>
      </c>
      <c r="G2" s="163" t="s">
        <v>176</v>
      </c>
      <c r="H2" s="164" t="s">
        <v>168</v>
      </c>
    </row>
    <row r="3" spans="1:8" x14ac:dyDescent="0.3">
      <c r="A3" s="13" t="s">
        <v>171</v>
      </c>
      <c r="B3" s="157" t="s">
        <v>172</v>
      </c>
      <c r="C3" s="150">
        <v>14</v>
      </c>
      <c r="D3" s="159">
        <v>943</v>
      </c>
      <c r="E3" s="151">
        <f>C3*D3</f>
        <v>13202</v>
      </c>
      <c r="G3" s="171">
        <v>1500</v>
      </c>
      <c r="H3" s="172">
        <v>1132</v>
      </c>
    </row>
    <row r="4" spans="1:8" x14ac:dyDescent="0.3">
      <c r="A4" s="13" t="s">
        <v>171</v>
      </c>
      <c r="B4" s="152" t="s">
        <v>169</v>
      </c>
      <c r="C4" s="148">
        <v>11</v>
      </c>
      <c r="D4" s="160">
        <v>100</v>
      </c>
      <c r="E4" s="144">
        <f>C4*D4</f>
        <v>1100</v>
      </c>
      <c r="G4" s="169">
        <v>1400</v>
      </c>
      <c r="H4" s="170">
        <v>1069</v>
      </c>
    </row>
    <row r="5" spans="1:8" ht="15" thickBot="1" x14ac:dyDescent="0.35">
      <c r="A5" s="13" t="s">
        <v>175</v>
      </c>
      <c r="B5" s="153" t="s">
        <v>173</v>
      </c>
      <c r="C5" s="149">
        <f>11*21</f>
        <v>231</v>
      </c>
      <c r="D5" s="161">
        <v>7.2</v>
      </c>
      <c r="E5" s="146">
        <f>C5*D5</f>
        <v>1663.2</v>
      </c>
      <c r="F5" s="162"/>
      <c r="G5" s="169">
        <v>1300</v>
      </c>
      <c r="H5" s="170">
        <v>1006</v>
      </c>
    </row>
    <row r="6" spans="1:8" x14ac:dyDescent="0.3">
      <c r="G6" s="169">
        <v>1200</v>
      </c>
      <c r="H6" s="170">
        <v>943</v>
      </c>
    </row>
    <row r="7" spans="1:8" ht="15" thickBot="1" x14ac:dyDescent="0.35">
      <c r="G7" s="167">
        <v>1100</v>
      </c>
      <c r="H7" s="165">
        <v>878</v>
      </c>
    </row>
    <row r="8" spans="1:8" x14ac:dyDescent="0.3">
      <c r="D8" s="143" t="s">
        <v>170</v>
      </c>
      <c r="E8" s="147">
        <f>(E3+E4+E5)</f>
        <v>15965.2</v>
      </c>
      <c r="G8" s="167">
        <v>1000</v>
      </c>
      <c r="H8" s="165">
        <v>808</v>
      </c>
    </row>
    <row r="9" spans="1:8" ht="15" thickBot="1" x14ac:dyDescent="0.35">
      <c r="D9" s="145" t="s">
        <v>171</v>
      </c>
      <c r="E9" s="146">
        <f>ROUND(E8/14,0)</f>
        <v>1140</v>
      </c>
      <c r="G9" s="167">
        <v>1100</v>
      </c>
      <c r="H9" s="165">
        <v>878</v>
      </c>
    </row>
    <row r="10" spans="1:8" ht="15" thickBot="1" x14ac:dyDescent="0.35">
      <c r="G10" s="168">
        <v>1000</v>
      </c>
      <c r="H10" s="166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AL33"/>
  <sheetViews>
    <sheetView tabSelected="1" zoomScale="85" zoomScaleNormal="85" workbookViewId="0">
      <selection activeCell="B18" sqref="B18"/>
    </sheetView>
  </sheetViews>
  <sheetFormatPr defaultRowHeight="14.4" x14ac:dyDescent="0.3"/>
  <cols>
    <col min="1" max="1" width="13.6640625" style="72" bestFit="1" customWidth="1"/>
    <col min="2" max="8" width="15.5546875" style="72" bestFit="1" customWidth="1"/>
    <col min="9" max="9" width="8.6640625" style="72" customWidth="1"/>
    <col min="10" max="10" width="12.5546875" style="72" customWidth="1"/>
    <col min="11" max="11" width="9.33203125" style="72" bestFit="1" customWidth="1"/>
    <col min="12" max="14" width="18.21875" style="72" bestFit="1" customWidth="1"/>
    <col min="15" max="15" width="8.88671875" style="72"/>
    <col min="16" max="16" width="14.5546875" style="72" customWidth="1"/>
    <col min="17" max="17" width="14.88671875" style="72" bestFit="1" customWidth="1"/>
    <col min="18" max="18" width="8.33203125" style="72" customWidth="1"/>
    <col min="19" max="19" width="8.88671875" style="72"/>
    <col min="20" max="20" width="9.5546875" style="72" bestFit="1" customWidth="1"/>
    <col min="21" max="21" width="7.6640625" style="72" bestFit="1" customWidth="1"/>
    <col min="22" max="22" width="7.5546875" style="72" bestFit="1" customWidth="1"/>
    <col min="23" max="23" width="8.88671875" style="72"/>
    <col min="24" max="24" width="10" style="72" customWidth="1"/>
    <col min="25" max="25" width="9.6640625" style="72" bestFit="1" customWidth="1"/>
    <col min="26" max="26" width="7.33203125" style="72" bestFit="1" customWidth="1"/>
    <col min="27" max="27" width="6" style="72" customWidth="1"/>
    <col min="28" max="28" width="12" style="72" customWidth="1"/>
    <col min="29" max="29" width="9.6640625" style="72" bestFit="1" customWidth="1"/>
    <col min="30" max="30" width="7.33203125" style="72" bestFit="1" customWidth="1"/>
    <col min="31" max="31" width="8.33203125" style="72" customWidth="1"/>
    <col min="32" max="32" width="6.109375" style="72" customWidth="1"/>
    <col min="33" max="33" width="6.21875" style="72" customWidth="1"/>
    <col min="34" max="34" width="6.33203125" style="72" customWidth="1"/>
    <col min="35" max="35" width="5.88671875" style="72" customWidth="1"/>
    <col min="36" max="16384" width="8.88671875" style="72"/>
  </cols>
  <sheetData>
    <row r="1" spans="1:38" ht="15" thickBot="1" x14ac:dyDescent="0.35">
      <c r="B1" s="72">
        <v>21</v>
      </c>
      <c r="C1" s="72">
        <v>22</v>
      </c>
      <c r="D1" s="72">
        <v>23</v>
      </c>
      <c r="E1" s="72">
        <v>24</v>
      </c>
      <c r="F1" s="72">
        <v>25</v>
      </c>
      <c r="G1" s="72">
        <v>26</v>
      </c>
      <c r="H1" s="72">
        <v>27</v>
      </c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</row>
    <row r="2" spans="1:38" ht="15" thickBot="1" x14ac:dyDescent="0.35">
      <c r="A2" s="73" t="s">
        <v>76</v>
      </c>
      <c r="B2" s="183" t="s">
        <v>69</v>
      </c>
      <c r="C2" s="73" t="s">
        <v>70</v>
      </c>
      <c r="D2" s="73" t="s">
        <v>71</v>
      </c>
      <c r="E2" s="73" t="s">
        <v>72</v>
      </c>
      <c r="F2" s="73" t="s">
        <v>73</v>
      </c>
      <c r="G2" s="73" t="s">
        <v>74</v>
      </c>
      <c r="H2" s="73" t="s">
        <v>75</v>
      </c>
      <c r="I2" s="73" t="s">
        <v>76</v>
      </c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</row>
    <row r="3" spans="1:38" x14ac:dyDescent="0.3">
      <c r="A3" s="175" t="s">
        <v>77</v>
      </c>
      <c r="B3" s="247"/>
      <c r="C3" s="248"/>
      <c r="D3" s="247"/>
      <c r="E3" s="248"/>
      <c r="F3" s="247"/>
      <c r="G3" s="248"/>
      <c r="H3" s="247"/>
      <c r="I3" s="179" t="s">
        <v>90</v>
      </c>
      <c r="J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</row>
    <row r="4" spans="1:38" ht="15" thickBot="1" x14ac:dyDescent="0.35">
      <c r="A4" s="176" t="s">
        <v>78</v>
      </c>
      <c r="B4" s="250" t="s">
        <v>184</v>
      </c>
      <c r="C4" s="250" t="s">
        <v>184</v>
      </c>
      <c r="D4" s="250" t="s">
        <v>184</v>
      </c>
      <c r="E4" s="250" t="s">
        <v>184</v>
      </c>
      <c r="F4" s="250" t="s">
        <v>184</v>
      </c>
      <c r="G4" s="250" t="s">
        <v>184</v>
      </c>
      <c r="H4" s="250" t="s">
        <v>184</v>
      </c>
      <c r="I4" s="75" t="s">
        <v>91</v>
      </c>
      <c r="J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</row>
    <row r="5" spans="1:38" x14ac:dyDescent="0.3">
      <c r="A5" s="177" t="s">
        <v>79</v>
      </c>
      <c r="B5" s="251" t="s">
        <v>185</v>
      </c>
      <c r="C5" s="251" t="s">
        <v>185</v>
      </c>
      <c r="D5" s="251" t="s">
        <v>185</v>
      </c>
      <c r="E5" s="251" t="s">
        <v>185</v>
      </c>
      <c r="F5" s="251" t="s">
        <v>185</v>
      </c>
      <c r="G5" s="251" t="s">
        <v>185</v>
      </c>
      <c r="H5" s="251" t="s">
        <v>185</v>
      </c>
      <c r="I5" s="179" t="s">
        <v>92</v>
      </c>
      <c r="J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</row>
    <row r="6" spans="1:38" ht="15" thickBot="1" x14ac:dyDescent="0.35">
      <c r="A6" s="176" t="s">
        <v>80</v>
      </c>
      <c r="B6" s="252" t="s">
        <v>183</v>
      </c>
      <c r="C6" s="252" t="s">
        <v>183</v>
      </c>
      <c r="D6" s="252" t="s">
        <v>183</v>
      </c>
      <c r="E6" s="252" t="s">
        <v>183</v>
      </c>
      <c r="F6" s="252" t="s">
        <v>183</v>
      </c>
      <c r="G6" s="252" t="s">
        <v>183</v>
      </c>
      <c r="H6" s="252" t="s">
        <v>183</v>
      </c>
      <c r="I6" s="253" t="s">
        <v>93</v>
      </c>
      <c r="J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</row>
    <row r="7" spans="1:38" ht="15" thickBot="1" x14ac:dyDescent="0.35">
      <c r="A7" s="178" t="s">
        <v>81</v>
      </c>
      <c r="B7" s="188" t="s">
        <v>177</v>
      </c>
      <c r="C7" s="184" t="s">
        <v>184</v>
      </c>
      <c r="D7" s="185" t="s">
        <v>184</v>
      </c>
      <c r="E7" s="184"/>
      <c r="F7" s="185"/>
      <c r="G7" s="184"/>
      <c r="H7" s="185"/>
      <c r="I7" s="254" t="s">
        <v>89</v>
      </c>
      <c r="J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</row>
    <row r="8" spans="1:38" ht="15" thickBot="1" x14ac:dyDescent="0.35">
      <c r="A8" s="176" t="s">
        <v>82</v>
      </c>
      <c r="B8" s="193" t="s">
        <v>178</v>
      </c>
      <c r="C8" s="186"/>
      <c r="D8" s="173"/>
      <c r="E8" s="190"/>
      <c r="F8" s="173"/>
      <c r="G8" s="186"/>
      <c r="H8" s="173"/>
      <c r="I8" s="179" t="s">
        <v>94</v>
      </c>
      <c r="J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</row>
    <row r="9" spans="1:38" ht="15" thickBot="1" x14ac:dyDescent="0.35">
      <c r="A9" s="177" t="s">
        <v>83</v>
      </c>
      <c r="B9" s="194"/>
      <c r="C9" s="249" t="s">
        <v>177</v>
      </c>
      <c r="D9" s="185"/>
      <c r="E9" s="191"/>
      <c r="F9" s="185"/>
      <c r="G9" s="184"/>
      <c r="H9" s="185"/>
      <c r="I9" s="75" t="s">
        <v>95</v>
      </c>
      <c r="J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</row>
    <row r="10" spans="1:38" ht="15" thickBot="1" x14ac:dyDescent="0.35">
      <c r="A10" s="176" t="s">
        <v>84</v>
      </c>
      <c r="B10" s="174"/>
      <c r="C10" s="187"/>
      <c r="D10" s="174"/>
      <c r="E10" s="187"/>
      <c r="F10" s="174"/>
      <c r="G10" s="187"/>
      <c r="H10" s="174"/>
      <c r="I10" s="180" t="s">
        <v>96</v>
      </c>
      <c r="J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</row>
    <row r="11" spans="1:38" ht="15" customHeight="1" thickBot="1" x14ac:dyDescent="0.35">
      <c r="A11" s="177" t="s">
        <v>85</v>
      </c>
      <c r="B11" s="192"/>
      <c r="C11" s="191"/>
      <c r="D11" s="192"/>
      <c r="E11" s="184"/>
      <c r="F11" s="192"/>
      <c r="G11" s="191"/>
      <c r="H11" s="192"/>
      <c r="I11" s="181" t="s">
        <v>97</v>
      </c>
      <c r="J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</row>
    <row r="12" spans="1:38" ht="15" thickBot="1" x14ac:dyDescent="0.35">
      <c r="A12" s="176" t="s">
        <v>86</v>
      </c>
      <c r="B12" s="192"/>
      <c r="C12" s="191"/>
      <c r="D12" s="192"/>
      <c r="E12" s="184"/>
      <c r="F12" s="192"/>
      <c r="G12" s="191"/>
      <c r="H12" s="192"/>
      <c r="I12" s="179" t="s">
        <v>98</v>
      </c>
      <c r="J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</row>
    <row r="13" spans="1:38" ht="15" thickBot="1" x14ac:dyDescent="0.35">
      <c r="A13" s="177" t="s">
        <v>87</v>
      </c>
      <c r="B13" s="173"/>
      <c r="C13" s="186"/>
      <c r="D13" s="173"/>
      <c r="E13" s="186"/>
      <c r="F13" s="173"/>
      <c r="G13" s="186"/>
      <c r="H13" s="173"/>
      <c r="I13" s="75" t="s">
        <v>100</v>
      </c>
      <c r="J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</row>
    <row r="14" spans="1:38" ht="15" customHeight="1" thickBot="1" x14ac:dyDescent="0.35">
      <c r="A14" s="176" t="s">
        <v>88</v>
      </c>
      <c r="B14" s="174"/>
      <c r="C14" s="187"/>
      <c r="D14" s="174"/>
      <c r="E14" s="187"/>
      <c r="F14" s="174"/>
      <c r="G14" s="187"/>
      <c r="H14" s="174"/>
      <c r="I14" s="182" t="s">
        <v>99</v>
      </c>
      <c r="J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</row>
    <row r="15" spans="1:38" ht="15" thickBot="1" x14ac:dyDescent="0.35">
      <c r="J15" s="77"/>
      <c r="U15" s="77"/>
      <c r="V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</row>
    <row r="16" spans="1:38" ht="15.6" customHeight="1" thickBot="1" x14ac:dyDescent="0.35">
      <c r="A16" s="189" t="s">
        <v>66</v>
      </c>
      <c r="B16" s="142" t="s">
        <v>179</v>
      </c>
      <c r="C16" s="71" t="s">
        <v>180</v>
      </c>
      <c r="D16" s="142" t="s">
        <v>181</v>
      </c>
      <c r="E16" s="71" t="s">
        <v>182</v>
      </c>
      <c r="F16" s="71"/>
      <c r="G16" s="71"/>
      <c r="H16" s="142"/>
      <c r="I16" s="71"/>
      <c r="J16" s="77"/>
      <c r="U16" s="77"/>
      <c r="V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</row>
    <row r="17" spans="15:38" ht="15.6" customHeight="1" x14ac:dyDescent="0.3">
      <c r="U17" s="77"/>
      <c r="V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</row>
    <row r="18" spans="15:38" x14ac:dyDescent="0.3">
      <c r="U18" s="77"/>
      <c r="V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</row>
    <row r="19" spans="15:38" x14ac:dyDescent="0.3">
      <c r="U19" s="77"/>
      <c r="V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</row>
    <row r="20" spans="15:38" x14ac:dyDescent="0.3">
      <c r="U20" s="77"/>
      <c r="V20" s="77"/>
      <c r="AG20" s="77"/>
      <c r="AH20" s="77"/>
      <c r="AI20" s="77"/>
      <c r="AJ20" s="77"/>
      <c r="AK20" s="77"/>
      <c r="AL20" s="77"/>
    </row>
    <row r="21" spans="15:38" x14ac:dyDescent="0.3">
      <c r="AG21" s="77"/>
      <c r="AH21" s="77"/>
      <c r="AI21" s="77"/>
      <c r="AJ21" s="77"/>
      <c r="AK21" s="77"/>
      <c r="AL21" s="77"/>
    </row>
    <row r="22" spans="15:38" x14ac:dyDescent="0.3">
      <c r="AG22" s="77"/>
      <c r="AH22" s="77"/>
      <c r="AI22" s="77"/>
      <c r="AJ22" s="77"/>
      <c r="AK22" s="77"/>
      <c r="AL22" s="77"/>
    </row>
    <row r="23" spans="15:38" x14ac:dyDescent="0.3">
      <c r="AG23" s="77"/>
      <c r="AH23" s="77"/>
      <c r="AI23" s="77"/>
      <c r="AJ23" s="77"/>
      <c r="AK23" s="77"/>
      <c r="AL23" s="77"/>
    </row>
    <row r="24" spans="15:38" x14ac:dyDescent="0.3">
      <c r="AG24" s="77"/>
      <c r="AH24" s="77"/>
      <c r="AI24" s="77"/>
      <c r="AJ24" s="77"/>
      <c r="AK24" s="77"/>
      <c r="AL24" s="77"/>
    </row>
    <row r="25" spans="15:38" x14ac:dyDescent="0.3"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</row>
    <row r="26" spans="15:38" x14ac:dyDescent="0.3"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</row>
    <row r="27" spans="15:38" x14ac:dyDescent="0.3"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</row>
    <row r="28" spans="15:38" x14ac:dyDescent="0.3"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</row>
    <row r="29" spans="15:38" x14ac:dyDescent="0.3"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</row>
    <row r="30" spans="15:38" x14ac:dyDescent="0.3"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</row>
    <row r="31" spans="15:38" x14ac:dyDescent="0.3"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</row>
    <row r="32" spans="15:38" x14ac:dyDescent="0.3"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</row>
    <row r="33" spans="15:38" x14ac:dyDescent="0.3"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</row>
  </sheetData>
  <mergeCells count="8">
    <mergeCell ref="H11:H12"/>
    <mergeCell ref="G11:G12"/>
    <mergeCell ref="E8:E9"/>
    <mergeCell ref="B11:B12"/>
    <mergeCell ref="D11:D12"/>
    <mergeCell ref="C11:C12"/>
    <mergeCell ref="B8:B9"/>
    <mergeCell ref="F11:F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T44"/>
  <sheetViews>
    <sheetView zoomScaleNormal="60" workbookViewId="0">
      <selection activeCell="A2" sqref="A2:G44"/>
    </sheetView>
  </sheetViews>
  <sheetFormatPr defaultRowHeight="14.4" x14ac:dyDescent="0.3"/>
  <cols>
    <col min="1" max="1" width="7" bestFit="1" customWidth="1"/>
    <col min="2" max="2" width="52.88671875" bestFit="1" customWidth="1"/>
    <col min="3" max="3" width="13.44140625" bestFit="1" customWidth="1"/>
    <col min="4" max="4" width="5.109375" bestFit="1" customWidth="1"/>
    <col min="5" max="5" width="22.44140625" customWidth="1"/>
    <col min="6" max="6" width="7.6640625" customWidth="1"/>
    <col min="7" max="7" width="10.44140625" customWidth="1"/>
    <col min="10" max="10" width="52.88671875" style="13" bestFit="1" customWidth="1"/>
    <col min="11" max="11" width="12" bestFit="1" customWidth="1"/>
    <col min="12" max="13" width="29" bestFit="1" customWidth="1"/>
    <col min="14" max="14" width="7.88671875" customWidth="1"/>
    <col min="15" max="15" width="8.109375" customWidth="1"/>
    <col min="16" max="16" width="38.6640625" customWidth="1"/>
    <col min="17" max="18" width="9.109375" customWidth="1"/>
    <col min="19" max="19" width="23.44140625" customWidth="1"/>
  </cols>
  <sheetData>
    <row r="1" spans="1:12" ht="15" thickBot="1" x14ac:dyDescent="0.35">
      <c r="A1" s="76"/>
      <c r="B1" s="76"/>
      <c r="C1" s="76"/>
      <c r="D1" s="211"/>
      <c r="E1" s="211"/>
      <c r="F1" s="76"/>
      <c r="G1" s="76"/>
      <c r="H1" s="76"/>
      <c r="I1" s="76"/>
      <c r="J1" s="77"/>
      <c r="K1" s="76"/>
      <c r="L1" s="76"/>
    </row>
    <row r="2" spans="1:12" ht="15" thickBot="1" x14ac:dyDescent="0.35">
      <c r="A2" s="101"/>
      <c r="B2" s="102" t="s">
        <v>0</v>
      </c>
      <c r="C2" s="103" t="s">
        <v>8</v>
      </c>
      <c r="D2" s="104" t="s">
        <v>1</v>
      </c>
      <c r="E2" s="101"/>
      <c r="F2" s="101"/>
      <c r="G2" s="101"/>
      <c r="H2" s="76"/>
      <c r="I2" s="76"/>
      <c r="J2" s="77"/>
      <c r="K2" s="76"/>
      <c r="L2" s="76"/>
    </row>
    <row r="3" spans="1:12" x14ac:dyDescent="0.3">
      <c r="A3" s="200" t="s">
        <v>19</v>
      </c>
      <c r="B3" s="105" t="s">
        <v>2</v>
      </c>
      <c r="C3" s="106">
        <v>10</v>
      </c>
      <c r="D3" s="107">
        <v>6</v>
      </c>
      <c r="E3" s="206">
        <f>SUM(C3:C7)/5</f>
        <v>11.4</v>
      </c>
      <c r="F3" s="195">
        <f>SUM(E3:E12)/2</f>
        <v>11.9</v>
      </c>
      <c r="G3" s="195">
        <f xml:space="preserve"> ROUND(SUM(F3:F23)/3,2)</f>
        <v>11.77</v>
      </c>
      <c r="H3" s="76"/>
      <c r="I3" s="76"/>
      <c r="J3" s="77"/>
      <c r="K3" s="76"/>
      <c r="L3" s="76"/>
    </row>
    <row r="4" spans="1:12" ht="15" thickBot="1" x14ac:dyDescent="0.35">
      <c r="A4" s="201"/>
      <c r="B4" s="109" t="s">
        <v>7</v>
      </c>
      <c r="C4" s="110">
        <v>12</v>
      </c>
      <c r="D4" s="111">
        <v>6</v>
      </c>
      <c r="E4" s="207"/>
      <c r="F4" s="196"/>
      <c r="G4" s="196"/>
      <c r="H4" s="76"/>
      <c r="I4" s="76"/>
      <c r="J4" s="77"/>
      <c r="K4" s="76"/>
      <c r="L4" s="76"/>
    </row>
    <row r="5" spans="1:12" ht="15" thickBot="1" x14ac:dyDescent="0.35">
      <c r="A5" s="201"/>
      <c r="B5" s="109" t="s">
        <v>6</v>
      </c>
      <c r="C5" s="92">
        <v>12</v>
      </c>
      <c r="D5" s="111">
        <v>6</v>
      </c>
      <c r="E5" s="207"/>
      <c r="F5" s="196"/>
      <c r="G5" s="196"/>
      <c r="H5" s="76"/>
      <c r="I5" s="76"/>
      <c r="J5" s="77"/>
      <c r="K5" s="76"/>
      <c r="L5" s="76"/>
    </row>
    <row r="6" spans="1:12" x14ac:dyDescent="0.3">
      <c r="A6" s="201"/>
      <c r="B6" s="112" t="s">
        <v>5</v>
      </c>
      <c r="C6" s="108">
        <v>10</v>
      </c>
      <c r="D6" s="111">
        <v>6</v>
      </c>
      <c r="E6" s="207"/>
      <c r="F6" s="196"/>
      <c r="G6" s="196"/>
      <c r="H6" s="76"/>
      <c r="I6" s="76"/>
      <c r="J6" s="77"/>
      <c r="K6" s="76"/>
      <c r="L6" s="76"/>
    </row>
    <row r="7" spans="1:12" ht="15" thickBot="1" x14ac:dyDescent="0.35">
      <c r="A7" s="201"/>
      <c r="B7" s="113" t="s">
        <v>64</v>
      </c>
      <c r="C7" s="114">
        <v>13</v>
      </c>
      <c r="D7" s="115">
        <v>6</v>
      </c>
      <c r="E7" s="208"/>
      <c r="F7" s="196"/>
      <c r="G7" s="196"/>
      <c r="H7" s="76"/>
      <c r="I7" s="76"/>
      <c r="J7" s="77"/>
      <c r="K7" s="76"/>
      <c r="L7" s="76"/>
    </row>
    <row r="8" spans="1:12" x14ac:dyDescent="0.3">
      <c r="A8" s="201"/>
      <c r="B8" s="116" t="s">
        <v>3</v>
      </c>
      <c r="C8" s="117">
        <v>10</v>
      </c>
      <c r="D8" s="118">
        <v>6</v>
      </c>
      <c r="E8" s="206">
        <f>SUM(C8:C12)/5</f>
        <v>12.4</v>
      </c>
      <c r="F8" s="196"/>
      <c r="G8" s="196"/>
      <c r="H8" s="76"/>
      <c r="I8" s="76"/>
      <c r="J8" s="77"/>
      <c r="K8" s="76"/>
      <c r="L8" s="76"/>
    </row>
    <row r="9" spans="1:12" x14ac:dyDescent="0.3">
      <c r="A9" s="201"/>
      <c r="B9" s="119" t="s">
        <v>4</v>
      </c>
      <c r="C9" s="120">
        <v>11</v>
      </c>
      <c r="D9" s="121">
        <v>6</v>
      </c>
      <c r="E9" s="207"/>
      <c r="F9" s="196"/>
      <c r="G9" s="196"/>
      <c r="H9" s="76"/>
      <c r="I9" s="76"/>
      <c r="J9" s="77"/>
      <c r="K9" s="76"/>
      <c r="L9" s="76"/>
    </row>
    <row r="10" spans="1:12" x14ac:dyDescent="0.3">
      <c r="A10" s="201"/>
      <c r="B10" s="119" t="s">
        <v>9</v>
      </c>
      <c r="C10" s="120">
        <v>13</v>
      </c>
      <c r="D10" s="121">
        <v>6</v>
      </c>
      <c r="E10" s="207"/>
      <c r="F10" s="196"/>
      <c r="G10" s="196"/>
      <c r="H10" s="76"/>
      <c r="I10" s="76"/>
      <c r="J10" s="77"/>
      <c r="K10" s="76"/>
      <c r="L10" s="76"/>
    </row>
    <row r="11" spans="1:12" x14ac:dyDescent="0.3">
      <c r="A11" s="201"/>
      <c r="B11" s="119" t="s">
        <v>14</v>
      </c>
      <c r="C11" s="120">
        <v>16</v>
      </c>
      <c r="D11" s="121">
        <v>6</v>
      </c>
      <c r="E11" s="207"/>
      <c r="F11" s="196"/>
      <c r="G11" s="196"/>
      <c r="H11" s="76"/>
      <c r="I11" s="76"/>
      <c r="J11" s="77"/>
      <c r="K11" s="76"/>
      <c r="L11" s="76"/>
    </row>
    <row r="12" spans="1:12" ht="15" thickBot="1" x14ac:dyDescent="0.35">
      <c r="A12" s="202"/>
      <c r="B12" s="122" t="s">
        <v>10</v>
      </c>
      <c r="C12" s="123">
        <v>12</v>
      </c>
      <c r="D12" s="124">
        <v>6</v>
      </c>
      <c r="E12" s="208"/>
      <c r="F12" s="197"/>
      <c r="G12" s="196"/>
      <c r="H12" s="76"/>
      <c r="I12" s="76"/>
      <c r="J12" s="77"/>
      <c r="K12" s="76"/>
      <c r="L12" s="76"/>
    </row>
    <row r="13" spans="1:12" x14ac:dyDescent="0.3">
      <c r="A13" s="203" t="s">
        <v>20</v>
      </c>
      <c r="B13" s="105" t="s">
        <v>11</v>
      </c>
      <c r="C13" s="106">
        <v>10</v>
      </c>
      <c r="D13" s="107">
        <v>6</v>
      </c>
      <c r="E13" s="206">
        <f>SUM(C13:C17)/5</f>
        <v>11.4</v>
      </c>
      <c r="F13" s="195">
        <f>SUM(E13:E22)/2</f>
        <v>11.5</v>
      </c>
      <c r="G13" s="196"/>
      <c r="H13" s="76"/>
      <c r="I13" s="76"/>
      <c r="J13" s="77"/>
      <c r="K13" s="76"/>
      <c r="L13" s="76"/>
    </row>
    <row r="14" spans="1:12" x14ac:dyDescent="0.3">
      <c r="A14" s="204"/>
      <c r="B14" s="109" t="s">
        <v>12</v>
      </c>
      <c r="C14" s="110">
        <v>13</v>
      </c>
      <c r="D14" s="111">
        <v>6</v>
      </c>
      <c r="E14" s="207"/>
      <c r="F14" s="196"/>
      <c r="G14" s="196"/>
      <c r="H14" s="76"/>
      <c r="I14" s="76"/>
      <c r="J14" s="77"/>
      <c r="K14" s="76"/>
      <c r="L14" s="76"/>
    </row>
    <row r="15" spans="1:12" x14ac:dyDescent="0.3">
      <c r="A15" s="204"/>
      <c r="B15" s="109" t="s">
        <v>24</v>
      </c>
      <c r="C15" s="110">
        <v>13</v>
      </c>
      <c r="D15" s="111">
        <v>6</v>
      </c>
      <c r="E15" s="207"/>
      <c r="F15" s="196"/>
      <c r="G15" s="196"/>
      <c r="H15" s="76"/>
      <c r="I15" s="76"/>
      <c r="J15" s="77"/>
      <c r="K15" s="76"/>
      <c r="L15" s="76"/>
    </row>
    <row r="16" spans="1:12" x14ac:dyDescent="0.3">
      <c r="A16" s="204"/>
      <c r="B16" s="109" t="s">
        <v>13</v>
      </c>
      <c r="C16" s="125">
        <v>10</v>
      </c>
      <c r="D16" s="111">
        <v>6</v>
      </c>
      <c r="E16" s="207"/>
      <c r="F16" s="196"/>
      <c r="G16" s="196"/>
      <c r="H16" s="76"/>
      <c r="I16" s="76"/>
      <c r="J16" s="77"/>
      <c r="K16" s="76"/>
      <c r="L16" s="76"/>
    </row>
    <row r="17" spans="1:20" ht="15" thickBot="1" x14ac:dyDescent="0.35">
      <c r="A17" s="204"/>
      <c r="B17" s="112" t="s">
        <v>40</v>
      </c>
      <c r="C17" s="108">
        <v>11</v>
      </c>
      <c r="D17" s="115">
        <v>6</v>
      </c>
      <c r="E17" s="208"/>
      <c r="F17" s="196"/>
      <c r="G17" s="196"/>
      <c r="H17" s="76"/>
      <c r="I17" s="76"/>
      <c r="J17" s="77"/>
      <c r="K17" s="76"/>
      <c r="L17" s="76"/>
    </row>
    <row r="18" spans="1:20" x14ac:dyDescent="0.3">
      <c r="A18" s="204"/>
      <c r="B18" s="126" t="s">
        <v>15</v>
      </c>
      <c r="C18" s="117">
        <v>12</v>
      </c>
      <c r="D18" s="107">
        <v>6</v>
      </c>
      <c r="E18" s="206">
        <f>SUM(C18:C22)/5</f>
        <v>11.6</v>
      </c>
      <c r="F18" s="196"/>
      <c r="G18" s="196"/>
      <c r="H18" s="76"/>
      <c r="I18" s="76"/>
      <c r="J18" s="77"/>
      <c r="K18" s="76"/>
      <c r="L18" s="76"/>
    </row>
    <row r="19" spans="1:20" x14ac:dyDescent="0.3">
      <c r="A19" s="204"/>
      <c r="B19" s="127" t="s">
        <v>17</v>
      </c>
      <c r="C19" s="110">
        <v>12</v>
      </c>
      <c r="D19" s="111">
        <v>6</v>
      </c>
      <c r="E19" s="207"/>
      <c r="F19" s="196"/>
      <c r="G19" s="196"/>
      <c r="H19" s="76"/>
      <c r="I19" s="76"/>
      <c r="J19" s="77"/>
      <c r="K19" s="76"/>
      <c r="L19" s="76"/>
    </row>
    <row r="20" spans="1:20" x14ac:dyDescent="0.3">
      <c r="A20" s="204"/>
      <c r="B20" s="127" t="s">
        <v>25</v>
      </c>
      <c r="C20" s="110">
        <v>12</v>
      </c>
      <c r="D20" s="111">
        <v>6</v>
      </c>
      <c r="E20" s="207"/>
      <c r="F20" s="196"/>
      <c r="G20" s="196"/>
      <c r="H20" s="76"/>
      <c r="I20" s="76"/>
      <c r="J20" s="77"/>
      <c r="K20" s="76"/>
      <c r="L20" s="76"/>
    </row>
    <row r="21" spans="1:20" x14ac:dyDescent="0.3">
      <c r="A21" s="204"/>
      <c r="B21" s="127" t="s">
        <v>16</v>
      </c>
      <c r="C21" s="125">
        <v>10</v>
      </c>
      <c r="D21" s="111">
        <v>6</v>
      </c>
      <c r="E21" s="207"/>
      <c r="F21" s="196"/>
      <c r="G21" s="196"/>
      <c r="H21" s="76"/>
      <c r="I21" s="76"/>
      <c r="J21" s="77"/>
      <c r="K21" s="76"/>
      <c r="L21" s="76"/>
    </row>
    <row r="22" spans="1:20" ht="15" thickBot="1" x14ac:dyDescent="0.35">
      <c r="A22" s="205"/>
      <c r="B22" s="128" t="s">
        <v>18</v>
      </c>
      <c r="C22" s="123">
        <v>12</v>
      </c>
      <c r="D22" s="115">
        <v>6</v>
      </c>
      <c r="E22" s="208"/>
      <c r="F22" s="197"/>
      <c r="G22" s="196"/>
      <c r="H22" s="76"/>
      <c r="I22" s="76"/>
      <c r="J22" s="77"/>
      <c r="K22" s="76"/>
      <c r="L22" s="76"/>
    </row>
    <row r="23" spans="1:20" x14ac:dyDescent="0.3">
      <c r="A23" s="209" t="s">
        <v>29</v>
      </c>
      <c r="B23" s="105" t="s">
        <v>30</v>
      </c>
      <c r="C23" s="117">
        <v>11</v>
      </c>
      <c r="D23" s="107">
        <v>6</v>
      </c>
      <c r="E23" s="206">
        <f>SUM(C23:C26,C32:C32)/5</f>
        <v>11.6</v>
      </c>
      <c r="F23" s="195">
        <f>SUM(E23:E32)/2</f>
        <v>11.899999999999999</v>
      </c>
      <c r="G23" s="196"/>
      <c r="H23" s="76"/>
      <c r="I23" s="76"/>
      <c r="J23" s="77"/>
      <c r="K23" s="76"/>
      <c r="L23" s="76"/>
      <c r="S23" s="23"/>
      <c r="T23" s="23"/>
    </row>
    <row r="24" spans="1:20" x14ac:dyDescent="0.3">
      <c r="A24" s="210"/>
      <c r="B24" s="109" t="s">
        <v>31</v>
      </c>
      <c r="C24" s="120">
        <v>11</v>
      </c>
      <c r="D24" s="111">
        <v>6</v>
      </c>
      <c r="E24" s="207"/>
      <c r="F24" s="196"/>
      <c r="G24" s="196"/>
      <c r="H24" s="76"/>
      <c r="I24" s="76"/>
      <c r="J24" s="77"/>
      <c r="K24" s="76"/>
      <c r="L24" s="76"/>
      <c r="O24" s="13"/>
      <c r="R24" s="13"/>
      <c r="S24" s="23"/>
      <c r="T24" s="23"/>
    </row>
    <row r="25" spans="1:20" x14ac:dyDescent="0.3">
      <c r="A25" s="210"/>
      <c r="B25" s="109" t="s">
        <v>32</v>
      </c>
      <c r="C25" s="120">
        <v>10</v>
      </c>
      <c r="D25" s="111">
        <v>6</v>
      </c>
      <c r="E25" s="207"/>
      <c r="F25" s="196"/>
      <c r="G25" s="196"/>
      <c r="H25" s="76"/>
      <c r="I25" s="76"/>
      <c r="J25" s="77"/>
      <c r="K25" s="76"/>
      <c r="L25" s="76"/>
      <c r="O25" s="13"/>
      <c r="R25" s="13"/>
      <c r="S25" s="23"/>
      <c r="T25" s="23"/>
    </row>
    <row r="26" spans="1:20" x14ac:dyDescent="0.3">
      <c r="A26" s="210"/>
      <c r="B26" s="109" t="s">
        <v>33</v>
      </c>
      <c r="C26" s="110">
        <v>11</v>
      </c>
      <c r="D26" s="111">
        <v>6</v>
      </c>
      <c r="E26" s="207"/>
      <c r="F26" s="196"/>
      <c r="G26" s="196"/>
      <c r="H26" s="76"/>
      <c r="I26" s="76"/>
      <c r="J26" s="77"/>
      <c r="K26" s="76"/>
      <c r="L26" s="76"/>
      <c r="O26" s="13"/>
      <c r="R26" s="13"/>
      <c r="S26" s="23"/>
      <c r="T26" s="23"/>
    </row>
    <row r="27" spans="1:20" ht="15" thickBot="1" x14ac:dyDescent="0.35">
      <c r="A27" s="210"/>
      <c r="B27" s="139" t="s">
        <v>38</v>
      </c>
      <c r="C27" s="140" t="s">
        <v>166</v>
      </c>
      <c r="D27" s="141">
        <v>0</v>
      </c>
      <c r="E27" s="208"/>
      <c r="F27" s="196"/>
      <c r="G27" s="196"/>
      <c r="H27" s="76"/>
      <c r="I27" s="76"/>
      <c r="J27" s="77"/>
      <c r="K27" s="76"/>
      <c r="L27" s="76"/>
      <c r="O27" s="13"/>
      <c r="R27" s="13"/>
      <c r="S27" s="23"/>
      <c r="T27" s="23"/>
    </row>
    <row r="28" spans="1:20" x14ac:dyDescent="0.3">
      <c r="A28" s="210"/>
      <c r="B28" s="129" t="s">
        <v>34</v>
      </c>
      <c r="C28" s="130">
        <v>12</v>
      </c>
      <c r="D28" s="131">
        <v>6</v>
      </c>
      <c r="E28" s="206">
        <f>SUM(C28:C32)/5</f>
        <v>12.2</v>
      </c>
      <c r="F28" s="196"/>
      <c r="G28" s="196"/>
      <c r="H28" s="76"/>
      <c r="I28" s="76"/>
      <c r="J28" s="77"/>
      <c r="K28" s="76"/>
      <c r="L28" s="76"/>
      <c r="O28" s="13"/>
      <c r="R28" s="13"/>
      <c r="S28" s="23"/>
      <c r="T28" s="23"/>
    </row>
    <row r="29" spans="1:20" x14ac:dyDescent="0.3">
      <c r="A29" s="210"/>
      <c r="B29" s="127" t="s">
        <v>35</v>
      </c>
      <c r="C29" s="120">
        <v>12</v>
      </c>
      <c r="D29" s="111">
        <v>6</v>
      </c>
      <c r="E29" s="207"/>
      <c r="F29" s="196"/>
      <c r="G29" s="196"/>
      <c r="H29" s="76"/>
      <c r="I29" s="76"/>
      <c r="J29" s="77"/>
      <c r="K29" s="76"/>
      <c r="L29" s="76"/>
      <c r="O29" s="13"/>
      <c r="R29" s="13"/>
      <c r="S29" s="23"/>
      <c r="T29" s="23"/>
    </row>
    <row r="30" spans="1:20" x14ac:dyDescent="0.3">
      <c r="A30" s="210"/>
      <c r="B30" s="127" t="s">
        <v>36</v>
      </c>
      <c r="C30" s="120">
        <v>10</v>
      </c>
      <c r="D30" s="111">
        <v>6</v>
      </c>
      <c r="E30" s="207"/>
      <c r="F30" s="196"/>
      <c r="G30" s="196"/>
      <c r="H30" s="76"/>
      <c r="I30" s="76"/>
      <c r="J30" s="77"/>
      <c r="K30" s="76"/>
      <c r="L30" s="76"/>
      <c r="S30" s="23"/>
      <c r="T30" s="23"/>
    </row>
    <row r="31" spans="1:20" x14ac:dyDescent="0.3">
      <c r="A31" s="210"/>
      <c r="B31" s="127" t="s">
        <v>37</v>
      </c>
      <c r="C31" s="120">
        <v>12</v>
      </c>
      <c r="D31" s="111">
        <v>6</v>
      </c>
      <c r="E31" s="207"/>
      <c r="F31" s="196"/>
      <c r="G31" s="196"/>
      <c r="H31" s="76"/>
      <c r="I31" s="76"/>
      <c r="J31" s="77"/>
      <c r="K31" s="76"/>
      <c r="L31" s="76"/>
      <c r="S31" s="23"/>
      <c r="T31" s="23"/>
    </row>
    <row r="32" spans="1:20" ht="15" thickBot="1" x14ac:dyDescent="0.35">
      <c r="A32" s="210"/>
      <c r="B32" s="132" t="s">
        <v>38</v>
      </c>
      <c r="C32" s="123">
        <v>15</v>
      </c>
      <c r="D32" s="124">
        <v>12</v>
      </c>
      <c r="E32" s="208"/>
      <c r="F32" s="197"/>
      <c r="G32" s="197"/>
      <c r="H32" s="76"/>
      <c r="I32" s="76"/>
      <c r="J32" s="77"/>
      <c r="K32" s="76"/>
      <c r="L32" s="76"/>
      <c r="S32" s="23"/>
      <c r="T32" s="23"/>
    </row>
    <row r="33" spans="1:20" x14ac:dyDescent="0.3">
      <c r="A33" s="76"/>
      <c r="B33" s="76"/>
      <c r="C33" s="76"/>
      <c r="D33" s="211"/>
      <c r="E33" s="211"/>
      <c r="F33" s="76"/>
      <c r="G33" s="76"/>
      <c r="H33" s="76"/>
      <c r="I33" s="76"/>
      <c r="J33" s="77"/>
      <c r="K33" s="76"/>
      <c r="L33" s="76"/>
      <c r="S33" s="13"/>
      <c r="T33" s="23"/>
    </row>
    <row r="34" spans="1:20" x14ac:dyDescent="0.3">
      <c r="A34" s="76"/>
      <c r="B34" s="76"/>
      <c r="C34" s="76"/>
      <c r="D34" s="211"/>
      <c r="E34" s="211"/>
      <c r="F34" s="76"/>
      <c r="G34" s="76"/>
      <c r="H34" s="76"/>
      <c r="I34" s="76"/>
      <c r="J34" s="77"/>
      <c r="K34" s="76"/>
      <c r="L34" s="76"/>
    </row>
    <row r="35" spans="1:20" x14ac:dyDescent="0.3">
      <c r="A35" s="76"/>
      <c r="B35" s="76"/>
      <c r="C35" s="76"/>
      <c r="D35" s="211"/>
      <c r="E35" s="211"/>
      <c r="F35" s="76"/>
      <c r="G35" s="76"/>
      <c r="H35" s="76"/>
      <c r="I35" s="76"/>
      <c r="J35" s="77"/>
      <c r="K35" s="76"/>
      <c r="L35" s="76"/>
    </row>
    <row r="36" spans="1:20" ht="15" thickBot="1" x14ac:dyDescent="0.35">
      <c r="A36" s="76"/>
      <c r="B36" s="76"/>
      <c r="C36" s="76"/>
      <c r="D36" s="211" t="s">
        <v>1</v>
      </c>
      <c r="E36" s="211"/>
      <c r="F36" s="76"/>
      <c r="G36" s="76"/>
      <c r="H36" s="76"/>
      <c r="I36" s="76"/>
      <c r="J36" s="77"/>
      <c r="K36" s="76"/>
      <c r="L36" s="76"/>
    </row>
    <row r="37" spans="1:20" ht="15" thickBot="1" x14ac:dyDescent="0.35">
      <c r="A37" s="198" t="s">
        <v>65</v>
      </c>
      <c r="B37" s="199"/>
      <c r="C37" s="199"/>
      <c r="D37" s="211">
        <v>12</v>
      </c>
      <c r="E37" s="211"/>
      <c r="F37" s="76"/>
      <c r="G37" s="76"/>
      <c r="H37" s="76"/>
      <c r="I37" s="76"/>
      <c r="J37" s="77"/>
      <c r="K37" s="76"/>
      <c r="L37" s="76"/>
    </row>
    <row r="38" spans="1:20" x14ac:dyDescent="0.3">
      <c r="A38" s="76"/>
      <c r="B38" s="76"/>
      <c r="C38" s="76"/>
      <c r="D38" s="211"/>
      <c r="E38" s="211"/>
      <c r="F38" s="76"/>
      <c r="G38" s="76"/>
      <c r="H38" s="76"/>
      <c r="I38" s="76"/>
      <c r="J38" s="77"/>
      <c r="K38" s="76"/>
      <c r="L38" s="76"/>
    </row>
    <row r="39" spans="1:20" x14ac:dyDescent="0.3">
      <c r="A39" s="76"/>
      <c r="B39" s="76"/>
      <c r="C39" s="76"/>
      <c r="D39" s="211"/>
      <c r="E39" s="211"/>
      <c r="F39" s="76"/>
      <c r="G39" s="76"/>
      <c r="H39" s="76"/>
      <c r="I39" s="76"/>
      <c r="J39" s="77"/>
      <c r="K39" s="76"/>
      <c r="L39" s="76"/>
    </row>
    <row r="40" spans="1:20" x14ac:dyDescent="0.3">
      <c r="A40" s="76"/>
      <c r="B40" s="76"/>
      <c r="C40" s="76"/>
      <c r="D40" s="211"/>
      <c r="E40" s="211"/>
      <c r="F40" s="76"/>
      <c r="G40" s="76"/>
      <c r="H40" s="76"/>
      <c r="I40" s="76"/>
      <c r="J40" s="77"/>
      <c r="K40" s="76"/>
      <c r="L40" s="76"/>
    </row>
    <row r="41" spans="1:20" ht="15" thickBot="1" x14ac:dyDescent="0.35"/>
    <row r="42" spans="1:20" x14ac:dyDescent="0.3">
      <c r="C42" s="136" t="s">
        <v>163</v>
      </c>
      <c r="D42" s="133">
        <f>SUM(D3:D32)</f>
        <v>180</v>
      </c>
    </row>
    <row r="43" spans="1:20" x14ac:dyDescent="0.3">
      <c r="C43" s="137" t="s">
        <v>164</v>
      </c>
      <c r="D43" s="134">
        <f>-D21-D16</f>
        <v>-12</v>
      </c>
    </row>
    <row r="44" spans="1:20" ht="15" thickBot="1" x14ac:dyDescent="0.35">
      <c r="C44" s="138" t="s">
        <v>165</v>
      </c>
      <c r="D44" s="135">
        <f>D42+D43</f>
        <v>168</v>
      </c>
    </row>
  </sheetData>
  <mergeCells count="23">
    <mergeCell ref="D38:E38"/>
    <mergeCell ref="D39:E39"/>
    <mergeCell ref="D40:E40"/>
    <mergeCell ref="D1:E1"/>
    <mergeCell ref="D33:E33"/>
    <mergeCell ref="D34:E34"/>
    <mergeCell ref="D35:E35"/>
    <mergeCell ref="D36:E36"/>
    <mergeCell ref="E23:E27"/>
    <mergeCell ref="E28:E32"/>
    <mergeCell ref="F23:F32"/>
    <mergeCell ref="A37:C37"/>
    <mergeCell ref="G3:G32"/>
    <mergeCell ref="A3:A12"/>
    <mergeCell ref="A13:A22"/>
    <mergeCell ref="E3:E7"/>
    <mergeCell ref="E8:E12"/>
    <mergeCell ref="E13:E17"/>
    <mergeCell ref="E18:E22"/>
    <mergeCell ref="F13:F22"/>
    <mergeCell ref="A23:A32"/>
    <mergeCell ref="F3:F12"/>
    <mergeCell ref="D37:E3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8DA8-F32B-454D-9B80-5F67A4560FEE}">
  <dimension ref="A1:V48"/>
  <sheetViews>
    <sheetView zoomScale="85" zoomScaleNormal="85" workbookViewId="0">
      <selection sqref="A1:O29"/>
    </sheetView>
  </sheetViews>
  <sheetFormatPr defaultRowHeight="14.4" x14ac:dyDescent="0.3"/>
  <cols>
    <col min="2" max="3" width="10" customWidth="1"/>
    <col min="4" max="4" width="8.6640625" customWidth="1"/>
    <col min="5" max="5" width="15.88671875" customWidth="1"/>
    <col min="6" max="6" width="12.5546875" bestFit="1" customWidth="1"/>
    <col min="8" max="8" width="5.77734375" customWidth="1"/>
    <col min="9" max="9" width="13.44140625" customWidth="1"/>
    <col min="10" max="10" width="11.77734375" customWidth="1"/>
    <col min="12" max="12" width="10.5546875" customWidth="1"/>
  </cols>
  <sheetData>
    <row r="1" spans="1:15" ht="15" thickBot="1" x14ac:dyDescent="0.35">
      <c r="A1" s="76"/>
      <c r="B1" s="76"/>
      <c r="C1" s="76"/>
      <c r="D1" s="76"/>
      <c r="E1" s="76"/>
      <c r="F1" s="76"/>
      <c r="G1" s="76"/>
      <c r="H1" s="211"/>
      <c r="I1" s="211"/>
      <c r="J1" s="76"/>
      <c r="K1" s="76"/>
      <c r="L1" s="76"/>
      <c r="M1" s="76"/>
      <c r="N1" s="76"/>
      <c r="O1" s="76"/>
    </row>
    <row r="2" spans="1:15" ht="15" thickBot="1" x14ac:dyDescent="0.35">
      <c r="A2" s="76"/>
      <c r="B2" s="227" t="s">
        <v>138</v>
      </c>
      <c r="C2" s="228"/>
      <c r="D2" s="228"/>
      <c r="E2" s="77"/>
      <c r="F2" s="227" t="s">
        <v>36</v>
      </c>
      <c r="G2" s="228"/>
      <c r="H2" s="228"/>
      <c r="I2" s="77"/>
      <c r="J2" s="227" t="s">
        <v>67</v>
      </c>
      <c r="K2" s="228"/>
      <c r="L2" s="228"/>
      <c r="M2" s="77"/>
      <c r="N2" s="76"/>
      <c r="O2" s="76"/>
    </row>
    <row r="3" spans="1:15" x14ac:dyDescent="0.3">
      <c r="A3" s="76"/>
      <c r="B3" s="78" t="s">
        <v>146</v>
      </c>
      <c r="C3" s="79">
        <v>14.5</v>
      </c>
      <c r="D3" s="80">
        <v>0.4</v>
      </c>
      <c r="E3" s="77"/>
      <c r="F3" s="81" t="s">
        <v>104</v>
      </c>
      <c r="G3" s="82">
        <v>10.1</v>
      </c>
      <c r="H3" s="83">
        <v>0.2</v>
      </c>
      <c r="I3" s="77"/>
      <c r="J3" s="81" t="s">
        <v>140</v>
      </c>
      <c r="K3" s="82">
        <v>11.2</v>
      </c>
      <c r="L3" s="83">
        <v>0.25</v>
      </c>
      <c r="M3" s="77"/>
      <c r="N3" s="76"/>
      <c r="O3" s="76"/>
    </row>
    <row r="4" spans="1:15" ht="15" thickBot="1" x14ac:dyDescent="0.35">
      <c r="A4" s="76"/>
      <c r="B4" s="78" t="s">
        <v>148</v>
      </c>
      <c r="C4" s="84">
        <v>17</v>
      </c>
      <c r="D4" s="85">
        <v>0.2</v>
      </c>
      <c r="E4" s="77"/>
      <c r="F4" s="78" t="s">
        <v>142</v>
      </c>
      <c r="G4" s="86">
        <v>10.4</v>
      </c>
      <c r="H4" s="87">
        <v>0.2</v>
      </c>
      <c r="I4" s="77"/>
      <c r="J4" s="78" t="s">
        <v>141</v>
      </c>
      <c r="K4" s="86">
        <v>6.3</v>
      </c>
      <c r="L4" s="87">
        <v>0.25</v>
      </c>
      <c r="M4" s="77"/>
      <c r="N4" s="76"/>
      <c r="O4" s="76"/>
    </row>
    <row r="5" spans="1:15" ht="15" thickBot="1" x14ac:dyDescent="0.35">
      <c r="A5" s="76"/>
      <c r="B5" s="78" t="s">
        <v>45</v>
      </c>
      <c r="C5" s="84">
        <v>6.78</v>
      </c>
      <c r="D5" s="85">
        <v>0.4</v>
      </c>
      <c r="E5" s="77">
        <v>9.6</v>
      </c>
      <c r="F5" s="81" t="s">
        <v>102</v>
      </c>
      <c r="G5" s="88">
        <v>10</v>
      </c>
      <c r="H5" s="83">
        <v>0.3</v>
      </c>
      <c r="I5" s="77"/>
      <c r="J5" s="81" t="s">
        <v>143</v>
      </c>
      <c r="K5" s="88">
        <v>17</v>
      </c>
      <c r="L5" s="83">
        <v>0.15</v>
      </c>
      <c r="M5" s="77"/>
      <c r="N5" s="76"/>
      <c r="O5" s="76"/>
    </row>
    <row r="6" spans="1:15" ht="15" thickBot="1" x14ac:dyDescent="0.35">
      <c r="A6" s="76"/>
      <c r="B6" s="219" t="s">
        <v>139</v>
      </c>
      <c r="C6" s="220"/>
      <c r="D6" s="220"/>
      <c r="E6" s="77">
        <v>7.1</v>
      </c>
      <c r="F6" s="89" t="s">
        <v>45</v>
      </c>
      <c r="G6" s="90">
        <v>7.7</v>
      </c>
      <c r="H6" s="91">
        <v>0.3</v>
      </c>
      <c r="I6" s="77"/>
      <c r="J6" s="78" t="s">
        <v>144</v>
      </c>
      <c r="K6" s="84">
        <v>18</v>
      </c>
      <c r="L6" s="85">
        <v>0.05</v>
      </c>
      <c r="M6" s="77"/>
      <c r="N6" s="76"/>
      <c r="O6" s="76"/>
    </row>
    <row r="7" spans="1:15" ht="15" thickBot="1" x14ac:dyDescent="0.35">
      <c r="A7" s="76"/>
      <c r="B7" s="92" t="s">
        <v>117</v>
      </c>
      <c r="C7" s="217">
        <v>14.5</v>
      </c>
      <c r="D7" s="218"/>
      <c r="E7" s="77"/>
      <c r="F7" s="219" t="s">
        <v>139</v>
      </c>
      <c r="G7" s="220"/>
      <c r="H7" s="220"/>
      <c r="I7" s="77"/>
      <c r="J7" s="93" t="s">
        <v>145</v>
      </c>
      <c r="K7" s="84">
        <v>14.5</v>
      </c>
      <c r="L7" s="85">
        <v>0.3</v>
      </c>
      <c r="M7" s="77"/>
      <c r="N7" s="76"/>
      <c r="O7" s="76"/>
    </row>
    <row r="8" spans="1:15" ht="15" thickBot="1" x14ac:dyDescent="0.35">
      <c r="A8" s="76"/>
      <c r="B8" s="92" t="s">
        <v>159</v>
      </c>
      <c r="C8" s="217">
        <v>10.186666669999999</v>
      </c>
      <c r="D8" s="218"/>
      <c r="E8" s="77"/>
      <c r="F8" s="92" t="s">
        <v>117</v>
      </c>
      <c r="G8" s="217">
        <v>10.25</v>
      </c>
      <c r="H8" s="218"/>
      <c r="I8" s="77"/>
      <c r="J8" s="92" t="s">
        <v>117</v>
      </c>
      <c r="K8" s="217">
        <v>8.75</v>
      </c>
      <c r="L8" s="218"/>
      <c r="M8" s="77"/>
      <c r="N8" s="76"/>
      <c r="O8" s="76"/>
    </row>
    <row r="9" spans="1:15" ht="15" thickBot="1" x14ac:dyDescent="0.35">
      <c r="A9" s="76"/>
      <c r="B9" s="94" t="s">
        <v>118</v>
      </c>
      <c r="C9" s="219">
        <v>11.912000000000001</v>
      </c>
      <c r="D9" s="220"/>
      <c r="E9" s="77"/>
      <c r="F9" s="95" t="s">
        <v>123</v>
      </c>
      <c r="G9" s="219">
        <v>9.41</v>
      </c>
      <c r="H9" s="220"/>
      <c r="I9" s="77"/>
      <c r="J9" s="95" t="s">
        <v>123</v>
      </c>
      <c r="K9" s="219">
        <v>12.175000000000001</v>
      </c>
      <c r="L9" s="220"/>
      <c r="M9" s="77"/>
      <c r="N9" s="76"/>
      <c r="O9" s="76"/>
    </row>
    <row r="10" spans="1:15" ht="15" thickBot="1" x14ac:dyDescent="0.35">
      <c r="A10" s="76"/>
      <c r="B10" s="223" t="s">
        <v>160</v>
      </c>
      <c r="C10" s="224"/>
      <c r="D10" s="224"/>
      <c r="E10" s="77"/>
      <c r="F10" s="76"/>
      <c r="G10" s="76"/>
      <c r="H10" s="211"/>
      <c r="I10" s="211"/>
      <c r="J10" s="77"/>
      <c r="K10" s="77"/>
      <c r="L10" s="77"/>
      <c r="M10" s="77"/>
      <c r="N10" s="76"/>
      <c r="O10" s="76"/>
    </row>
    <row r="11" spans="1:15" ht="15" customHeight="1" thickBot="1" x14ac:dyDescent="0.35">
      <c r="A11" s="76"/>
      <c r="B11" s="225" t="s">
        <v>154</v>
      </c>
      <c r="C11" s="226"/>
      <c r="D11" s="226"/>
      <c r="E11" s="77"/>
      <c r="F11" s="227" t="s">
        <v>68</v>
      </c>
      <c r="G11" s="228"/>
      <c r="H11" s="228"/>
      <c r="I11" s="77"/>
      <c r="J11" s="229" t="s">
        <v>155</v>
      </c>
      <c r="K11" s="230"/>
      <c r="L11" s="230"/>
      <c r="M11" s="77"/>
      <c r="N11" s="76"/>
      <c r="O11" s="76"/>
    </row>
    <row r="12" spans="1:15" ht="15" thickBot="1" x14ac:dyDescent="0.35">
      <c r="A12" s="77"/>
      <c r="B12" s="77"/>
      <c r="C12" s="77"/>
      <c r="D12" s="77"/>
      <c r="E12" s="77"/>
      <c r="F12" s="81" t="s">
        <v>151</v>
      </c>
      <c r="G12" s="96">
        <v>14</v>
      </c>
      <c r="H12" s="97">
        <v>0.1</v>
      </c>
      <c r="I12" s="77"/>
      <c r="J12" s="221" t="s">
        <v>161</v>
      </c>
      <c r="K12" s="222"/>
      <c r="L12" s="222"/>
      <c r="M12" s="77"/>
      <c r="N12" s="76"/>
      <c r="O12" s="76"/>
    </row>
    <row r="13" spans="1:15" ht="15" thickBot="1" x14ac:dyDescent="0.35">
      <c r="A13" s="76"/>
      <c r="B13" s="223" t="s">
        <v>147</v>
      </c>
      <c r="C13" s="224"/>
      <c r="D13" s="224"/>
      <c r="E13" s="77"/>
      <c r="F13" s="89" t="s">
        <v>150</v>
      </c>
      <c r="G13" s="98">
        <v>9.1</v>
      </c>
      <c r="H13" s="91">
        <v>0.45</v>
      </c>
      <c r="I13" s="77"/>
      <c r="J13" s="225" t="s">
        <v>156</v>
      </c>
      <c r="K13" s="226"/>
      <c r="L13" s="226"/>
      <c r="M13" s="77"/>
      <c r="N13" s="76"/>
      <c r="O13" s="76"/>
    </row>
    <row r="14" spans="1:15" ht="15" thickBot="1" x14ac:dyDescent="0.35">
      <c r="A14" s="76"/>
      <c r="B14" s="225" t="s">
        <v>158</v>
      </c>
      <c r="C14" s="226"/>
      <c r="D14" s="226"/>
      <c r="E14" s="77"/>
      <c r="F14" s="81" t="s">
        <v>152</v>
      </c>
      <c r="G14" s="88">
        <v>15</v>
      </c>
      <c r="H14" s="83">
        <v>0.1</v>
      </c>
      <c r="I14" s="77"/>
      <c r="J14" s="77"/>
      <c r="K14" s="77"/>
      <c r="L14" s="77"/>
      <c r="M14" s="77"/>
      <c r="N14" s="76"/>
      <c r="O14" s="76"/>
    </row>
    <row r="15" spans="1:15" ht="15" thickBot="1" x14ac:dyDescent="0.35">
      <c r="A15" s="77"/>
      <c r="B15" s="76"/>
      <c r="C15" s="76"/>
      <c r="D15" s="76"/>
      <c r="E15" s="77"/>
      <c r="F15" s="93" t="s">
        <v>153</v>
      </c>
      <c r="G15" s="99">
        <v>14</v>
      </c>
      <c r="H15" s="87">
        <v>0.35</v>
      </c>
      <c r="I15" s="77"/>
      <c r="J15" s="223" t="s">
        <v>157</v>
      </c>
      <c r="K15" s="224"/>
      <c r="L15" s="224"/>
      <c r="M15" s="77"/>
      <c r="N15" s="76"/>
      <c r="O15" s="76"/>
    </row>
    <row r="16" spans="1:15" ht="15" thickBot="1" x14ac:dyDescent="0.35">
      <c r="A16" s="77"/>
      <c r="B16" s="76"/>
      <c r="C16" s="76"/>
      <c r="D16" s="76"/>
      <c r="E16" s="77"/>
      <c r="F16" s="219" t="s">
        <v>149</v>
      </c>
      <c r="G16" s="220"/>
      <c r="H16" s="220"/>
      <c r="I16" s="77"/>
      <c r="J16" s="225" t="s">
        <v>162</v>
      </c>
      <c r="K16" s="226"/>
      <c r="L16" s="226"/>
      <c r="M16" s="77"/>
      <c r="N16" s="76"/>
      <c r="O16" s="76"/>
    </row>
    <row r="17" spans="1:16" ht="15" thickBot="1" x14ac:dyDescent="0.35">
      <c r="A17" s="77"/>
      <c r="B17" s="76"/>
      <c r="C17" s="76"/>
      <c r="D17" s="76"/>
      <c r="E17" s="77"/>
      <c r="F17" s="92" t="s">
        <v>110</v>
      </c>
      <c r="G17" s="217">
        <v>9.9909090910000007</v>
      </c>
      <c r="H17" s="218"/>
      <c r="I17" s="77"/>
      <c r="J17" s="77"/>
      <c r="K17" s="77"/>
      <c r="L17" s="77"/>
      <c r="M17" s="77"/>
      <c r="N17" s="77"/>
      <c r="O17" s="77"/>
      <c r="P17" s="72"/>
    </row>
    <row r="18" spans="1:16" ht="15" thickBot="1" x14ac:dyDescent="0.35">
      <c r="A18" s="76"/>
      <c r="B18" s="76"/>
      <c r="C18" s="76"/>
      <c r="D18" s="76"/>
      <c r="E18" s="76"/>
      <c r="F18" s="92" t="s">
        <v>123</v>
      </c>
      <c r="G18" s="217">
        <v>11.895</v>
      </c>
      <c r="H18" s="218"/>
      <c r="I18" s="76"/>
      <c r="J18" s="76"/>
      <c r="K18" s="76"/>
      <c r="L18" s="76"/>
      <c r="M18" s="76"/>
      <c r="N18" s="76"/>
      <c r="O18" s="76"/>
    </row>
    <row r="19" spans="1:16" x14ac:dyDescent="0.3">
      <c r="A19" s="76"/>
      <c r="B19" s="76"/>
      <c r="C19" s="76"/>
      <c r="D19" s="76"/>
      <c r="E19" s="76"/>
      <c r="F19" s="76"/>
      <c r="G19" s="76"/>
      <c r="H19" s="211"/>
      <c r="I19" s="211"/>
      <c r="J19" s="76"/>
      <c r="K19" s="76"/>
      <c r="L19" s="76"/>
      <c r="M19" s="76"/>
      <c r="N19" s="76"/>
      <c r="O19" s="76"/>
    </row>
    <row r="20" spans="1:16" x14ac:dyDescent="0.3">
      <c r="A20" s="76"/>
      <c r="B20" s="76"/>
      <c r="C20" s="76"/>
      <c r="D20" s="76"/>
      <c r="E20" s="76"/>
      <c r="F20" s="76"/>
      <c r="G20" s="76"/>
      <c r="H20" s="211"/>
      <c r="I20" s="211"/>
      <c r="J20" s="76"/>
      <c r="K20" s="76"/>
      <c r="L20" s="76"/>
      <c r="M20" s="76"/>
      <c r="N20" s="76"/>
      <c r="O20" s="76"/>
    </row>
    <row r="21" spans="1:16" x14ac:dyDescent="0.3">
      <c r="A21" s="76"/>
      <c r="B21" s="76"/>
      <c r="C21" s="76"/>
      <c r="D21" s="76"/>
      <c r="E21" s="76"/>
      <c r="F21" s="76"/>
      <c r="G21" s="76"/>
      <c r="H21" s="211"/>
      <c r="I21" s="211"/>
      <c r="J21" s="76"/>
      <c r="K21" s="76"/>
      <c r="L21" s="76"/>
      <c r="M21" s="76"/>
      <c r="N21" s="76"/>
      <c r="O21" s="76"/>
    </row>
    <row r="22" spans="1:16" x14ac:dyDescent="0.3">
      <c r="A22" s="76"/>
      <c r="B22" s="76"/>
      <c r="C22" s="76"/>
      <c r="D22" s="76"/>
      <c r="E22" s="76"/>
      <c r="F22" s="76"/>
      <c r="G22" s="76"/>
      <c r="H22" s="211"/>
      <c r="I22" s="211"/>
      <c r="J22" s="76"/>
      <c r="K22" s="76"/>
      <c r="L22" s="76"/>
      <c r="M22" s="76"/>
      <c r="N22" s="76"/>
      <c r="O22" s="76"/>
    </row>
    <row r="23" spans="1:16" x14ac:dyDescent="0.3">
      <c r="A23" s="76"/>
      <c r="B23" s="76"/>
      <c r="C23" s="76"/>
      <c r="D23" s="76"/>
      <c r="E23" s="76"/>
      <c r="F23" s="76"/>
      <c r="G23" s="76"/>
      <c r="H23" s="211"/>
      <c r="I23" s="211"/>
      <c r="J23" s="76"/>
      <c r="K23" s="76"/>
      <c r="L23" s="76"/>
      <c r="M23" s="76"/>
      <c r="N23" s="76"/>
      <c r="O23" s="76"/>
    </row>
    <row r="24" spans="1:16" x14ac:dyDescent="0.3">
      <c r="A24" s="76"/>
      <c r="B24" s="214" t="s">
        <v>132</v>
      </c>
      <c r="C24" s="215"/>
      <c r="D24" s="215"/>
      <c r="E24" s="215"/>
      <c r="F24" s="216"/>
      <c r="G24" s="76"/>
      <c r="H24" s="211"/>
      <c r="I24" s="211"/>
      <c r="J24" s="76"/>
      <c r="K24" s="76"/>
      <c r="L24" s="76"/>
      <c r="M24" s="76"/>
      <c r="N24" s="76"/>
      <c r="O24" s="76"/>
    </row>
    <row r="25" spans="1:16" x14ac:dyDescent="0.3">
      <c r="A25" s="76"/>
      <c r="B25" s="100" t="s">
        <v>133</v>
      </c>
      <c r="C25" s="214" t="s">
        <v>137</v>
      </c>
      <c r="D25" s="215"/>
      <c r="E25" s="215"/>
      <c r="F25" s="216"/>
      <c r="G25" s="76"/>
      <c r="H25" s="211"/>
      <c r="I25" s="211"/>
      <c r="J25" s="76"/>
      <c r="K25" s="76"/>
      <c r="L25" s="76"/>
      <c r="M25" s="76"/>
      <c r="N25" s="76"/>
      <c r="O25" s="76"/>
    </row>
    <row r="26" spans="1:16" x14ac:dyDescent="0.3">
      <c r="A26" s="76"/>
      <c r="B26" s="100"/>
      <c r="C26" s="100" t="s">
        <v>134</v>
      </c>
      <c r="D26" s="100" t="s">
        <v>135</v>
      </c>
      <c r="E26" s="214" t="s">
        <v>136</v>
      </c>
      <c r="F26" s="216"/>
      <c r="G26" s="76"/>
      <c r="H26" s="211"/>
      <c r="I26" s="211"/>
      <c r="J26" s="76"/>
      <c r="K26" s="76"/>
      <c r="L26" s="76"/>
      <c r="M26" s="76"/>
      <c r="N26" s="76"/>
      <c r="O26" s="76"/>
    </row>
    <row r="27" spans="1:16" x14ac:dyDescent="0.3">
      <c r="A27" s="76"/>
      <c r="B27" s="100">
        <v>16</v>
      </c>
      <c r="C27" s="100">
        <v>20</v>
      </c>
      <c r="D27" s="100">
        <v>17</v>
      </c>
      <c r="E27" s="214">
        <v>20</v>
      </c>
      <c r="F27" s="216"/>
      <c r="G27" s="76"/>
      <c r="H27" s="211"/>
      <c r="I27" s="211"/>
      <c r="J27" s="76"/>
      <c r="K27" s="76"/>
      <c r="L27" s="76"/>
      <c r="M27" s="76"/>
      <c r="N27" s="76"/>
      <c r="O27" s="76"/>
    </row>
    <row r="28" spans="1:16" x14ac:dyDescent="0.3">
      <c r="A28" s="76"/>
      <c r="B28" s="76"/>
      <c r="C28" s="76"/>
      <c r="D28" s="76"/>
      <c r="E28" s="76"/>
      <c r="F28" s="76"/>
      <c r="G28" s="76"/>
      <c r="H28" s="211"/>
      <c r="I28" s="211"/>
      <c r="J28" s="76"/>
      <c r="K28" s="76"/>
      <c r="L28" s="76"/>
      <c r="M28" s="76"/>
      <c r="N28" s="76"/>
      <c r="O28" s="76"/>
    </row>
    <row r="29" spans="1:16" x14ac:dyDescent="0.3">
      <c r="A29" s="76"/>
      <c r="B29" s="76"/>
      <c r="C29" s="76"/>
      <c r="D29" s="76"/>
      <c r="E29" s="76"/>
      <c r="F29" s="76"/>
      <c r="G29" s="76"/>
      <c r="H29" s="211"/>
      <c r="I29" s="211"/>
      <c r="J29" s="76"/>
      <c r="K29" s="76"/>
      <c r="L29" s="76"/>
      <c r="M29" s="76"/>
      <c r="N29" s="76"/>
      <c r="O29" s="76"/>
    </row>
    <row r="44" spans="8:22" x14ac:dyDescent="0.3"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</row>
    <row r="45" spans="8:22" x14ac:dyDescent="0.3">
      <c r="H45" s="212" t="s">
        <v>132</v>
      </c>
      <c r="I45" s="213"/>
      <c r="J45" s="213"/>
      <c r="K45" s="213"/>
      <c r="L45" s="213"/>
      <c r="M45" s="72"/>
      <c r="N45" s="72"/>
      <c r="O45" s="72"/>
      <c r="P45" s="72"/>
      <c r="Q45" s="72"/>
      <c r="R45" s="72"/>
      <c r="S45" s="72"/>
      <c r="T45" s="72"/>
      <c r="U45" s="72"/>
      <c r="V45" s="72"/>
    </row>
    <row r="46" spans="8:22" x14ac:dyDescent="0.3">
      <c r="H46" s="74" t="s">
        <v>133</v>
      </c>
      <c r="I46" s="212" t="s">
        <v>137</v>
      </c>
      <c r="J46" s="213"/>
      <c r="K46" s="213"/>
      <c r="L46" s="213"/>
      <c r="M46" s="72"/>
      <c r="N46" s="72"/>
      <c r="O46" s="72"/>
      <c r="P46" s="72"/>
      <c r="Q46" s="72"/>
      <c r="R46" s="72"/>
      <c r="S46" s="72"/>
      <c r="T46" s="72"/>
      <c r="U46" s="72"/>
      <c r="V46" s="72"/>
    </row>
    <row r="47" spans="8:22" x14ac:dyDescent="0.3">
      <c r="H47" s="74"/>
      <c r="I47" s="74" t="s">
        <v>134</v>
      </c>
      <c r="J47" s="74" t="s">
        <v>135</v>
      </c>
      <c r="K47" s="212" t="s">
        <v>136</v>
      </c>
      <c r="L47" s="213"/>
      <c r="M47" s="72"/>
      <c r="N47" s="72"/>
      <c r="O47" s="72"/>
      <c r="P47" s="72"/>
      <c r="Q47" s="72"/>
      <c r="R47" s="72"/>
      <c r="S47" s="72"/>
      <c r="T47" s="72"/>
      <c r="U47" s="72"/>
      <c r="V47" s="72"/>
    </row>
    <row r="48" spans="8:22" x14ac:dyDescent="0.3">
      <c r="H48" s="74">
        <v>16</v>
      </c>
      <c r="I48" s="74">
        <v>20</v>
      </c>
      <c r="J48" s="74">
        <v>17</v>
      </c>
      <c r="K48" s="212">
        <v>20</v>
      </c>
      <c r="L48" s="213"/>
      <c r="M48" s="72"/>
      <c r="N48" s="72"/>
      <c r="O48" s="72"/>
      <c r="P48" s="72"/>
      <c r="Q48" s="72"/>
      <c r="R48" s="72"/>
      <c r="S48" s="72"/>
      <c r="T48" s="72"/>
      <c r="U48" s="72"/>
      <c r="V48" s="72"/>
    </row>
  </sheetData>
  <mergeCells count="46">
    <mergeCell ref="B11:D11"/>
    <mergeCell ref="H1:I1"/>
    <mergeCell ref="J2:L2"/>
    <mergeCell ref="B6:D6"/>
    <mergeCell ref="C7:D7"/>
    <mergeCell ref="C8:D8"/>
    <mergeCell ref="K8:L8"/>
    <mergeCell ref="B2:D2"/>
    <mergeCell ref="F2:H2"/>
    <mergeCell ref="F16:H16"/>
    <mergeCell ref="F7:H7"/>
    <mergeCell ref="J12:L12"/>
    <mergeCell ref="B13:D13"/>
    <mergeCell ref="G8:H8"/>
    <mergeCell ref="J13:L13"/>
    <mergeCell ref="F11:H11"/>
    <mergeCell ref="K9:L9"/>
    <mergeCell ref="J11:L11"/>
    <mergeCell ref="B14:D14"/>
    <mergeCell ref="J15:L15"/>
    <mergeCell ref="J16:L16"/>
    <mergeCell ref="C9:D9"/>
    <mergeCell ref="G9:H9"/>
    <mergeCell ref="B10:D10"/>
    <mergeCell ref="H10:I10"/>
    <mergeCell ref="H22:I22"/>
    <mergeCell ref="H23:I23"/>
    <mergeCell ref="H24:I24"/>
    <mergeCell ref="H25:I25"/>
    <mergeCell ref="H26:I26"/>
    <mergeCell ref="G17:H17"/>
    <mergeCell ref="G18:H18"/>
    <mergeCell ref="H19:I19"/>
    <mergeCell ref="H20:I20"/>
    <mergeCell ref="H21:I21"/>
    <mergeCell ref="K47:L47"/>
    <mergeCell ref="K48:L48"/>
    <mergeCell ref="B24:F24"/>
    <mergeCell ref="C25:F25"/>
    <mergeCell ref="E26:F26"/>
    <mergeCell ref="E27:F27"/>
    <mergeCell ref="H28:I28"/>
    <mergeCell ref="H29:I29"/>
    <mergeCell ref="H45:L45"/>
    <mergeCell ref="I46:L46"/>
    <mergeCell ref="H27:I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8"/>
  <sheetViews>
    <sheetView workbookViewId="0">
      <selection activeCell="K2" sqref="K2:L2"/>
    </sheetView>
  </sheetViews>
  <sheetFormatPr defaultRowHeight="14.4" x14ac:dyDescent="0.3"/>
  <cols>
    <col min="5" max="5" width="13.5546875" customWidth="1"/>
    <col min="6" max="6" width="14.109375" customWidth="1"/>
    <col min="7" max="7" width="34.6640625" customWidth="1"/>
    <col min="8" max="8" width="13.109375" customWidth="1"/>
    <col min="9" max="9" width="16.33203125" customWidth="1"/>
    <col min="11" max="11" width="13.44140625" customWidth="1"/>
    <col min="12" max="12" width="15.88671875" customWidth="1"/>
    <col min="13" max="13" width="13.6640625" customWidth="1"/>
    <col min="14" max="14" width="13.44140625" customWidth="1"/>
    <col min="15" max="15" width="15" customWidth="1"/>
    <col min="16" max="16" width="12.44140625" customWidth="1"/>
    <col min="17" max="17" width="11.5546875" customWidth="1"/>
    <col min="18" max="18" width="12.44140625" customWidth="1"/>
  </cols>
  <sheetData>
    <row r="2" spans="1:18" x14ac:dyDescent="0.3">
      <c r="B2" s="231" t="s">
        <v>15</v>
      </c>
      <c r="C2" s="232"/>
      <c r="E2" s="231" t="s">
        <v>17</v>
      </c>
      <c r="F2" s="232"/>
      <c r="H2" s="231" t="s">
        <v>25</v>
      </c>
      <c r="I2" s="232"/>
      <c r="K2" s="233" t="s">
        <v>16</v>
      </c>
      <c r="L2" s="234"/>
      <c r="N2" s="231" t="s">
        <v>18</v>
      </c>
      <c r="O2" s="232"/>
    </row>
    <row r="3" spans="1:18" x14ac:dyDescent="0.3">
      <c r="B3" s="2">
        <v>2.5</v>
      </c>
      <c r="C3" s="5">
        <v>0.15</v>
      </c>
      <c r="D3" s="4" t="s">
        <v>48</v>
      </c>
      <c r="E3" s="2">
        <v>11</v>
      </c>
      <c r="F3" s="5">
        <v>0.33</v>
      </c>
      <c r="G3" s="20" t="s">
        <v>61</v>
      </c>
      <c r="H3" s="2">
        <v>14.8</v>
      </c>
      <c r="I3" s="6">
        <v>0.25</v>
      </c>
      <c r="J3" s="4" t="s">
        <v>43</v>
      </c>
      <c r="K3" s="2"/>
      <c r="L3" s="5">
        <v>0.18</v>
      </c>
      <c r="M3" s="4"/>
      <c r="N3" s="2">
        <v>10.8</v>
      </c>
      <c r="O3" s="5">
        <v>0.16</v>
      </c>
      <c r="P3" t="s">
        <v>43</v>
      </c>
    </row>
    <row r="4" spans="1:18" x14ac:dyDescent="0.3">
      <c r="A4" s="19"/>
      <c r="B4" s="16">
        <v>9.3000000000000007</v>
      </c>
      <c r="C4" s="5">
        <v>0.25</v>
      </c>
      <c r="D4" s="4" t="s">
        <v>48</v>
      </c>
      <c r="E4" s="2">
        <v>15</v>
      </c>
      <c r="F4" s="5">
        <f>33%</f>
        <v>0.33</v>
      </c>
      <c r="G4" s="20" t="s">
        <v>62</v>
      </c>
      <c r="H4" s="2">
        <v>14</v>
      </c>
      <c r="I4" s="6">
        <v>0.25</v>
      </c>
      <c r="J4" s="4" t="s">
        <v>43</v>
      </c>
      <c r="K4" s="2"/>
      <c r="L4" s="5">
        <v>0.22</v>
      </c>
      <c r="M4" s="4"/>
      <c r="N4" s="2">
        <v>18.899999999999999</v>
      </c>
      <c r="O4" s="5">
        <v>0.24</v>
      </c>
      <c r="P4" t="s">
        <v>43</v>
      </c>
    </row>
    <row r="5" spans="1:18" x14ac:dyDescent="0.3">
      <c r="B5" s="16">
        <v>14</v>
      </c>
      <c r="C5" s="5">
        <v>0.2</v>
      </c>
      <c r="D5" s="4" t="s">
        <v>49</v>
      </c>
      <c r="E5" s="2">
        <v>10</v>
      </c>
      <c r="F5" s="5">
        <f>33%</f>
        <v>0.33</v>
      </c>
      <c r="G5" s="20" t="s">
        <v>63</v>
      </c>
      <c r="H5" s="2">
        <v>8.9</v>
      </c>
      <c r="I5" s="6">
        <v>0.5</v>
      </c>
      <c r="J5" s="4" t="s">
        <v>42</v>
      </c>
      <c r="K5" s="2"/>
      <c r="L5" s="5">
        <v>0.6</v>
      </c>
      <c r="M5" s="4"/>
      <c r="N5" s="2">
        <v>9.25</v>
      </c>
      <c r="O5" s="5">
        <v>0.6</v>
      </c>
      <c r="P5" t="s">
        <v>42</v>
      </c>
    </row>
    <row r="6" spans="1:18" x14ac:dyDescent="0.3">
      <c r="B6" s="16">
        <v>17</v>
      </c>
      <c r="C6" s="5">
        <v>0.4</v>
      </c>
      <c r="D6" s="4" t="s">
        <v>50</v>
      </c>
      <c r="E6" s="2"/>
      <c r="F6" s="5"/>
      <c r="G6" s="11"/>
      <c r="H6" s="2"/>
      <c r="I6" s="2"/>
      <c r="J6" s="4"/>
      <c r="K6" s="2" t="s">
        <v>28</v>
      </c>
      <c r="L6" s="9">
        <v>10</v>
      </c>
      <c r="M6" s="4"/>
      <c r="N6" s="2"/>
      <c r="O6" s="2"/>
    </row>
    <row r="7" spans="1:18" x14ac:dyDescent="0.3">
      <c r="B7" s="2"/>
      <c r="C7" s="2"/>
      <c r="D7" s="4"/>
      <c r="E7" s="2"/>
      <c r="F7" s="5"/>
      <c r="G7" s="10"/>
      <c r="H7" s="2"/>
      <c r="I7" s="2"/>
      <c r="J7" s="4"/>
      <c r="K7" s="2"/>
      <c r="L7" s="5"/>
      <c r="M7" s="4"/>
      <c r="N7" s="2"/>
      <c r="O7" s="2"/>
    </row>
    <row r="8" spans="1:18" x14ac:dyDescent="0.3">
      <c r="A8" s="4"/>
      <c r="B8" s="2"/>
      <c r="C8" s="2"/>
      <c r="D8" s="4"/>
      <c r="E8" s="2"/>
      <c r="F8" s="2"/>
      <c r="G8" s="4"/>
      <c r="H8" s="2"/>
      <c r="I8" s="2"/>
      <c r="J8" s="4"/>
      <c r="K8" s="2"/>
      <c r="L8" s="5"/>
      <c r="M8" s="4"/>
      <c r="N8" s="2"/>
      <c r="O8" s="2"/>
    </row>
    <row r="9" spans="1:18" x14ac:dyDescent="0.3">
      <c r="A9" s="4"/>
      <c r="B9" s="2"/>
      <c r="C9" s="2"/>
      <c r="D9" s="4"/>
      <c r="E9" s="2"/>
      <c r="F9" s="5"/>
      <c r="G9" s="4"/>
      <c r="H9" s="2"/>
      <c r="I9" s="2"/>
      <c r="J9" s="4"/>
      <c r="K9" s="2"/>
      <c r="L9" s="2"/>
      <c r="M9" s="4"/>
      <c r="N9" s="2"/>
      <c r="O9" s="2"/>
    </row>
    <row r="10" spans="1:18" x14ac:dyDescent="0.3">
      <c r="A10" s="2" t="s">
        <v>21</v>
      </c>
      <c r="B10" s="2">
        <f>ROUND(       PRODUCT(      SUM(PRODUCT(B3,C3),PRODUCT(B4,C4)),2.5),1)</f>
        <v>6.8</v>
      </c>
      <c r="C10" s="2">
        <f t="array" ref="C10">ROUND(SUM(B3:B6*C3:C6),0)</f>
        <v>12</v>
      </c>
      <c r="D10" s="4"/>
      <c r="E10" s="2"/>
      <c r="F10" s="2">
        <f t="array" ref="F10">ROUND(SUM(E3:E7*F3:F7),0)</f>
        <v>12</v>
      </c>
      <c r="G10" s="4"/>
      <c r="H10" s="2"/>
      <c r="I10" s="2">
        <f t="array" ref="I10">ROUND(SUM(H3:H5*I3:I5),0)</f>
        <v>12</v>
      </c>
      <c r="J10" s="4"/>
      <c r="K10" s="2"/>
      <c r="L10" s="2">
        <f t="array" ref="L10">ROUND(SUM(K3:K4*L3:L4) + 0.6 * L6,0)</f>
        <v>6</v>
      </c>
      <c r="M10" s="4"/>
      <c r="N10" s="2">
        <f>ROUND(       PRODUCT(      SUM(PRODUCT(N3,O3),PRODUCT(N4,O4),PRODUCT(N5,O5)), ),1)</f>
        <v>11.8</v>
      </c>
      <c r="O10" s="2">
        <f t="array" ref="O10">ROUND(SUM(N3:N4:N5*O3:O4:O5),0)</f>
        <v>12</v>
      </c>
    </row>
    <row r="11" spans="1:18" x14ac:dyDescent="0.3">
      <c r="A11" s="4"/>
      <c r="B11" s="4" t="s">
        <v>52</v>
      </c>
      <c r="C11" s="4" t="s">
        <v>51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 t="s">
        <v>53</v>
      </c>
      <c r="O11" s="4"/>
      <c r="P11" s="4"/>
      <c r="R11" s="4"/>
    </row>
    <row r="12" spans="1:18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 t="s">
        <v>55</v>
      </c>
      <c r="O12" s="4"/>
      <c r="P12" s="4"/>
      <c r="R12" s="4"/>
    </row>
    <row r="13" spans="1:18" x14ac:dyDescent="0.3">
      <c r="A13" s="2" t="s">
        <v>23</v>
      </c>
      <c r="B13" s="2">
        <f>(C10+F10+I10+L10+O10)/6</f>
        <v>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54</v>
      </c>
      <c r="O13" s="4"/>
      <c r="P13" s="4"/>
      <c r="R13" s="4"/>
    </row>
    <row r="14" spans="1:18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">
      <c r="A15" s="4"/>
      <c r="B15" s="4"/>
      <c r="C15" s="4"/>
      <c r="D15" s="4"/>
      <c r="E15" s="18">
        <v>45026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">
      <c r="A16" s="4"/>
      <c r="B16" s="4"/>
      <c r="C16" s="4"/>
      <c r="D16" s="4"/>
      <c r="F16" s="4"/>
      <c r="J16" s="4"/>
      <c r="K16" s="4"/>
      <c r="P16" s="4"/>
      <c r="Q16" s="4"/>
      <c r="R16" s="4"/>
    </row>
    <row r="17" spans="1:18" x14ac:dyDescent="0.3">
      <c r="A17" s="4"/>
      <c r="B17" s="4"/>
      <c r="C17" s="4"/>
      <c r="D17" s="4"/>
      <c r="F17" s="4"/>
      <c r="J17" s="4"/>
      <c r="K17" s="4"/>
      <c r="P17" s="4"/>
      <c r="Q17" s="4"/>
      <c r="R17" s="4"/>
    </row>
    <row r="18" spans="1:18" x14ac:dyDescent="0.3">
      <c r="A18" s="4"/>
      <c r="B18" s="4"/>
      <c r="C18" s="4"/>
      <c r="D18" s="4"/>
      <c r="F18" s="4"/>
      <c r="J18" s="4"/>
      <c r="K18" s="4"/>
      <c r="Q18" s="4"/>
      <c r="R18" s="4"/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workbookViewId="0">
      <selection activeCell="G29" sqref="G29"/>
    </sheetView>
  </sheetViews>
  <sheetFormatPr defaultRowHeight="14.4" x14ac:dyDescent="0.3"/>
  <cols>
    <col min="2" max="2" width="8.88671875" customWidth="1"/>
    <col min="6" max="7" width="10.44140625" customWidth="1"/>
    <col min="8" max="8" width="13.44140625" customWidth="1"/>
    <col min="9" max="9" width="16.6640625" customWidth="1"/>
    <col min="11" max="11" width="15.5546875" customWidth="1"/>
    <col min="12" max="12" width="17.6640625" customWidth="1"/>
    <col min="14" max="14" width="12.109375" customWidth="1"/>
    <col min="15" max="15" width="13.44140625" customWidth="1"/>
  </cols>
  <sheetData>
    <row r="2" spans="1:15" x14ac:dyDescent="0.3">
      <c r="B2" s="231" t="s">
        <v>3</v>
      </c>
      <c r="C2" s="232"/>
      <c r="E2" s="231" t="s">
        <v>4</v>
      </c>
      <c r="F2" s="232"/>
      <c r="H2" s="231" t="s">
        <v>9</v>
      </c>
      <c r="I2" s="232"/>
      <c r="K2" s="231" t="s">
        <v>27</v>
      </c>
      <c r="L2" s="232"/>
      <c r="N2" s="231" t="s">
        <v>10</v>
      </c>
      <c r="O2" s="232"/>
    </row>
    <row r="3" spans="1:15" x14ac:dyDescent="0.3">
      <c r="A3" s="4"/>
      <c r="B3" s="2">
        <v>10</v>
      </c>
      <c r="C3" s="5">
        <v>0.15</v>
      </c>
      <c r="D3" s="4"/>
      <c r="E3" s="2"/>
      <c r="F3" s="5">
        <v>0.1</v>
      </c>
      <c r="G3" s="4"/>
      <c r="H3" s="2">
        <v>10</v>
      </c>
      <c r="I3" s="5">
        <v>0.24</v>
      </c>
      <c r="J3" s="4"/>
      <c r="K3" s="2">
        <v>2</v>
      </c>
      <c r="L3" s="5">
        <v>0.05</v>
      </c>
      <c r="M3" s="4" t="s">
        <v>47</v>
      </c>
      <c r="N3" s="2">
        <v>10</v>
      </c>
      <c r="O3" s="5">
        <v>0.1</v>
      </c>
    </row>
    <row r="4" spans="1:15" x14ac:dyDescent="0.3">
      <c r="A4" s="4"/>
      <c r="B4" s="2">
        <v>10</v>
      </c>
      <c r="C4" s="5">
        <v>0.35</v>
      </c>
      <c r="D4" s="4"/>
      <c r="E4" s="2"/>
      <c r="F4" s="5">
        <v>0.3</v>
      </c>
      <c r="G4" s="4"/>
      <c r="H4" s="2">
        <v>10</v>
      </c>
      <c r="I4" s="5">
        <v>0.36</v>
      </c>
      <c r="J4" s="4"/>
      <c r="K4" s="2">
        <v>15.14</v>
      </c>
      <c r="L4" s="5">
        <v>0.2</v>
      </c>
      <c r="M4" s="4" t="s">
        <v>44</v>
      </c>
      <c r="N4" s="2">
        <v>10</v>
      </c>
      <c r="O4" s="5">
        <v>0.15</v>
      </c>
    </row>
    <row r="5" spans="1:15" x14ac:dyDescent="0.3">
      <c r="A5" s="4"/>
      <c r="B5" s="2">
        <v>10</v>
      </c>
      <c r="C5" s="5">
        <v>0.15</v>
      </c>
      <c r="D5" s="4"/>
      <c r="E5" s="2"/>
      <c r="F5" s="5">
        <v>0.3</v>
      </c>
      <c r="G5" s="4"/>
      <c r="H5" s="2" t="s">
        <v>22</v>
      </c>
      <c r="I5" s="5">
        <v>1</v>
      </c>
      <c r="J5" s="4"/>
      <c r="K5" s="2">
        <v>14.1</v>
      </c>
      <c r="L5" s="5">
        <v>0.2</v>
      </c>
      <c r="M5" s="4" t="s">
        <v>44</v>
      </c>
      <c r="N5" s="2">
        <v>10</v>
      </c>
      <c r="O5" s="5">
        <v>0.1</v>
      </c>
    </row>
    <row r="6" spans="1:15" x14ac:dyDescent="0.3">
      <c r="A6" s="4"/>
      <c r="B6" s="2">
        <v>10</v>
      </c>
      <c r="C6" s="5">
        <v>0.35</v>
      </c>
      <c r="D6" s="4"/>
      <c r="E6" s="2"/>
      <c r="F6" s="5">
        <v>0.3</v>
      </c>
      <c r="G6" s="4"/>
      <c r="H6" s="2">
        <v>10</v>
      </c>
      <c r="I6" s="5">
        <v>0.4</v>
      </c>
      <c r="J6" s="4"/>
      <c r="K6" s="2">
        <v>16.7</v>
      </c>
      <c r="L6" s="5">
        <v>0.15</v>
      </c>
      <c r="M6" s="4" t="s">
        <v>46</v>
      </c>
      <c r="N6" s="2">
        <v>10</v>
      </c>
      <c r="O6" s="5">
        <v>0.25</v>
      </c>
    </row>
    <row r="7" spans="1:15" x14ac:dyDescent="0.3">
      <c r="A7" s="4"/>
      <c r="B7" s="2"/>
      <c r="C7" s="2"/>
      <c r="D7" s="4"/>
      <c r="E7" s="2" t="s">
        <v>22</v>
      </c>
      <c r="F7" s="5">
        <v>1</v>
      </c>
      <c r="G7" s="4"/>
      <c r="H7" s="2">
        <v>10</v>
      </c>
      <c r="I7" s="5">
        <v>0.6</v>
      </c>
      <c r="J7" s="4"/>
      <c r="K7" s="2">
        <v>17.7</v>
      </c>
      <c r="L7" s="5">
        <v>0.4</v>
      </c>
      <c r="M7" s="4" t="s">
        <v>45</v>
      </c>
      <c r="N7" s="2">
        <v>10</v>
      </c>
      <c r="O7" s="5">
        <v>0.2</v>
      </c>
    </row>
    <row r="8" spans="1:15" x14ac:dyDescent="0.3">
      <c r="A8" s="4"/>
      <c r="B8" s="2"/>
      <c r="C8" s="2"/>
      <c r="D8" s="4"/>
      <c r="E8" s="2"/>
      <c r="F8" s="2"/>
      <c r="G8" s="4"/>
      <c r="H8" s="2"/>
      <c r="I8" s="2"/>
      <c r="J8" s="4"/>
      <c r="K8" s="2"/>
      <c r="L8" s="5"/>
      <c r="M8" s="4"/>
      <c r="N8" s="2">
        <v>10</v>
      </c>
      <c r="O8" s="5">
        <v>0.2</v>
      </c>
    </row>
    <row r="9" spans="1:15" x14ac:dyDescent="0.3">
      <c r="A9" s="4"/>
      <c r="B9" s="2"/>
      <c r="C9" s="2"/>
      <c r="D9" s="4"/>
      <c r="E9" s="2"/>
      <c r="F9" s="5"/>
      <c r="G9" s="4"/>
      <c r="H9" s="2"/>
      <c r="I9" s="7"/>
      <c r="J9" s="4"/>
      <c r="K9" s="2"/>
      <c r="L9" s="2"/>
      <c r="M9" s="4"/>
      <c r="N9" s="2"/>
      <c r="O9" s="2"/>
    </row>
    <row r="10" spans="1:15" x14ac:dyDescent="0.3">
      <c r="A10" s="2" t="s">
        <v>21</v>
      </c>
      <c r="B10" s="3"/>
      <c r="C10" s="2">
        <f t="array" ref="C10">ROUND(SUM(B3:B6*C3:C6),0)</f>
        <v>10</v>
      </c>
      <c r="D10" s="4"/>
      <c r="E10" s="2"/>
      <c r="F10" s="2">
        <v>11</v>
      </c>
      <c r="G10" s="4"/>
      <c r="H10" s="2"/>
      <c r="I10" s="2">
        <v>13</v>
      </c>
      <c r="J10" s="4"/>
      <c r="K10" s="2">
        <f>ROUND(       PRODUCT(      SUM(PRODUCT(K3,L3),PRODUCT(K4,L4),PRODUCT(K5,L5),PRODUCT(K6,L6),PRODUCT(K7,L7)), ),1)</f>
        <v>15.5</v>
      </c>
      <c r="L10" s="2">
        <f t="array" ref="L10">ROUND(SUM(K3:K8*L3:L8),0)</f>
        <v>16</v>
      </c>
      <c r="M10" s="4"/>
      <c r="N10" s="2"/>
      <c r="O10" s="2">
        <v>12</v>
      </c>
    </row>
    <row r="11" spans="1:15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1" t="s">
        <v>23</v>
      </c>
      <c r="B13" s="1">
        <f>(C10+L10+F10+I10+O10)/5</f>
        <v>12.4</v>
      </c>
      <c r="C13" t="s">
        <v>41</v>
      </c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P14"/>
  <sheetViews>
    <sheetView workbookViewId="0">
      <selection activeCell="C19" sqref="C19:F22"/>
    </sheetView>
  </sheetViews>
  <sheetFormatPr defaultRowHeight="14.4" x14ac:dyDescent="0.3"/>
  <cols>
    <col min="1" max="1" width="8.88671875" style="13"/>
    <col min="2" max="2" width="10" style="13" customWidth="1"/>
    <col min="3" max="3" width="11" style="13" customWidth="1"/>
    <col min="4" max="4" width="8.88671875" style="13"/>
    <col min="5" max="5" width="7" style="13" bestFit="1" customWidth="1"/>
    <col min="6" max="6" width="23.88671875" style="13" customWidth="1"/>
    <col min="7" max="7" width="14.109375" style="13" customWidth="1"/>
    <col min="8" max="8" width="4.109375" style="13" customWidth="1"/>
    <col min="9" max="9" width="23.21875" style="13" bestFit="1" customWidth="1"/>
    <col min="10" max="10" width="24.21875" style="13" customWidth="1"/>
    <col min="11" max="11" width="20.6640625" style="13" customWidth="1"/>
    <col min="12" max="12" width="15.109375" style="13" bestFit="1" customWidth="1"/>
    <col min="13" max="13" width="3.88671875" style="13" customWidth="1"/>
    <col min="14" max="14" width="3.6640625" style="13" customWidth="1"/>
    <col min="15" max="16384" width="8.88671875" style="13"/>
  </cols>
  <sheetData>
    <row r="2" spans="1:16" ht="15" thickBot="1" x14ac:dyDescent="0.35">
      <c r="B2" s="237" t="s">
        <v>30</v>
      </c>
      <c r="C2" s="238"/>
      <c r="F2" s="237" t="s">
        <v>31</v>
      </c>
      <c r="G2" s="238"/>
      <c r="J2" s="239" t="s">
        <v>32</v>
      </c>
      <c r="K2" s="240"/>
      <c r="O2" s="237" t="s">
        <v>33</v>
      </c>
      <c r="P2" s="238"/>
    </row>
    <row r="3" spans="1:16" x14ac:dyDescent="0.3">
      <c r="A3" s="35" t="s">
        <v>101</v>
      </c>
      <c r="B3" s="25">
        <v>10.199999999999999</v>
      </c>
      <c r="C3" s="24">
        <v>0.45</v>
      </c>
      <c r="E3" s="35" t="s">
        <v>103</v>
      </c>
      <c r="F3" s="25">
        <v>13.4</v>
      </c>
      <c r="G3" s="27">
        <f>25%</f>
        <v>0.25</v>
      </c>
      <c r="H3" s="26"/>
      <c r="I3" s="57" t="s">
        <v>104</v>
      </c>
      <c r="J3" s="58">
        <v>6</v>
      </c>
      <c r="K3" s="59">
        <v>0.2</v>
      </c>
      <c r="O3" s="14">
        <v>10.4</v>
      </c>
      <c r="P3" s="15">
        <f>10%</f>
        <v>0.1</v>
      </c>
    </row>
    <row r="4" spans="1:16" x14ac:dyDescent="0.3">
      <c r="A4" s="35" t="s">
        <v>45</v>
      </c>
      <c r="B4" s="25">
        <v>4.5</v>
      </c>
      <c r="C4" s="27">
        <v>0.25</v>
      </c>
      <c r="E4" s="35" t="s">
        <v>103</v>
      </c>
      <c r="F4" s="25">
        <v>5.4</v>
      </c>
      <c r="G4" s="27">
        <f>25%</f>
        <v>0.25</v>
      </c>
      <c r="H4" s="26"/>
      <c r="I4" s="60" t="s">
        <v>126</v>
      </c>
      <c r="J4" s="25">
        <v>12</v>
      </c>
      <c r="K4" s="37">
        <v>2.5000000000000001E-2</v>
      </c>
      <c r="L4" s="13" t="s">
        <v>124</v>
      </c>
      <c r="O4" s="14">
        <v>12.3</v>
      </c>
      <c r="P4" s="15">
        <f>10%</f>
        <v>0.1</v>
      </c>
    </row>
    <row r="5" spans="1:16" x14ac:dyDescent="0.3">
      <c r="A5" s="35" t="s">
        <v>102</v>
      </c>
      <c r="B5" s="25">
        <v>17.899999999999999</v>
      </c>
      <c r="C5" s="27">
        <v>0.3</v>
      </c>
      <c r="E5" s="35" t="s">
        <v>102</v>
      </c>
      <c r="F5" s="25">
        <v>13.5</v>
      </c>
      <c r="G5" s="27">
        <f>25%</f>
        <v>0.25</v>
      </c>
      <c r="H5" s="26"/>
      <c r="I5" s="60" t="s">
        <v>127</v>
      </c>
      <c r="J5" s="25">
        <v>11.7</v>
      </c>
      <c r="K5" s="37">
        <v>2.5000000000000001E-2</v>
      </c>
      <c r="O5" s="14">
        <v>16.3</v>
      </c>
      <c r="P5" s="15">
        <f>25%</f>
        <v>0.25</v>
      </c>
    </row>
    <row r="6" spans="1:16" ht="15" thickBot="1" x14ac:dyDescent="0.35">
      <c r="B6" s="25"/>
      <c r="C6" s="27"/>
      <c r="E6" s="35" t="s">
        <v>102</v>
      </c>
      <c r="F6" s="25">
        <v>12.12</v>
      </c>
      <c r="G6" s="27">
        <f>25%</f>
        <v>0.25</v>
      </c>
      <c r="H6" s="26"/>
      <c r="I6" s="61" t="s">
        <v>128</v>
      </c>
      <c r="J6" s="56">
        <v>20</v>
      </c>
      <c r="K6" s="38">
        <v>0.05</v>
      </c>
      <c r="O6" s="14">
        <v>14.4</v>
      </c>
      <c r="P6" s="15">
        <f>10%</f>
        <v>0.1</v>
      </c>
    </row>
    <row r="7" spans="1:16" ht="15" thickBot="1" x14ac:dyDescent="0.35">
      <c r="B7" s="25"/>
      <c r="C7" s="25"/>
      <c r="E7" s="26"/>
      <c r="F7" s="25"/>
      <c r="G7" s="27"/>
      <c r="H7" s="26"/>
      <c r="I7" s="235" t="s">
        <v>122</v>
      </c>
      <c r="J7" s="236"/>
      <c r="K7" s="65">
        <f>ROUND(((J4*K4+J5*K5+J6*K6+J3*K3)*100/30),1)</f>
        <v>9.3000000000000007</v>
      </c>
      <c r="O7" s="14">
        <v>8</v>
      </c>
      <c r="P7" s="17">
        <f>45%</f>
        <v>0.45</v>
      </c>
    </row>
    <row r="8" spans="1:16" ht="15" thickBot="1" x14ac:dyDescent="0.35">
      <c r="A8" s="25"/>
      <c r="B8" s="67"/>
      <c r="C8" s="67"/>
      <c r="E8" s="26"/>
      <c r="F8" s="25"/>
      <c r="G8" s="25"/>
      <c r="H8" s="26"/>
      <c r="I8" s="57" t="s">
        <v>129</v>
      </c>
      <c r="J8" s="58">
        <v>7.9</v>
      </c>
      <c r="K8" s="59">
        <v>0.17499999999999999</v>
      </c>
      <c r="O8" s="14"/>
      <c r="P8" s="14"/>
    </row>
    <row r="9" spans="1:16" ht="15" thickBot="1" x14ac:dyDescent="0.35">
      <c r="B9" s="28" t="s">
        <v>125</v>
      </c>
      <c r="C9" s="70">
        <f>ROUND((B5*C5 +  B4*C4)/55*100,2)</f>
        <v>11.81</v>
      </c>
      <c r="F9" s="14"/>
      <c r="G9" s="14">
        <f>(F3*G3 + F4*G4)/50*100</f>
        <v>9.4</v>
      </c>
      <c r="I9" s="62" t="s">
        <v>130</v>
      </c>
      <c r="J9" s="55">
        <v>14.8</v>
      </c>
      <c r="K9" s="37">
        <v>0.17499999999999999</v>
      </c>
      <c r="O9" s="14"/>
      <c r="P9" s="14"/>
    </row>
    <row r="10" spans="1:16" s="41" customFormat="1" x14ac:dyDescent="0.3">
      <c r="A10" s="40" t="s">
        <v>21</v>
      </c>
      <c r="B10" s="68"/>
      <c r="C10" s="69">
        <f>ROUND((B3*C3 + B4*C4+ B5*C5),2)</f>
        <v>11.09</v>
      </c>
      <c r="F10" s="40"/>
      <c r="G10" s="40">
        <f>(F3*G3 + F4*G4+ F5*G5 + F6*G6)</f>
        <v>11.104999999999999</v>
      </c>
      <c r="I10" s="60" t="s">
        <v>106</v>
      </c>
      <c r="J10" s="25">
        <v>5.5</v>
      </c>
      <c r="K10" s="37">
        <v>0.25</v>
      </c>
      <c r="O10" s="40"/>
      <c r="P10" s="40">
        <f t="array" ref="P10">ROUND(SUMPRODUCT(IF(O3:O7&lt;&gt;"",O3:O7*P3:P7,0))/SUM(IF(O3:O7&lt;&gt;"", P3:P7,0)),0)</f>
        <v>11</v>
      </c>
    </row>
    <row r="11" spans="1:16" ht="15" thickBot="1" x14ac:dyDescent="0.35">
      <c r="I11" s="63" t="s">
        <v>105</v>
      </c>
      <c r="J11" s="64">
        <v>15</v>
      </c>
      <c r="K11" s="38">
        <v>0.1</v>
      </c>
      <c r="P11" s="13">
        <f t="array" ref="P11">ROUND(SUM(O3:O7*P3:P7),2)</f>
        <v>11.39</v>
      </c>
    </row>
    <row r="12" spans="1:16" ht="15" thickBot="1" x14ac:dyDescent="0.35">
      <c r="I12" s="235" t="s">
        <v>131</v>
      </c>
      <c r="J12" s="236"/>
      <c r="K12" s="66">
        <f>ROUND((J6*K6+J3*K3+J5*K5+J11*K11+J8*K8+J9*K9+J10*K10+J4*K4),0 )</f>
        <v>10</v>
      </c>
    </row>
    <row r="13" spans="1:16" ht="15" thickBot="1" x14ac:dyDescent="0.35">
      <c r="A13" s="14" t="s">
        <v>23</v>
      </c>
      <c r="B13" s="14">
        <f>(C10+G10+K13+P10)/4</f>
        <v>10.70875</v>
      </c>
      <c r="K13" s="66">
        <f>(J3*K3+J4*K4+J6*K6+J8*K8+J9*K9+J10*K10+J11*K11+J5*K5)</f>
        <v>9.64</v>
      </c>
    </row>
    <row r="14" spans="1:16" x14ac:dyDescent="0.3">
      <c r="B14" s="13">
        <f>SUM(C11,K7,P11,G11)/4</f>
        <v>5.1725000000000003</v>
      </c>
    </row>
  </sheetData>
  <mergeCells count="6">
    <mergeCell ref="I12:J12"/>
    <mergeCell ref="O2:P2"/>
    <mergeCell ref="B2:C2"/>
    <mergeCell ref="F2:G2"/>
    <mergeCell ref="J2:K2"/>
    <mergeCell ref="I7:J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Q16"/>
  <sheetViews>
    <sheetView workbookViewId="0">
      <selection activeCell="I19" sqref="I19"/>
    </sheetView>
  </sheetViews>
  <sheetFormatPr defaultRowHeight="14.4" x14ac:dyDescent="0.3"/>
  <cols>
    <col min="2" max="2" width="15.88671875" customWidth="1"/>
    <col min="3" max="3" width="16.109375" customWidth="1"/>
    <col min="5" max="6" width="13.33203125" customWidth="1"/>
    <col min="7" max="7" width="20.6640625" customWidth="1"/>
    <col min="8" max="8" width="10.88671875" customWidth="1"/>
    <col min="9" max="9" width="13.44140625" customWidth="1"/>
    <col min="10" max="10" width="10.6640625" customWidth="1"/>
    <col min="11" max="11" width="15.33203125" customWidth="1"/>
    <col min="12" max="12" width="14.44140625" customWidth="1"/>
    <col min="13" max="13" width="14.88671875" customWidth="1"/>
    <col min="14" max="14" width="14" customWidth="1"/>
    <col min="15" max="15" width="17" customWidth="1"/>
    <col min="16" max="16" width="13.44140625" customWidth="1"/>
    <col min="17" max="17" width="14.77734375" customWidth="1"/>
  </cols>
  <sheetData>
    <row r="2" spans="1:17" x14ac:dyDescent="0.3">
      <c r="B2" s="231" t="s">
        <v>11</v>
      </c>
      <c r="C2" s="232"/>
      <c r="E2" s="231" t="s">
        <v>12</v>
      </c>
      <c r="F2" s="232"/>
      <c r="I2" s="231" t="s">
        <v>24</v>
      </c>
      <c r="J2" s="232"/>
      <c r="M2" s="243" t="s">
        <v>13</v>
      </c>
      <c r="N2" s="244"/>
      <c r="P2" s="231" t="s">
        <v>57</v>
      </c>
      <c r="Q2" s="232"/>
    </row>
    <row r="3" spans="1:17" x14ac:dyDescent="0.3">
      <c r="B3" s="2">
        <v>10</v>
      </c>
      <c r="C3" s="8">
        <f>5%*70%</f>
        <v>3.4999999999999996E-2</v>
      </c>
      <c r="D3" s="4"/>
      <c r="E3" s="2">
        <v>11</v>
      </c>
      <c r="F3" s="8">
        <v>0.33329999999999999</v>
      </c>
      <c r="G3" s="22" t="s">
        <v>58</v>
      </c>
      <c r="I3" s="2">
        <v>10</v>
      </c>
      <c r="J3" s="5">
        <f>30%*40%</f>
        <v>0.12</v>
      </c>
      <c r="K3" s="4"/>
      <c r="L3" s="35" t="s">
        <v>107</v>
      </c>
      <c r="M3" s="42">
        <v>9.6999999999999993</v>
      </c>
      <c r="N3" s="43">
        <v>0.27</v>
      </c>
      <c r="O3" s="4"/>
      <c r="P3" s="2"/>
      <c r="Q3" s="5">
        <f>40%*40%</f>
        <v>0.16000000000000003</v>
      </c>
    </row>
    <row r="4" spans="1:17" x14ac:dyDescent="0.3">
      <c r="B4" s="2">
        <v>10</v>
      </c>
      <c r="C4" s="8">
        <f>5%*70%</f>
        <v>3.4999999999999996E-2</v>
      </c>
      <c r="D4" s="4"/>
      <c r="E4" s="2">
        <v>11</v>
      </c>
      <c r="F4" s="8">
        <v>0.33329999999999999</v>
      </c>
      <c r="G4" s="22" t="s">
        <v>59</v>
      </c>
      <c r="I4" s="2">
        <v>10</v>
      </c>
      <c r="J4" s="8">
        <f>30%*40%</f>
        <v>0.12</v>
      </c>
      <c r="K4" s="4"/>
      <c r="L4" s="13" t="s">
        <v>108</v>
      </c>
      <c r="M4" s="42">
        <v>0</v>
      </c>
      <c r="N4" s="43">
        <v>0.33</v>
      </c>
      <c r="O4" s="4"/>
      <c r="P4" s="2"/>
      <c r="Q4" s="5">
        <f>60%*40%</f>
        <v>0.24</v>
      </c>
    </row>
    <row r="5" spans="1:17" x14ac:dyDescent="0.3">
      <c r="B5" s="2">
        <v>10</v>
      </c>
      <c r="C5" s="8">
        <f>5%*70%</f>
        <v>3.4999999999999996E-2</v>
      </c>
      <c r="D5" s="4"/>
      <c r="E5" s="2">
        <v>18</v>
      </c>
      <c r="F5" s="8">
        <v>0.33329999999999999</v>
      </c>
      <c r="G5" s="22" t="s">
        <v>60</v>
      </c>
      <c r="I5" s="2">
        <v>10</v>
      </c>
      <c r="J5" s="5">
        <f>25%*40%</f>
        <v>0.1</v>
      </c>
      <c r="K5" s="4"/>
      <c r="L5" s="35" t="s">
        <v>104</v>
      </c>
      <c r="M5" s="42">
        <v>15.4</v>
      </c>
      <c r="N5" s="43">
        <v>0.16</v>
      </c>
      <c r="O5" s="4"/>
      <c r="P5" s="2"/>
      <c r="Q5" s="5">
        <v>0.6</v>
      </c>
    </row>
    <row r="6" spans="1:17" x14ac:dyDescent="0.3">
      <c r="B6" s="2">
        <v>10</v>
      </c>
      <c r="C6" s="5">
        <v>0.3</v>
      </c>
      <c r="D6" s="4"/>
      <c r="E6" s="2"/>
      <c r="F6" s="2"/>
      <c r="G6" s="21"/>
      <c r="I6" s="2">
        <v>10</v>
      </c>
      <c r="J6" s="8">
        <f>15%*40%</f>
        <v>0.06</v>
      </c>
      <c r="K6" s="4"/>
      <c r="L6" s="13" t="s">
        <v>109</v>
      </c>
      <c r="M6" s="42">
        <v>0</v>
      </c>
      <c r="N6" s="43">
        <v>0.24</v>
      </c>
      <c r="O6" s="4"/>
      <c r="P6" s="2"/>
      <c r="Q6" s="2"/>
    </row>
    <row r="7" spans="1:17" x14ac:dyDescent="0.3">
      <c r="B7" s="2">
        <v>10</v>
      </c>
      <c r="C7" s="5">
        <v>0.59499999999999997</v>
      </c>
      <c r="D7" s="4"/>
      <c r="E7" s="2"/>
      <c r="F7" s="2"/>
      <c r="G7" s="4"/>
      <c r="I7" s="2">
        <v>10</v>
      </c>
      <c r="J7" s="8">
        <f>60%*100%</f>
        <v>0.6</v>
      </c>
      <c r="K7" s="4"/>
      <c r="M7" s="44"/>
      <c r="N7" s="44"/>
      <c r="O7" s="4"/>
      <c r="P7" s="2"/>
      <c r="Q7" s="2"/>
    </row>
    <row r="8" spans="1:17" x14ac:dyDescent="0.3">
      <c r="B8" s="2"/>
      <c r="C8" s="8"/>
      <c r="D8" s="4"/>
      <c r="E8" s="2"/>
      <c r="F8" s="2"/>
      <c r="G8" s="4"/>
      <c r="I8" s="2"/>
      <c r="J8" s="2">
        <v>10</v>
      </c>
      <c r="K8" s="4"/>
      <c r="M8" s="44"/>
      <c r="N8" s="44"/>
      <c r="O8" s="4"/>
      <c r="P8" s="2"/>
      <c r="Q8" s="2"/>
    </row>
    <row r="9" spans="1:17" x14ac:dyDescent="0.3">
      <c r="B9" s="2"/>
      <c r="C9" s="2"/>
      <c r="D9" s="4"/>
      <c r="E9" s="2"/>
      <c r="F9" s="2"/>
      <c r="G9" s="4"/>
      <c r="I9" s="2"/>
      <c r="J9" s="2"/>
      <c r="K9" s="4"/>
      <c r="M9" s="42"/>
      <c r="N9" s="42"/>
      <c r="O9" s="4"/>
      <c r="P9" s="2"/>
      <c r="Q9" s="2"/>
    </row>
    <row r="10" spans="1:17" ht="15" thickBot="1" x14ac:dyDescent="0.35">
      <c r="A10" s="2" t="s">
        <v>26</v>
      </c>
      <c r="B10" s="2"/>
      <c r="C10" s="2">
        <f t="array" ref="C10">ROUND(SUM(B3:B7*C3:C7),0)</f>
        <v>10</v>
      </c>
      <c r="D10" s="4"/>
      <c r="E10" s="2"/>
      <c r="F10" s="2">
        <f>ROUND(SUM(E3:E5)/3,0)</f>
        <v>13</v>
      </c>
      <c r="G10" s="4"/>
      <c r="I10" s="2"/>
      <c r="J10" s="2">
        <v>13</v>
      </c>
      <c r="K10" s="4"/>
      <c r="M10" s="45" t="s">
        <v>121</v>
      </c>
      <c r="N10" s="46">
        <f>(M3*N3 + M4*N4+ M5*N5 + M6*N6)</f>
        <v>5.0830000000000002</v>
      </c>
      <c r="O10" s="4"/>
      <c r="P10" s="2"/>
      <c r="Q10" s="2">
        <v>11</v>
      </c>
    </row>
    <row r="11" spans="1:17" ht="15" thickBot="1" x14ac:dyDescent="0.3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7" t="s">
        <v>110</v>
      </c>
      <c r="N11" s="48">
        <f>( M3*0.45 + M4*0.55)</f>
        <v>4.3650000000000002</v>
      </c>
    </row>
    <row r="12" spans="1:17" ht="15" thickBot="1" x14ac:dyDescent="0.3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7" x14ac:dyDescent="0.3">
      <c r="A13" s="2" t="s">
        <v>23</v>
      </c>
      <c r="B13" s="2">
        <f>(C10+F10+J10+N10)/4</f>
        <v>10.27075</v>
      </c>
      <c r="C13" s="4"/>
      <c r="D13" s="4"/>
      <c r="F13" s="4"/>
      <c r="G13" s="4"/>
      <c r="H13" s="4"/>
      <c r="I13" s="4"/>
      <c r="J13" s="4"/>
      <c r="K13" s="4"/>
      <c r="L13" s="52" t="s">
        <v>119</v>
      </c>
      <c r="M13" s="51"/>
      <c r="N13" s="49">
        <v>0.6</v>
      </c>
    </row>
    <row r="14" spans="1:17" ht="15" thickBot="1" x14ac:dyDescent="0.35">
      <c r="B14" s="4"/>
      <c r="C14" s="4"/>
      <c r="D14" s="4"/>
      <c r="F14" s="4"/>
      <c r="G14" s="4"/>
      <c r="H14" s="4"/>
      <c r="I14" s="4"/>
      <c r="J14" s="4"/>
      <c r="K14" s="4"/>
      <c r="L14" s="53" t="s">
        <v>120</v>
      </c>
      <c r="M14" s="54"/>
      <c r="N14" s="50">
        <v>0.4</v>
      </c>
    </row>
    <row r="15" spans="1:17" ht="15" thickBot="1" x14ac:dyDescent="0.35">
      <c r="B15" s="4"/>
      <c r="C15" s="4"/>
      <c r="D15" s="4"/>
      <c r="F15" s="4"/>
      <c r="G15" s="4"/>
      <c r="H15" s="4"/>
      <c r="I15" s="4"/>
      <c r="J15" s="4"/>
      <c r="K15" s="4"/>
      <c r="L15" s="241" t="s">
        <v>121</v>
      </c>
      <c r="M15" s="242"/>
      <c r="N15" s="39">
        <f>M13*N13+M14*N14</f>
        <v>0</v>
      </c>
    </row>
    <row r="16" spans="1:17" x14ac:dyDescent="0.3">
      <c r="B16" s="4"/>
      <c r="C16" s="4"/>
      <c r="D16" s="4"/>
      <c r="F16" s="4"/>
      <c r="G16" s="4"/>
      <c r="H16" s="4"/>
      <c r="I16" s="4"/>
      <c r="J16" s="4"/>
      <c r="K16" s="4"/>
    </row>
  </sheetData>
  <mergeCells count="6">
    <mergeCell ref="P2:Q2"/>
    <mergeCell ref="L15:M15"/>
    <mergeCell ref="B2:C2"/>
    <mergeCell ref="E2:F2"/>
    <mergeCell ref="I2:J2"/>
    <mergeCell ref="M2:N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P26"/>
  <sheetViews>
    <sheetView zoomScaleNormal="100" workbookViewId="0">
      <selection activeCell="L2" sqref="L2:M2"/>
    </sheetView>
  </sheetViews>
  <sheetFormatPr defaultRowHeight="14.4" x14ac:dyDescent="0.3"/>
  <cols>
    <col min="3" max="3" width="15.44140625" bestFit="1" customWidth="1"/>
    <col min="8" max="8" width="15.5546875" customWidth="1"/>
    <col min="9" max="9" width="18.44140625" customWidth="1"/>
    <col min="11" max="11" width="13.88671875" customWidth="1"/>
    <col min="12" max="12" width="15.33203125" customWidth="1"/>
    <col min="13" max="13" width="16.21875" customWidth="1"/>
    <col min="14" max="14" width="14.88671875" customWidth="1"/>
    <col min="15" max="15" width="25.6640625" customWidth="1"/>
    <col min="16" max="16" width="16.33203125" customWidth="1"/>
  </cols>
  <sheetData>
    <row r="2" spans="1:16" x14ac:dyDescent="0.3">
      <c r="B2" s="231" t="s">
        <v>2</v>
      </c>
      <c r="C2" s="232"/>
      <c r="E2" s="231" t="s">
        <v>5</v>
      </c>
      <c r="F2" s="232"/>
      <c r="H2" s="231" t="s">
        <v>7</v>
      </c>
      <c r="I2" s="232"/>
      <c r="K2" s="29"/>
      <c r="L2" s="245" t="s">
        <v>6</v>
      </c>
      <c r="M2" s="246"/>
      <c r="N2" s="29"/>
      <c r="O2" s="245" t="s">
        <v>56</v>
      </c>
      <c r="P2" s="246"/>
    </row>
    <row r="3" spans="1:16" x14ac:dyDescent="0.3">
      <c r="A3" s="4"/>
      <c r="B3" s="2">
        <v>10</v>
      </c>
      <c r="C3" s="6">
        <v>0.3</v>
      </c>
      <c r="D3" s="4"/>
      <c r="E3" s="2">
        <v>10</v>
      </c>
      <c r="F3" s="6">
        <v>0.1</v>
      </c>
      <c r="G3" s="4"/>
      <c r="H3" s="2">
        <v>10</v>
      </c>
      <c r="I3" s="5">
        <v>0.2</v>
      </c>
      <c r="K3" s="36" t="s">
        <v>111</v>
      </c>
      <c r="L3" s="31">
        <v>13</v>
      </c>
      <c r="M3" s="32">
        <v>0.2</v>
      </c>
      <c r="N3" s="29"/>
      <c r="O3" s="31"/>
      <c r="P3" s="32">
        <v>0.2</v>
      </c>
    </row>
    <row r="4" spans="1:16" x14ac:dyDescent="0.3">
      <c r="A4" s="4"/>
      <c r="B4" s="2">
        <v>10</v>
      </c>
      <c r="C4" s="6">
        <v>0.4</v>
      </c>
      <c r="D4" s="4"/>
      <c r="E4" s="2">
        <v>10</v>
      </c>
      <c r="F4" s="6">
        <v>0.1</v>
      </c>
      <c r="G4" s="4"/>
      <c r="H4" s="2">
        <v>10</v>
      </c>
      <c r="I4" s="5">
        <v>0.3</v>
      </c>
      <c r="K4" s="36" t="s">
        <v>114</v>
      </c>
      <c r="L4" s="31">
        <v>16.3</v>
      </c>
      <c r="M4" s="32">
        <v>0.2</v>
      </c>
      <c r="N4" s="29"/>
      <c r="O4" s="31"/>
      <c r="P4" s="32">
        <v>0.3</v>
      </c>
    </row>
    <row r="5" spans="1:16" x14ac:dyDescent="0.3">
      <c r="A5" s="4"/>
      <c r="B5" s="2">
        <v>10</v>
      </c>
      <c r="C5" s="6">
        <v>0.3</v>
      </c>
      <c r="D5" s="4"/>
      <c r="E5" s="2">
        <v>10</v>
      </c>
      <c r="F5" s="6">
        <v>0.1</v>
      </c>
      <c r="G5" s="4"/>
      <c r="H5" s="2">
        <v>10</v>
      </c>
      <c r="I5" s="5">
        <v>0.5</v>
      </c>
      <c r="K5" s="36" t="s">
        <v>115</v>
      </c>
      <c r="L5" s="31">
        <v>16</v>
      </c>
      <c r="M5" s="32">
        <v>0.2</v>
      </c>
      <c r="N5" s="29"/>
      <c r="O5" s="31"/>
      <c r="P5" s="32">
        <v>0.5</v>
      </c>
    </row>
    <row r="6" spans="1:16" x14ac:dyDescent="0.3">
      <c r="A6" s="4"/>
      <c r="B6" s="2"/>
      <c r="C6" s="2"/>
      <c r="D6" s="4"/>
      <c r="E6" s="2">
        <v>10</v>
      </c>
      <c r="F6" s="6">
        <v>0.1</v>
      </c>
      <c r="G6" s="4"/>
      <c r="H6" s="2"/>
      <c r="I6" s="2"/>
      <c r="K6" s="36" t="s">
        <v>112</v>
      </c>
      <c r="L6" s="31">
        <v>20</v>
      </c>
      <c r="M6" s="32">
        <v>0.15</v>
      </c>
      <c r="N6" s="29"/>
      <c r="O6" s="31"/>
      <c r="P6" s="31"/>
    </row>
    <row r="7" spans="1:16" x14ac:dyDescent="0.3">
      <c r="A7" s="4"/>
      <c r="B7" s="2"/>
      <c r="C7" s="2"/>
      <c r="D7" s="4"/>
      <c r="E7" s="2">
        <v>10</v>
      </c>
      <c r="F7" s="6">
        <v>0.25</v>
      </c>
      <c r="G7" s="4"/>
      <c r="H7" s="2"/>
      <c r="I7" s="2"/>
      <c r="K7" s="36" t="s">
        <v>113</v>
      </c>
      <c r="L7" s="31">
        <v>0</v>
      </c>
      <c r="M7" s="32">
        <v>0.15</v>
      </c>
      <c r="N7" s="29"/>
      <c r="O7" s="31"/>
      <c r="P7" s="31"/>
    </row>
    <row r="8" spans="1:16" ht="15" thickBot="1" x14ac:dyDescent="0.35">
      <c r="A8" s="4"/>
      <c r="B8" s="2"/>
      <c r="C8" s="2"/>
      <c r="D8" s="4"/>
      <c r="E8" s="2">
        <v>10</v>
      </c>
      <c r="F8" s="6">
        <v>0.35</v>
      </c>
      <c r="G8" s="4"/>
      <c r="H8" s="2"/>
      <c r="I8" s="2"/>
      <c r="K8" s="36" t="s">
        <v>116</v>
      </c>
      <c r="L8" s="31">
        <v>0</v>
      </c>
      <c r="M8" s="32">
        <v>0.1</v>
      </c>
      <c r="N8" s="29"/>
      <c r="O8" s="31"/>
      <c r="P8" s="31"/>
    </row>
    <row r="9" spans="1:16" ht="15" thickBot="1" x14ac:dyDescent="0.35">
      <c r="A9" s="4"/>
      <c r="B9" s="2"/>
      <c r="C9" s="2"/>
      <c r="D9" s="4"/>
      <c r="E9" s="2"/>
      <c r="F9" s="2"/>
      <c r="G9" s="4"/>
      <c r="H9" s="2"/>
      <c r="I9" s="2"/>
      <c r="K9" s="30"/>
      <c r="L9" s="31" t="s">
        <v>117</v>
      </c>
      <c r="M9" s="34">
        <f>ROUND((L3*0.33333+ L4*0.33333 + L5*0.33333),2)</f>
        <v>15.1</v>
      </c>
      <c r="N9" s="29"/>
      <c r="O9" s="31"/>
      <c r="P9" s="31"/>
    </row>
    <row r="10" spans="1:16" ht="15" thickBot="1" x14ac:dyDescent="0.35">
      <c r="A10" s="2" t="s">
        <v>21</v>
      </c>
      <c r="B10" s="2"/>
      <c r="C10" s="2">
        <v>10</v>
      </c>
      <c r="D10" s="4"/>
      <c r="E10" s="5"/>
      <c r="F10" s="2">
        <f t="array" ref="F10">ROUND(SUM(E3:E8*F3:F8),0)</f>
        <v>10</v>
      </c>
      <c r="G10" s="4"/>
      <c r="H10" s="2"/>
      <c r="I10" s="2">
        <v>12</v>
      </c>
      <c r="K10" s="30"/>
      <c r="L10" s="33" t="s">
        <v>118</v>
      </c>
      <c r="M10" s="34">
        <f>(L3*M3 + L4*M4+ L5*M5 + L6*M6+ L7*M7+L8*M8)</f>
        <v>12.06</v>
      </c>
      <c r="N10" s="29"/>
      <c r="O10" s="31"/>
      <c r="P10" s="31">
        <v>13</v>
      </c>
    </row>
    <row r="11" spans="1:16" x14ac:dyDescent="0.3">
      <c r="A11" s="4"/>
      <c r="B11" s="4"/>
      <c r="C11" s="4"/>
      <c r="D11" s="4"/>
      <c r="E11" s="4"/>
      <c r="F11" s="4"/>
      <c r="G11" s="4"/>
      <c r="H11" s="4"/>
      <c r="I11" s="4"/>
      <c r="K11" s="30"/>
      <c r="L11" s="30"/>
      <c r="M11" s="30"/>
      <c r="N11" s="29"/>
      <c r="O11" s="29"/>
      <c r="P11" s="29"/>
    </row>
    <row r="12" spans="1:1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6" x14ac:dyDescent="0.3">
      <c r="A13" s="2" t="s">
        <v>23</v>
      </c>
      <c r="B13" s="2">
        <f>(C10+F10+I10+M10)/4</f>
        <v>11.015000000000001</v>
      </c>
      <c r="C13" s="12" t="s">
        <v>39</v>
      </c>
      <c r="D13" s="4"/>
      <c r="E13" s="4"/>
      <c r="F13" s="4"/>
      <c r="G13" s="4"/>
      <c r="H13" s="4"/>
      <c r="I13" s="4"/>
      <c r="J13" s="4"/>
      <c r="K13" s="4"/>
      <c r="L13" s="4"/>
    </row>
    <row r="14" spans="1:16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3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3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23"/>
      <c r="M18" s="23"/>
    </row>
    <row r="19" spans="1:13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23"/>
      <c r="M19" s="23"/>
    </row>
    <row r="20" spans="1:13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23"/>
      <c r="M20" s="23"/>
    </row>
    <row r="21" spans="1:13" x14ac:dyDescent="0.3">
      <c r="L21" s="23"/>
      <c r="M21" s="23"/>
    </row>
    <row r="22" spans="1:13" x14ac:dyDescent="0.3">
      <c r="L22" s="23"/>
      <c r="M22" s="23"/>
    </row>
    <row r="23" spans="1:13" x14ac:dyDescent="0.3">
      <c r="L23" s="23"/>
      <c r="M23" s="23"/>
    </row>
    <row r="24" spans="1:13" x14ac:dyDescent="0.3">
      <c r="L24" s="23"/>
      <c r="M24" s="23"/>
    </row>
    <row r="25" spans="1:13" x14ac:dyDescent="0.3">
      <c r="L25" s="23"/>
      <c r="M25" s="23"/>
    </row>
    <row r="26" spans="1:13" x14ac:dyDescent="0.3">
      <c r="L26" s="23"/>
      <c r="M26" s="23"/>
    </row>
  </sheetData>
  <mergeCells count="5">
    <mergeCell ref="O2:P2"/>
    <mergeCell ref="L2:M2"/>
    <mergeCell ref="H2:I2"/>
    <mergeCell ref="E2:F2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9</vt:i4>
      </vt:variant>
      <vt:variant>
        <vt:lpstr>Intervalos com Nome</vt:lpstr>
      </vt:variant>
      <vt:variant>
        <vt:i4>1</vt:i4>
      </vt:variant>
    </vt:vector>
  </HeadingPairs>
  <TitlesOfParts>
    <vt:vector size="10" baseType="lpstr">
      <vt:lpstr>Salario</vt:lpstr>
      <vt:lpstr>Estudar</vt:lpstr>
      <vt:lpstr>Tudo</vt:lpstr>
      <vt:lpstr>3º ANO - 2º Semestre</vt:lpstr>
      <vt:lpstr>2º ANO - 2º Semestre</vt:lpstr>
      <vt:lpstr>1º ANO - 2º Semestre</vt:lpstr>
      <vt:lpstr>3º ANO - 1º Semestre</vt:lpstr>
      <vt:lpstr>2º ANO - 1º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Alexandre Martins</cp:lastModifiedBy>
  <cp:lastPrinted>2022-07-04T22:31:53Z</cp:lastPrinted>
  <dcterms:created xsi:type="dcterms:W3CDTF">2022-01-22T02:13:42Z</dcterms:created>
  <dcterms:modified xsi:type="dcterms:W3CDTF">2024-10-21T17:42:25Z</dcterms:modified>
</cp:coreProperties>
</file>