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1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2.xml" ContentType="application/vnd.openxmlformats-officedocument.themeOverrid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3.xml" ContentType="application/vnd.openxmlformats-officedocument.themeOverrid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4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BAFB2526-4D6F-4AC9-AA1D-32A789C4EBC7}" xr6:coauthVersionLast="47" xr6:coauthVersionMax="47" xr10:uidLastSave="{00000000-0000-0000-0000-000000000000}"/>
  <bookViews>
    <workbookView xWindow="19080" yWindow="4560" windowWidth="15600" windowHeight="11160" tabRatio="352" xr2:uid="{52CADEE4-0E1F-4097-8F42-4244AD95BFBD}"/>
  </bookViews>
  <sheets>
    <sheet name="DATOS" sheetId="1" r:id="rId1"/>
    <sheet name="CALCULO" sheetId="2" r:id="rId2"/>
    <sheet name="INFORME" sheetId="3" r:id="rId3"/>
  </sheets>
  <definedNames>
    <definedName name="AÑO">DATOS!$M$2:$M$47</definedName>
    <definedName name="AVANCE">DATOS!$L$2:$L$47</definedName>
    <definedName name="COMPLETADO">DATOS!$J$2:$J$47</definedName>
    <definedName name="FIN">DATOS!$H$2:$H$47</definedName>
    <definedName name="GAVANCE">_xlfn.ANCHORARRAY(INFORME!$I$34)</definedName>
    <definedName name="GCOMPLETADO">_xlfn.ANCHORARRAY(INFORME!$G$34)</definedName>
    <definedName name="GINICI">_xlfn.ANCHORARRAY(INFORME!$E$34)</definedName>
    <definedName name="GPENDIENTE">INFORME!$H$34</definedName>
    <definedName name="GTAREA">_xlfn.ANCHORARRAY(INFORME!$A$34)</definedName>
    <definedName name="INICIO">DATOS!$G$2:$G$47</definedName>
    <definedName name="MES">DATOS!$N$2:$N$47</definedName>
    <definedName name="PENDIENTE">DATOS!$K$2:$K$47</definedName>
    <definedName name="PRIORIDAD">DATOS!$D$2:$D$47</definedName>
    <definedName name="PROGRESO">DATOS!$P$2:$P$47</definedName>
    <definedName name="PROYECTO">DATOS!$A$2:$A$47</definedName>
    <definedName name="REALIZADO_POR">DATOS!$F$2:$F$47</definedName>
    <definedName name="REQUERIDO">DATOS!$I$2:$I$47</definedName>
    <definedName name="RESPONSABLE">DATOS!$E$2:$E$47</definedName>
    <definedName name="RESPUESTA">DATOS!$O$2:$O$47</definedName>
    <definedName name="SECTOR">DATOS!$B$2:$B$47</definedName>
    <definedName name="TAREA">DATOS!$C$2:$C$47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1" l="1"/>
  <c r="J2" i="1"/>
  <c r="I2" i="1" s="1"/>
  <c r="Q2" i="1"/>
  <c r="R2" i="1" s="1"/>
  <c r="Q3" i="1"/>
  <c r="R3" i="1" s="1"/>
  <c r="K3" i="1" s="1"/>
  <c r="Q4" i="1"/>
  <c r="R4" i="1" s="1"/>
  <c r="K4" i="1" s="1"/>
  <c r="Q5" i="1"/>
  <c r="R5" i="1" s="1"/>
  <c r="K5" i="1" s="1"/>
  <c r="Q6" i="1"/>
  <c r="R6" i="1" s="1"/>
  <c r="K6" i="1" s="1"/>
  <c r="Q7" i="1"/>
  <c r="R7" i="1" s="1"/>
  <c r="K7" i="1" s="1"/>
  <c r="Q8" i="1"/>
  <c r="R8" i="1" s="1"/>
  <c r="K8" i="1" s="1"/>
  <c r="Q9" i="1"/>
  <c r="R9" i="1" s="1"/>
  <c r="K9" i="1" s="1"/>
  <c r="Q10" i="1"/>
  <c r="R10" i="1" s="1"/>
  <c r="Q11" i="1"/>
  <c r="R11" i="1" s="1"/>
  <c r="K11" i="1" s="1"/>
  <c r="Q12" i="1"/>
  <c r="R12" i="1" s="1"/>
  <c r="Q13" i="1"/>
  <c r="R13" i="1" s="1"/>
  <c r="K13" i="1" s="1"/>
  <c r="Q14" i="1"/>
  <c r="R14" i="1" s="1"/>
  <c r="K14" i="1" s="1"/>
  <c r="Q15" i="1"/>
  <c r="R15" i="1" s="1"/>
  <c r="K15" i="1" s="1"/>
  <c r="Q16" i="1"/>
  <c r="R16" i="1" s="1"/>
  <c r="K16" i="1" s="1"/>
  <c r="Q17" i="1"/>
  <c r="R17" i="1" s="1"/>
  <c r="K17" i="1" s="1"/>
  <c r="Q18" i="1"/>
  <c r="R18" i="1" s="1"/>
  <c r="K18" i="1" s="1"/>
  <c r="Q19" i="1"/>
  <c r="R19" i="1" s="1"/>
  <c r="K19" i="1" s="1"/>
  <c r="Q20" i="1"/>
  <c r="R20" i="1" s="1"/>
  <c r="K20" i="1" s="1"/>
  <c r="Q21" i="1"/>
  <c r="R21" i="1" s="1"/>
  <c r="K21" i="1" s="1"/>
  <c r="Q22" i="1"/>
  <c r="R22" i="1" s="1"/>
  <c r="K22" i="1" s="1"/>
  <c r="Q23" i="1"/>
  <c r="R23" i="1" s="1"/>
  <c r="K23" i="1" s="1"/>
  <c r="Q24" i="1"/>
  <c r="R24" i="1" s="1"/>
  <c r="K24" i="1" s="1"/>
  <c r="Q25" i="1"/>
  <c r="Q26" i="1"/>
  <c r="R26" i="1" s="1"/>
  <c r="Q27" i="1"/>
  <c r="R27" i="1" s="1"/>
  <c r="K27" i="1" s="1"/>
  <c r="Q28" i="1"/>
  <c r="R28" i="1" s="1"/>
  <c r="K28" i="1" s="1"/>
  <c r="Q29" i="1"/>
  <c r="R29" i="1" s="1"/>
  <c r="K29" i="1" s="1"/>
  <c r="Q30" i="1"/>
  <c r="R30" i="1" s="1"/>
  <c r="Q31" i="1"/>
  <c r="R31" i="1" s="1"/>
  <c r="K31" i="1" s="1"/>
  <c r="Q32" i="1"/>
  <c r="R32" i="1" s="1"/>
  <c r="K32" i="1" s="1"/>
  <c r="Q33" i="1"/>
  <c r="R33" i="1" s="1"/>
  <c r="Q34" i="1"/>
  <c r="R34" i="1" s="1"/>
  <c r="K34" i="1" s="1"/>
  <c r="Q35" i="1"/>
  <c r="R35" i="1" s="1"/>
  <c r="Q36" i="1"/>
  <c r="R36" i="1" s="1"/>
  <c r="K36" i="1" s="1"/>
  <c r="Q37" i="1"/>
  <c r="R37" i="1" s="1"/>
  <c r="K37" i="1" s="1"/>
  <c r="Q38" i="1"/>
  <c r="R38" i="1" s="1"/>
  <c r="K38" i="1" s="1"/>
  <c r="Q39" i="1"/>
  <c r="R39" i="1" s="1"/>
  <c r="Q40" i="1"/>
  <c r="R40" i="1" s="1"/>
  <c r="K40" i="1" s="1"/>
  <c r="Q41" i="1"/>
  <c r="R41" i="1" s="1"/>
  <c r="Q42" i="1"/>
  <c r="R42" i="1" s="1"/>
  <c r="K42" i="1" s="1"/>
  <c r="Q43" i="1"/>
  <c r="R43" i="1" s="1"/>
  <c r="K43" i="1" s="1"/>
  <c r="Q44" i="1"/>
  <c r="R44" i="1" s="1"/>
  <c r="K44" i="1" s="1"/>
  <c r="Q45" i="1"/>
  <c r="R45" i="1" s="1"/>
  <c r="K45" i="1" s="1"/>
  <c r="Q46" i="1"/>
  <c r="R46" i="1" s="1"/>
  <c r="K46" i="1" s="1"/>
  <c r="Q47" i="1"/>
  <c r="R47" i="1" s="1"/>
  <c r="K47" i="1" s="1"/>
  <c r="J3" i="1"/>
  <c r="I3" i="1" s="1"/>
  <c r="J4" i="1"/>
  <c r="I4" i="1" s="1"/>
  <c r="J5" i="1"/>
  <c r="J6" i="1"/>
  <c r="I6" i="1" s="1"/>
  <c r="J7" i="1"/>
  <c r="I7" i="1" s="1"/>
  <c r="J8" i="1"/>
  <c r="I8" i="1" s="1"/>
  <c r="J9" i="1"/>
  <c r="I9" i="1" s="1"/>
  <c r="J10" i="1"/>
  <c r="I10" i="1" s="1"/>
  <c r="J11" i="1"/>
  <c r="I11" i="1" s="1"/>
  <c r="J12" i="1"/>
  <c r="I12" i="1" s="1"/>
  <c r="J13" i="1"/>
  <c r="I13" i="1" s="1"/>
  <c r="J14" i="1"/>
  <c r="I14" i="1" s="1"/>
  <c r="J15" i="1"/>
  <c r="I15" i="1" s="1"/>
  <c r="J16" i="1"/>
  <c r="I16" i="1" s="1"/>
  <c r="J17" i="1"/>
  <c r="I17" i="1" s="1"/>
  <c r="J18" i="1"/>
  <c r="I18" i="1" s="1"/>
  <c r="J19" i="1"/>
  <c r="I19" i="1" s="1"/>
  <c r="J20" i="1"/>
  <c r="I20" i="1" s="1"/>
  <c r="J21" i="1"/>
  <c r="I21" i="1" s="1"/>
  <c r="J22" i="1"/>
  <c r="I22" i="1" s="1"/>
  <c r="J23" i="1"/>
  <c r="I23" i="1" s="1"/>
  <c r="J24" i="1"/>
  <c r="I24" i="1" s="1"/>
  <c r="J25" i="1"/>
  <c r="I25" i="1" s="1"/>
  <c r="J26" i="1"/>
  <c r="I26" i="1" s="1"/>
  <c r="J27" i="1"/>
  <c r="I27" i="1" s="1"/>
  <c r="J28" i="1"/>
  <c r="I28" i="1" s="1"/>
  <c r="J29" i="1"/>
  <c r="I29" i="1" s="1"/>
  <c r="J30" i="1"/>
  <c r="I30" i="1" s="1"/>
  <c r="J31" i="1"/>
  <c r="I31" i="1" s="1"/>
  <c r="J32" i="1"/>
  <c r="I32" i="1" s="1"/>
  <c r="J33" i="1"/>
  <c r="I33" i="1" s="1"/>
  <c r="J34" i="1"/>
  <c r="I34" i="1" s="1"/>
  <c r="J35" i="1"/>
  <c r="I35" i="1" s="1"/>
  <c r="J36" i="1"/>
  <c r="I36" i="1" s="1"/>
  <c r="J37" i="1"/>
  <c r="I37" i="1" s="1"/>
  <c r="J38" i="1"/>
  <c r="I38" i="1" s="1"/>
  <c r="J39" i="1"/>
  <c r="I39" i="1" s="1"/>
  <c r="J40" i="1"/>
  <c r="I40" i="1" s="1"/>
  <c r="J41" i="1"/>
  <c r="I41" i="1" s="1"/>
  <c r="J42" i="1"/>
  <c r="I42" i="1" s="1"/>
  <c r="J43" i="1"/>
  <c r="I43" i="1" s="1"/>
  <c r="J44" i="1"/>
  <c r="I44" i="1" s="1"/>
  <c r="J45" i="1"/>
  <c r="I45" i="1" s="1"/>
  <c r="J46" i="1"/>
  <c r="I46" i="1" s="1"/>
  <c r="J47" i="1"/>
  <c r="I47" i="1" s="1"/>
  <c r="K2" i="2" a="1"/>
  <c r="K2" i="2" s="1"/>
  <c r="H2" i="2"/>
  <c r="G2" i="2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F2" i="2"/>
  <c r="E2" i="2"/>
  <c r="D2" i="2"/>
  <c r="B2" i="2" a="1"/>
  <c r="B2" i="2" s="1"/>
  <c r="D8" i="2" s="1" a="1"/>
  <c r="D8" i="2" s="1"/>
  <c r="K12" i="1" l="1"/>
  <c r="L12" i="1" s="1"/>
  <c r="A34" i="3" a="1"/>
  <c r="A34" i="3" s="1"/>
  <c r="K35" i="1"/>
  <c r="L35" i="1" s="1"/>
  <c r="K33" i="1"/>
  <c r="L33" i="1" s="1"/>
  <c r="K10" i="1"/>
  <c r="L10" i="1" s="1"/>
  <c r="K30" i="1"/>
  <c r="L30" i="1" s="1"/>
  <c r="K41" i="1"/>
  <c r="L41" i="1" s="1"/>
  <c r="K39" i="1"/>
  <c r="L39" i="1" s="1"/>
  <c r="K26" i="1"/>
  <c r="L26" i="1" s="1"/>
  <c r="K2" i="1"/>
  <c r="L2" i="1" s="1"/>
  <c r="R25" i="1"/>
  <c r="K25" i="1" s="1"/>
  <c r="L28" i="1"/>
  <c r="L47" i="1"/>
  <c r="L43" i="1"/>
  <c r="L31" i="1"/>
  <c r="L27" i="1"/>
  <c r="L23" i="1"/>
  <c r="L19" i="1"/>
  <c r="L16" i="1"/>
  <c r="L8" i="1"/>
  <c r="L4" i="1"/>
  <c r="L40" i="1"/>
  <c r="L24" i="1"/>
  <c r="L13" i="1"/>
  <c r="L9" i="1"/>
  <c r="L46" i="1"/>
  <c r="L42" i="1"/>
  <c r="L38" i="1"/>
  <c r="L4" i="2" s="1"/>
  <c r="M4" i="2" s="1"/>
  <c r="L34" i="1"/>
  <c r="L22" i="1"/>
  <c r="L15" i="1"/>
  <c r="L11" i="1"/>
  <c r="L7" i="1"/>
  <c r="L3" i="1"/>
  <c r="L44" i="1"/>
  <c r="L32" i="1"/>
  <c r="L20" i="1"/>
  <c r="L5" i="1"/>
  <c r="L36" i="1"/>
  <c r="L17" i="1"/>
  <c r="L45" i="1"/>
  <c r="L37" i="1"/>
  <c r="L29" i="1"/>
  <c r="L21" i="1"/>
  <c r="L18" i="1"/>
  <c r="L14" i="1"/>
  <c r="L6" i="1"/>
  <c r="B34" i="3" a="1"/>
  <c r="B34" i="3" s="1"/>
  <c r="F34" i="3" a="1"/>
  <c r="F34" i="3" s="1"/>
  <c r="C34" i="3" a="1"/>
  <c r="C34" i="3" s="1"/>
  <c r="G34" i="3" a="1"/>
  <c r="G34" i="3" s="1"/>
  <c r="D34" i="3" a="1"/>
  <c r="D34" i="3" s="1"/>
  <c r="E34" i="3" a="1"/>
  <c r="E34" i="3" s="1"/>
  <c r="G32" i="2" a="1"/>
  <c r="G32" i="2" s="1"/>
  <c r="D40" i="2" a="1"/>
  <c r="D40" i="2" s="1"/>
  <c r="D33" i="2" a="1"/>
  <c r="D33" i="2" s="1"/>
  <c r="E9" i="2" a="1"/>
  <c r="E9" i="2" s="1"/>
  <c r="L25" i="1" l="1"/>
  <c r="B56" i="2"/>
  <c r="B54" i="2"/>
  <c r="D9" i="2" a="1"/>
  <c r="D9" i="2" s="1"/>
  <c r="D21" i="2" s="1" a="1"/>
  <c r="D21" i="2" s="1"/>
  <c r="F21" i="2" s="1" a="1"/>
  <c r="F21" i="2" s="1"/>
  <c r="L5" i="2"/>
  <c r="M5" i="2" s="1"/>
  <c r="H34" i="3" a="1"/>
  <c r="H34" i="3" s="1"/>
  <c r="L3" i="2" l="1"/>
  <c r="M3" i="2" s="1"/>
  <c r="I34" i="3" a="1"/>
  <c r="I34" i="3" s="1"/>
  <c r="L2" i="2"/>
  <c r="M2" i="2" s="1"/>
  <c r="C64" i="2" l="1"/>
  <c r="E64" i="2" s="1"/>
  <c r="B5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<sst xmlns="http://schemas.openxmlformats.org/spreadsheetml/2006/main" count="395" uniqueCount="102">
  <si>
    <t>PROYECTO</t>
  </si>
  <si>
    <t>SECTOR</t>
  </si>
  <si>
    <t>TAREA</t>
  </si>
  <si>
    <t xml:space="preserve">PRIORIDAD </t>
  </si>
  <si>
    <t>RESPONSABLE</t>
  </si>
  <si>
    <t xml:space="preserve">REALIZADO POR </t>
  </si>
  <si>
    <t>INICIO</t>
  </si>
  <si>
    <t>FIN</t>
  </si>
  <si>
    <t>REQUERIDO</t>
  </si>
  <si>
    <t>COMPLETADO</t>
  </si>
  <si>
    <t>PENDIENTE</t>
  </si>
  <si>
    <t>AVANCE</t>
  </si>
  <si>
    <t>AÑO</t>
  </si>
  <si>
    <t>MES</t>
  </si>
  <si>
    <t xml:space="preserve">ALTO </t>
  </si>
  <si>
    <t>CRISTINA</t>
  </si>
  <si>
    <t xml:space="preserve">MEDIO </t>
  </si>
  <si>
    <t>BAJO</t>
  </si>
  <si>
    <t xml:space="preserve">INFORME DE TAREAS, TIEMPOS Y AVANCES </t>
  </si>
  <si>
    <t>TOTAL TAREAS</t>
  </si>
  <si>
    <t>PERIODO</t>
  </si>
  <si>
    <t>RESPUESTA</t>
  </si>
  <si>
    <t xml:space="preserve">porcentaje de avance </t>
  </si>
  <si>
    <t>velocimetro</t>
  </si>
  <si>
    <t>Tacometro</t>
  </si>
  <si>
    <t xml:space="preserve">Rojo </t>
  </si>
  <si>
    <t>Amarillo</t>
  </si>
  <si>
    <t>Verde</t>
  </si>
  <si>
    <t>Balnco</t>
  </si>
  <si>
    <t>Indicador</t>
  </si>
  <si>
    <t>Aguja</t>
  </si>
  <si>
    <t>1,75-los anteriores</t>
  </si>
  <si>
    <t>Ajuga</t>
  </si>
  <si>
    <t>No aceptable</t>
  </si>
  <si>
    <t>Menor a 50%</t>
  </si>
  <si>
    <t>Intermedio</t>
  </si>
  <si>
    <t>Aceptable</t>
  </si>
  <si>
    <t>50% a 75%</t>
  </si>
  <si>
    <t>Mayor a 75%</t>
  </si>
  <si>
    <t>PROGRESO</t>
  </si>
  <si>
    <t>En progreso</t>
  </si>
  <si>
    <t xml:space="preserve">Complemento </t>
  </si>
  <si>
    <t xml:space="preserve">fecha hoy </t>
  </si>
  <si>
    <t xml:space="preserve">pendiente prueba </t>
  </si>
  <si>
    <t>M01</t>
  </si>
  <si>
    <t>M02</t>
  </si>
  <si>
    <t>M04</t>
  </si>
  <si>
    <t>M05</t>
  </si>
  <si>
    <t>M03</t>
  </si>
  <si>
    <t>Crear el repositorio y las ramas en GitHub</t>
  </si>
  <si>
    <r>
      <t xml:space="preserve">Crear el archivo </t>
    </r>
    <r>
      <rPr>
        <sz val="10"/>
        <color theme="1"/>
        <rFont val="Arial Unicode MS"/>
      </rPr>
      <t>README.md</t>
    </r>
    <r>
      <rPr>
        <sz val="11"/>
        <color theme="1"/>
        <rFont val="Aptos Narrow"/>
        <family val="2"/>
        <scheme val="minor"/>
      </rPr>
      <t xml:space="preserve"> con definición del proyecto, instalación y uso</t>
    </r>
  </si>
  <si>
    <t>Crear la máquina para alojar el servidor de base de datos en Azure</t>
  </si>
  <si>
    <t>Instalar y configurar MySQL en el servidor</t>
  </si>
  <si>
    <t>Diseñar el modelo relacional de la base de datos (tablas para jugadores, cartas, rondas, etc.)</t>
  </si>
  <si>
    <t>Crear scripts SQL para las tablas:</t>
  </si>
  <si>
    <t>- Tabla de cartas (valores, palos, prioridades)</t>
  </si>
  <si>
    <t>- Tabla de jugadores (ID, nombre, nivel de riesgo, tipo)</t>
  </si>
  <si>
    <t>- Tabla de partidas (ID, jugadores, rondas, tiempo de inicio y fin)</t>
  </si>
  <si>
    <t>- Tabla de rondas (detalles de apuestas, puntos iniciales y finales)</t>
  </si>
  <si>
    <t>Implementar vistas y consultas SQL para:</t>
  </si>
  <si>
    <t>Ranking de jugadores</t>
  </si>
  <si>
    <t>- Informes requeridos (mínimo 7):</t>
  </si>
  <si>
    <t>Definir las estructuras de datos principales:</t>
  </si>
  <si>
    <r>
      <t>- Diccionario para las cartas (</t>
    </r>
    <r>
      <rPr>
        <sz val="10"/>
        <color theme="1"/>
        <rFont val="Arial Unicode MS"/>
      </rPr>
      <t>cartas</t>
    </r>
    <r>
      <rPr>
        <sz val="11"/>
        <color theme="1"/>
        <rFont val="Aptos Narrow"/>
        <family val="2"/>
        <scheme val="minor"/>
      </rPr>
      <t>)</t>
    </r>
  </si>
  <si>
    <r>
      <t>- Diccionario para los jugadores (</t>
    </r>
    <r>
      <rPr>
        <sz val="10"/>
        <color theme="1"/>
        <rFont val="Arial Unicode MS"/>
      </rPr>
      <t>players</t>
    </r>
    <r>
      <rPr>
        <sz val="11"/>
        <color theme="1"/>
        <rFont val="Aptos Narrow"/>
        <family val="2"/>
        <scheme val="minor"/>
      </rPr>
      <t>)</t>
    </r>
  </si>
  <si>
    <t>lista de cartas en el juego (mazo)</t>
  </si>
  <si>
    <t>Diccionario de contexto del juego (context_game)</t>
  </si>
  <si>
    <t>Crear el menú principal del juego y submenús</t>
  </si>
  <si>
    <t>Implementar la función principal playGame para gestionar la partida</t>
  </si>
  <si>
    <t>Implementar funciones auxiliares:</t>
  </si>
  <si>
    <t>setGamePriority: Establecer prioridades de jugadores</t>
  </si>
  <si>
    <t>resetPoints: Resetea puntos iniciales</t>
  </si>
  <si>
    <t>setBets: Establecer apuestas en función del perfil del jugador</t>
  </si>
  <si>
    <t>distributionPointAndNewBankCandidates: Repartir puntos y elegir banca</t>
  </si>
  <si>
    <t>humanRound: Gestionar turno de un jugador humano</t>
  </si>
  <si>
    <t>standarRound: Gestionar turno de bots y banca</t>
  </si>
  <si>
    <t>chanceExceedingSevenAndHalf: Calcular probabilidades de pasarse</t>
  </si>
  <si>
    <t>orderPlayersByPriority: Ordenar jugadores por prioridad</t>
  </si>
  <si>
    <t>orderPlayersByPoints: Ordenar jugadores por puntos</t>
  </si>
  <si>
    <t>printStats: Mostrar estadísticas del jugador o partida</t>
  </si>
  <si>
    <t>insertBBDDCardgame: Guardar registro de una partida en la base de datos</t>
  </si>
  <si>
    <r>
      <t>insertBBDD_player_game</t>
    </r>
    <r>
      <rPr>
        <sz val="11"/>
        <color theme="1"/>
        <rFont val="Aptos Narrow"/>
        <family val="2"/>
        <scheme val="minor"/>
      </rPr>
      <t>: Guardar datos de jugadores en la base de datos</t>
    </r>
  </si>
  <si>
    <t>insertBBDD_player_game_round: Guardar datos de rondas en la base de datos</t>
  </si>
  <si>
    <t>Diseñar las páginas web base:</t>
  </si>
  <si>
    <t>index.html: Explicar reglas del juego</t>
  </si>
  <si>
    <t>tutorial.html: Explicar cómo jugar</t>
  </si>
  <si>
    <t>equip.html: Mostrar información del equipo</t>
  </si>
  <si>
    <t>programacion.html: Documentar cómo se resolvieron problemas</t>
  </si>
  <si>
    <t>Añadir diseño profesional:</t>
  </si>
  <si>
    <t>Menú, logotipos y diseño responsivo con CSS</t>
  </si>
  <si>
    <t>Imágenes y contenido ajustados al tema</t>
  </si>
  <si>
    <t>Animaciones y transiciones con CSS</t>
  </si>
  <si>
    <t>Lógica con JavaScript (ej.: simulador de puntuaciones en el tutorial)</t>
  </si>
  <si>
    <t>Preparar la presentación final</t>
  </si>
  <si>
    <t>ALEIX</t>
  </si>
  <si>
    <t>DAVID</t>
  </si>
  <si>
    <t>IMPLEMENTADO</t>
  </si>
  <si>
    <t>BASE DE DATOS</t>
  </si>
  <si>
    <t xml:space="preserve">PROGRAMACION </t>
  </si>
  <si>
    <t>SISTEMAS</t>
  </si>
  <si>
    <t>2025</t>
  </si>
  <si>
    <t>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</si>
</sst>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C0A]mmmm\-yy;@"/>
    <numFmt numFmtId="165" formatCode="[$-C0A]mmm\-yy;@"/>
    <numFmt numFmtId="166" formatCode="mmm\-yyyy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24"/>
      <color rgb="FFFF0000"/>
      <name val="Aptos Narrow"/>
      <family val="2"/>
      <scheme val="minor"/>
    </font>
    <font>
      <b/>
      <sz val="18"/>
      <color theme="6" tint="0.3999755851924192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Arial Unicode MS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1">
    <xf numFmtId="0" fontId="0" fillId="0" borderId="0" xfId="0"/>
    <xf numFmtId="9" fontId="0" fillId="0" borderId="0" xfId="1" applyFont="1"/>
    <xf numFmtId="164" fontId="0" fillId="0" borderId="0" xfId="0" applyNumberFormat="1"/>
    <xf numFmtId="14" fontId="0" fillId="0" borderId="0" xfId="0" applyNumberFormat="1"/>
    <xf numFmtId="0" fontId="0" fillId="2" borderId="0" xfId="0" applyFill="1"/>
    <xf numFmtId="0" fontId="2" fillId="4" borderId="1" xfId="0" applyFont="1" applyFill="1" applyBorder="1"/>
    <xf numFmtId="0" fontId="2" fillId="4" borderId="2" xfId="0" applyFont="1" applyFill="1" applyBorder="1"/>
    <xf numFmtId="0" fontId="0" fillId="5" borderId="0" xfId="0" applyFill="1"/>
    <xf numFmtId="0" fontId="0" fillId="0" borderId="0" xfId="0" applyAlignment="1">
      <alignment horizontal="center" vertical="center"/>
    </xf>
    <xf numFmtId="0" fontId="0" fillId="6" borderId="0" xfId="0" applyFill="1"/>
    <xf numFmtId="164" fontId="2" fillId="4" borderId="3" xfId="0" applyNumberFormat="1" applyFont="1" applyFill="1" applyBorder="1"/>
    <xf numFmtId="165" fontId="0" fillId="0" borderId="0" xfId="0" applyNumberFormat="1"/>
    <xf numFmtId="0" fontId="2" fillId="3" borderId="5" xfId="0" applyFont="1" applyFill="1" applyBorder="1"/>
    <xf numFmtId="0" fontId="0" fillId="0" borderId="4" xfId="0" applyBorder="1" applyAlignment="1">
      <alignment horizontal="center" vertical="center"/>
    </xf>
    <xf numFmtId="164" fontId="2" fillId="4" borderId="2" xfId="0" applyNumberFormat="1" applyFont="1" applyFill="1" applyBorder="1"/>
    <xf numFmtId="9" fontId="2" fillId="4" borderId="2" xfId="1" applyFont="1" applyFill="1" applyBorder="1"/>
    <xf numFmtId="166" fontId="0" fillId="0" borderId="4" xfId="0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9" fontId="3" fillId="7" borderId="0" xfId="1" applyFont="1" applyFill="1" applyAlignment="1">
      <alignment horizontal="right"/>
    </xf>
    <xf numFmtId="0" fontId="4" fillId="0" borderId="0" xfId="0" applyFont="1"/>
    <xf numFmtId="0" fontId="2" fillId="4" borderId="2" xfId="0" applyFont="1" applyFill="1" applyBorder="1" applyAlignment="1">
      <alignment horizontal="center" vertical="center"/>
    </xf>
    <xf numFmtId="0" fontId="5" fillId="0" borderId="0" xfId="0" applyFont="1"/>
    <xf numFmtId="16" fontId="0" fillId="0" borderId="0" xfId="0" applyNumberFormat="1"/>
    <xf numFmtId="0" fontId="0" fillId="0" borderId="4" xfId="0" applyBorder="1"/>
    <xf numFmtId="0" fontId="6" fillId="0" borderId="0" xfId="0" applyFont="1"/>
    <xf numFmtId="9" fontId="0" fillId="0" borderId="4" xfId="0" applyNumberFormat="1" applyBorder="1"/>
    <xf numFmtId="0" fontId="0" fillId="0" borderId="4" xfId="0" applyBorder="1" applyAlignment="1">
      <alignment horizontal="right"/>
    </xf>
    <xf numFmtId="9" fontId="0" fillId="0" borderId="4" xfId="1" applyFont="1" applyBorder="1" applyAlignment="1">
      <alignment horizontal="right"/>
    </xf>
    <xf numFmtId="0" fontId="7" fillId="0" borderId="0" xfId="0" applyFont="1"/>
    <xf numFmtId="0" fontId="0" fillId="8" borderId="0" xfId="0" applyFill="1"/>
    <xf numFmtId="0" fontId="2" fillId="3" borderId="0" xfId="0" applyFont="1" applyFill="1"/>
    <xf numFmtId="14" fontId="6" fillId="0" borderId="0" xfId="0" applyNumberFormat="1" applyFont="1"/>
    <xf numFmtId="9" fontId="6" fillId="0" borderId="0" xfId="1" applyFont="1"/>
    <xf numFmtId="164" fontId="6" fillId="0" borderId="0" xfId="0" applyNumberFormat="1" applyFont="1"/>
    <xf numFmtId="9" fontId="0" fillId="0" borderId="0" xfId="0" applyNumberFormat="1"/>
    <xf numFmtId="1" fontId="6" fillId="0" borderId="0" xfId="1" applyNumberFormat="1" applyFont="1"/>
    <xf numFmtId="1" fontId="3" fillId="7" borderId="0" xfId="1" applyNumberFormat="1" applyFont="1" applyFill="1" applyAlignment="1">
      <alignment horizontal="right"/>
    </xf>
    <xf numFmtId="1" fontId="3" fillId="0" borderId="0" xfId="1" applyNumberFormat="1" applyFont="1"/>
    <xf numFmtId="1" fontId="0" fillId="0" borderId="0" xfId="1" applyNumberFormat="1" applyFont="1"/>
    <xf numFmtId="9" fontId="0" fillId="0" borderId="0" xfId="1" applyFont="1" applyAlignment="1"/>
    <xf numFmtId="0" fontId="8" fillId="0" borderId="0" xfId="0" applyFont="1"/>
  </cellXfs>
  <cellStyles count="2">
    <cellStyle name="Normal" xfId="0" builtinId="0"/>
    <cellStyle name="Porcentaje" xfId="1" builtinId="5"/>
  </cellStyles>
  <dxfs count="19">
    <dxf>
      <font>
        <b/>
      </font>
      <numFmt numFmtId="0" formatCode="General"/>
    </dxf>
    <dxf>
      <font>
        <b/>
      </font>
      <numFmt numFmtId="19" formatCode="dd/mm/yyyy"/>
    </dxf>
    <dxf>
      <font>
        <b/>
      </font>
    </dxf>
    <dxf>
      <font>
        <b/>
      </font>
    </dxf>
    <dxf>
      <font>
        <b/>
      </font>
      <numFmt numFmtId="164" formatCode="[$-C0A]mmmm\-yy;@"/>
    </dxf>
    <dxf>
      <font>
        <b/>
      </font>
      <numFmt numFmtId="0" formatCode="General"/>
    </dxf>
    <dxf>
      <font>
        <b/>
      </font>
      <numFmt numFmtId="13" formatCode="0%"/>
    </dxf>
    <dxf>
      <font>
        <b/>
      </font>
      <numFmt numFmtId="1" formatCode="0"/>
    </dxf>
    <dxf>
      <font>
        <b/>
      </font>
    </dxf>
    <dxf>
      <font>
        <b/>
      </font>
      <numFmt numFmtId="19" formatCode="dd/mm/yyyy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</dxfs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AVANCE DE TAREAS</a:t>
            </a:r>
          </a:p>
        </c:rich>
      </c:tx>
      <c:layout>
        <c:manualLayout>
          <c:xMode val="edge"/>
          <c:yMode val="edge"/>
          <c:x val="0.40063886370683072"/>
          <c:y val="2.994909423462267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0.3756839441758909"/>
          <c:y val="0.13804959863355704"/>
          <c:w val="0.56957078237560732"/>
          <c:h val="0.7895297799313548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INFORME!$D$33</c:f>
              <c:strCache>
                <c:ptCount val="1"/>
                <c:pt idx="0">
                  <c:v>INICIO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INFORME!$A$34:$A$36</c:f>
              <c:strCache>
                <c:ptCount val="1"/>
                <c:pt idx="0">
                  <c:v>Instalar y configurar MySQL en el servidor</c:v>
                </c:pt>
              </c:strCache>
            </c:strRef>
          </c:cat>
          <c:val>
            <c:numRef>
              <c:f>[0]!GINICI</c:f>
              <c:numCache>
                <c:formatCode>m/d/yyyy</c:formatCode>
                <c:ptCount val="1"/>
                <c:pt idx="0">
                  <c:v>45667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9F-4014-9D89-F9FEC9242571}"/>
            </c:ext>
          </c:extLst>
        </c:ser>
        <c:ser>
          <c:idx val="1"/>
          <c:order val="1"/>
          <c:tx>
            <c:strRef>
              <c:f>INFORME!$G$33</c:f>
              <c:strCache>
                <c:ptCount val="1"/>
                <c:pt idx="0">
                  <c:v>COMPLETADO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Lbl>
              <c:idx val="0"/>
              <c:numFmt formatCode="#,##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algn="ctr">
                    <a:defRPr sz="18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E397-4CF2-81FB-B4D485C06E26}"/>
                </c:ext>
              </c:extLst>
            </c:dLbl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INFORME!$A$34:$A$36</c:f>
              <c:strCache>
                <c:ptCount val="1"/>
                <c:pt idx="0">
                  <c:v>Instalar y configurar MySQL en el servidor</c:v>
                </c:pt>
              </c:strCache>
            </c:strRef>
          </c:cat>
          <c:val>
            <c:numRef>
              <c:f>[0]!GCOMPLETADO</c:f>
              <c:numCache>
                <c:formatCode>0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9F-4014-9D89-F9FEC9242571}"/>
            </c:ext>
          </c:extLst>
        </c:ser>
        <c:ser>
          <c:idx val="2"/>
          <c:order val="2"/>
          <c:tx>
            <c:strRef>
              <c:f>INFORME!$H$33</c:f>
              <c:strCache>
                <c:ptCount val="1"/>
                <c:pt idx="0">
                  <c:v>PENDIENTE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dLbl>
              <c:idx val="0"/>
              <c:numFmt formatCode="0" sourceLinked="0"/>
              <c:spPr>
                <a:noFill/>
                <a:ln>
                  <a:noFill/>
                </a:ln>
                <a:effectLst>
                  <a:outerShdw blurRad="50800" dist="50800" dir="5400000" algn="ctr" rotWithShape="0">
                    <a:srgbClr val="FFFFFF">
                      <a:alpha val="0"/>
                    </a:srgbClr>
                  </a:outerShdw>
                </a:effectLst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E397-4CF2-81FB-B4D485C06E26}"/>
                </c:ext>
              </c:extLst>
            </c:dLbl>
            <c:numFmt formatCode="0" sourceLinked="0"/>
            <c:spPr>
              <a:noFill/>
              <a:ln>
                <a:noFill/>
              </a:ln>
              <a:effectLst>
                <a:outerShdw blurRad="50800" dist="50800" dir="5400000" algn="ctr" rotWithShape="0">
                  <a:srgbClr val="FFFFFF">
                    <a:alpha val="0"/>
                  </a:srgb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INFORME!$H$34:$H$36</c:f>
              <c:numCache>
                <c:formatCode>0</c:formatCode>
                <c:ptCount val="3"/>
                <c:pt idx="0">
                  <c:v>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49F-4014-9D89-F9FEC92425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3"/>
        <c:overlap val="100"/>
        <c:axId val="1643181343"/>
        <c:axId val="1272161775"/>
      </c:barChart>
      <c:catAx>
        <c:axId val="1643181343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t" anchorCtr="0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72161775"/>
        <c:crosses val="autoZero"/>
        <c:auto val="1"/>
        <c:lblAlgn val="ctr"/>
        <c:lblOffset val="100"/>
        <c:noMultiLvlLbl val="0"/>
      </c:catAx>
      <c:valAx>
        <c:axId val="1272161775"/>
        <c:scaling>
          <c:orientation val="minMax"/>
        </c:scaling>
        <c:delete val="0"/>
        <c:axPos val="t"/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43181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4477582236087604"/>
          <c:y val="0.94209577689189994"/>
          <c:w val="0.14790778998735024"/>
          <c:h val="2.97228013220859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5421616986345547"/>
          <c:y val="0.13110068244229789"/>
          <c:w val="0.50566359540979955"/>
          <c:h val="0.83333132022920964"/>
        </c:manualLayout>
      </c:layout>
      <c:doughnut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rgbClr val="FF0000"/>
              </a:solidFill>
              <a:ln w="9525" cap="flat" cmpd="sng" algn="ctr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D07F-429A-A358-2F807FE4DF8B}"/>
              </c:ext>
            </c:extLst>
          </c:dPt>
          <c:dPt>
            <c:idx val="1"/>
            <c:bubble3D val="0"/>
            <c:spPr>
              <a:solidFill>
                <a:srgbClr val="FFC000"/>
              </a:solidFill>
              <a:ln w="9525" cap="flat" cmpd="sng" algn="ctr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D07F-429A-A358-2F807FE4DF8B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D07F-429A-A358-2F807FE4DF8B}"/>
              </c:ext>
            </c:extLst>
          </c:dPt>
          <c:dPt>
            <c:idx val="3"/>
            <c:bubble3D val="0"/>
            <c:spPr>
              <a:noFill/>
              <a:ln w="9525" cap="flat" cmpd="sng" algn="ctr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D07F-429A-A358-2F807FE4DF8B}"/>
              </c:ext>
            </c:extLst>
          </c:dPt>
          <c:val>
            <c:numRef>
              <c:f>CALCULO!$B$69:$B$72</c:f>
              <c:numCache>
                <c:formatCode>0%</c:formatCode>
                <c:ptCount val="4"/>
                <c:pt idx="0">
                  <c:v>0.45</c:v>
                </c:pt>
                <c:pt idx="1">
                  <c:v>0.2</c:v>
                </c:pt>
                <c:pt idx="2">
                  <c:v>0.2</c:v>
                </c:pt>
                <c:pt idx="3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07F-429A-A358-2F807FE4DF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53"/>
        <c:holeSize val="75"/>
      </c:doughnutChart>
      <c:pieChart>
        <c:varyColors val="1"/>
        <c:ser>
          <c:idx val="1"/>
          <c:order val="1"/>
          <c:spPr>
            <a:ln>
              <a:noFill/>
            </a:ln>
          </c:spPr>
          <c:explosion val="8"/>
          <c:dPt>
            <c:idx val="0"/>
            <c:bubble3D val="0"/>
            <c:spPr>
              <a:noFill/>
              <a:ln w="9525" cap="flat" cmpd="sng" algn="ctr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D07F-429A-A358-2F807FE4DF8B}"/>
              </c:ext>
            </c:extLst>
          </c:dPt>
          <c:dPt>
            <c:idx val="1"/>
            <c:bubble3D val="0"/>
            <c:spPr>
              <a:solidFill>
                <a:schemeClr val="tx1">
                  <a:lumMod val="85000"/>
                  <a:lumOff val="15000"/>
                </a:schemeClr>
              </a:solidFill>
              <a:ln w="9525" cap="flat" cmpd="sng" algn="ctr">
                <a:noFill/>
                <a:round/>
              </a:ln>
              <a:effectLst>
                <a:outerShdw blurRad="50800" dist="38100" algn="l" rotWithShape="0">
                  <a:prstClr val="black">
                    <a:alpha val="41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C-D07F-429A-A358-2F807FE4DF8B}"/>
              </c:ext>
            </c:extLst>
          </c:dPt>
          <c:dPt>
            <c:idx val="2"/>
            <c:bubble3D val="0"/>
            <c:spPr>
              <a:noFill/>
              <a:ln w="9525" cap="flat" cmpd="sng" algn="ctr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E-D07F-429A-A358-2F807FE4DF8B}"/>
              </c:ext>
            </c:extLst>
          </c:dPt>
          <c:val>
            <c:numRef>
              <c:f>CALCULO!$C$64:$E$64</c:f>
              <c:numCache>
                <c:formatCode>0%</c:formatCode>
                <c:ptCount val="3"/>
                <c:pt idx="0">
                  <c:v>-1</c:v>
                </c:pt>
                <c:pt idx="1">
                  <c:v>0.03</c:v>
                </c:pt>
                <c:pt idx="2">
                  <c:v>2.7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07F-429A-A358-2F807FE4DF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53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0694249336250511"/>
          <c:y val="6.9818561676740359E-2"/>
          <c:w val="0.80079423836912356"/>
          <c:h val="0.80655484142551215"/>
        </c:manualLayout>
      </c:layout>
      <c:doughnutChart>
        <c:varyColors val="1"/>
        <c:ser>
          <c:idx val="0"/>
          <c:order val="0"/>
          <c:tx>
            <c:strRef>
              <c:f>CALCULO!$L$4:$M$4</c:f>
              <c:strCache>
                <c:ptCount val="2"/>
                <c:pt idx="0">
                  <c:v>0%</c:v>
                </c:pt>
                <c:pt idx="1">
                  <c:v>100%</c:v>
                </c:pt>
              </c:strCache>
            </c:strRef>
          </c:tx>
          <c:spPr>
            <a:solidFill>
              <a:srgbClr val="FF0000"/>
            </a:solidFill>
          </c:spPr>
          <c:dPt>
            <c:idx val="0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7AF-4695-B7A5-9F02C1D7AAF9}"/>
              </c:ext>
            </c:extLst>
          </c:dPt>
          <c:dPt>
            <c:idx val="1"/>
            <c:bubble3D val="0"/>
            <c:spPr>
              <a:solidFill>
                <a:sysClr val="window" lastClr="FFFFF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7AF-4695-B7A5-9F02C1D7AAF9}"/>
              </c:ext>
            </c:extLst>
          </c:dPt>
          <c:val>
            <c:numRef>
              <c:f>CALCULO!$L$4:$M$4</c:f>
              <c:numCache>
                <c:formatCode>0%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7AF-4695-B7A5-9F02C1D7AA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3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0694249336250511"/>
          <c:y val="6.9818561676740359E-2"/>
          <c:w val="0.80079423836912356"/>
          <c:h val="0.80655484142551215"/>
        </c:manualLayout>
      </c:layout>
      <c:doughnutChart>
        <c:varyColors val="1"/>
        <c:ser>
          <c:idx val="0"/>
          <c:order val="0"/>
          <c:tx>
            <c:strRef>
              <c:f>CALCULO!$L$5:$M$5</c:f>
              <c:strCache>
                <c:ptCount val="2"/>
                <c:pt idx="0">
                  <c:v>0%</c:v>
                </c:pt>
                <c:pt idx="1">
                  <c:v>100%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E6E-484D-8237-5C3BD5419D03}"/>
              </c:ext>
            </c:extLst>
          </c:dPt>
          <c:dPt>
            <c:idx val="1"/>
            <c:bubble3D val="0"/>
            <c:spPr>
              <a:solidFill>
                <a:sysClr val="window" lastClr="FFFFF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E6E-484D-8237-5C3BD5419D03}"/>
              </c:ext>
            </c:extLst>
          </c:dPt>
          <c:val>
            <c:numRef>
              <c:f>CALCULO!$L$5:$M$5</c:f>
              <c:numCache>
                <c:formatCode>0%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E6E-484D-8237-5C3BD5419D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3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0694249336250511"/>
          <c:y val="6.9818561676740359E-2"/>
          <c:w val="0.80079423836912356"/>
          <c:h val="0.80655484142551215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2A4-4AFD-8EF6-303D650B56F3}"/>
              </c:ext>
            </c:extLst>
          </c:dPt>
          <c:dPt>
            <c:idx val="1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2A4-4AFD-8EF6-303D650B56F3}"/>
              </c:ext>
            </c:extLst>
          </c:dPt>
          <c:val>
            <c:numRef>
              <c:f>CALCULO!$L$2:$M$2</c:f>
              <c:numCache>
                <c:formatCode>0%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2A4-4AFD-8EF6-303D650B56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3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0694249336250511"/>
          <c:y val="6.9818561676740359E-2"/>
          <c:w val="0.80079423836912356"/>
          <c:h val="0.80655484142551215"/>
        </c:manualLayout>
      </c:layout>
      <c:doughnutChart>
        <c:varyColors val="1"/>
        <c:ser>
          <c:idx val="0"/>
          <c:order val="0"/>
          <c:tx>
            <c:strRef>
              <c:f>CALCULO!$L$3:$M$3</c:f>
              <c:strCache>
                <c:ptCount val="2"/>
                <c:pt idx="0">
                  <c:v>-100%</c:v>
                </c:pt>
                <c:pt idx="1">
                  <c:v>200%</c:v>
                </c:pt>
              </c:strCache>
            </c:strRef>
          </c:tx>
          <c:spPr>
            <a:solidFill>
              <a:srgbClr val="4EA72E">
                <a:lumMod val="60000"/>
                <a:lumOff val="40000"/>
              </a:srgbClr>
            </a:solidFill>
          </c:spPr>
          <c:dPt>
            <c:idx val="0"/>
            <c:bubble3D val="0"/>
            <c:spPr>
              <a:solidFill>
                <a:srgbClr val="4EA72E">
                  <a:lumMod val="60000"/>
                  <a:lumOff val="40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F48-4674-842A-21072F7AD6B6}"/>
              </c:ext>
            </c:extLst>
          </c:dPt>
          <c:dPt>
            <c:idx val="1"/>
            <c:bubble3D val="0"/>
            <c:spPr>
              <a:solidFill>
                <a:sysClr val="window" lastClr="FFFFF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F48-4674-842A-21072F7AD6B6}"/>
              </c:ext>
            </c:extLst>
          </c:dPt>
          <c:val>
            <c:numRef>
              <c:f>CALCULO!$L$3:$M$3</c:f>
              <c:numCache>
                <c:formatCode>0%</c:formatCode>
                <c:ptCount val="2"/>
                <c:pt idx="0">
                  <c:v>-1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F48-4674-842A-21072F7AD6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3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314325</xdr:colOff>
      <xdr:row>2</xdr:row>
      <xdr:rowOff>152400</xdr:rowOff>
    </xdr:from>
    <xdr:to>
      <xdr:col>4</xdr:col>
      <xdr:colOff>361950</xdr:colOff>
      <xdr:row>10</xdr:row>
      <xdr:rowOff>57150</xdr:rowOff>
    </xdr:to>
    <xdr:sp macro="" textlink="">
      <xdr:nvSpPr>
        <xdr:cNvPr id="15" name="Rectángulo: esquinas redondeadas 14">
          <a:extLst>
            <a:ext uri="{FF2B5EF4-FFF2-40B4-BE49-F238E27FC236}">
              <a16:creationId xmlns:a16="http://schemas.microsoft.com/office/drawing/2014/main" id="{E56EBA5E-09CA-8B4C-FA18-ED5D72CCC148}"/>
            </a:ext>
          </a:extLst>
        </xdr:cNvPr>
        <xdr:cNvSpPr/>
      </xdr:nvSpPr>
      <xdr:spPr>
        <a:xfrm>
          <a:off x="2686050" y="742950"/>
          <a:ext cx="1866900" cy="1447800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0</xdr:col>
      <xdr:colOff>1</xdr:colOff>
      <xdr:row>11</xdr:row>
      <xdr:rowOff>0</xdr:rowOff>
    </xdr:from>
    <xdr:to>
      <xdr:col>2</xdr:col>
      <xdr:colOff>9526</xdr:colOff>
      <xdr:row>16</xdr:row>
      <xdr:rowOff>85724</xdr:rowOff>
    </xdr:to>
    <xdr:sp macro="" textlink="">
      <xdr:nvSpPr>
        <xdr:cNvPr id="2" name="Diagrama de flujo: proceso 1">
          <a:extLst>
            <a:ext uri="{FF2B5EF4-FFF2-40B4-BE49-F238E27FC236}">
              <a16:creationId xmlns:a16="http://schemas.microsoft.com/office/drawing/2014/main" id="{9EEF53FF-746C-5E6D-EFA6-3F2B84CD24DD}"/>
            </a:ext>
          </a:extLst>
        </xdr:cNvPr>
        <xdr:cNvSpPr/>
      </xdr:nvSpPr>
      <xdr:spPr>
        <a:xfrm>
          <a:off x="1" y="2324100"/>
          <a:ext cx="2381250" cy="1038224"/>
        </a:xfrm>
        <a:prstGeom prst="flowChartProcess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0</xdr:col>
      <xdr:colOff>476249</xdr:colOff>
      <xdr:row>11</xdr:row>
      <xdr:rowOff>66675</xdr:rowOff>
    </xdr:from>
    <xdr:to>
      <xdr:col>1</xdr:col>
      <xdr:colOff>761999</xdr:colOff>
      <xdr:row>13</xdr:row>
      <xdr:rowOff>85724</xdr:rowOff>
    </xdr:to>
    <xdr:sp macro="" textlink="CALCULO!A54">
      <xdr:nvSpPr>
        <xdr:cNvPr id="3" name="CuadroTexto 2">
          <a:extLst>
            <a:ext uri="{FF2B5EF4-FFF2-40B4-BE49-F238E27FC236}">
              <a16:creationId xmlns:a16="http://schemas.microsoft.com/office/drawing/2014/main" id="{623860DE-E237-877A-BA16-95E8372A6768}"/>
            </a:ext>
          </a:extLst>
        </xdr:cNvPr>
        <xdr:cNvSpPr txBox="1"/>
      </xdr:nvSpPr>
      <xdr:spPr>
        <a:xfrm>
          <a:off x="476249" y="2390775"/>
          <a:ext cx="1266825" cy="400049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FA533418-7597-4914-B2E8-2F505FFD2005}" type="TxLink">
            <a:rPr lang="en-US" sz="1400" b="1" i="0" u="none" strike="noStrike">
              <a:solidFill>
                <a:srgbClr val="000000"/>
              </a:solidFill>
              <a:latin typeface="Aptos Narrow"/>
            </a:rPr>
            <a:pPr algn="ctr"/>
            <a:t>TOTAL TAREAS</a:t>
          </a:fld>
          <a:endParaRPr lang="es-ES" sz="1400" b="1"/>
        </a:p>
      </xdr:txBody>
    </xdr:sp>
    <xdr:clientData/>
  </xdr:twoCellAnchor>
  <xdr:twoCellAnchor>
    <xdr:from>
      <xdr:col>0</xdr:col>
      <xdr:colOff>533400</xdr:colOff>
      <xdr:row>13</xdr:row>
      <xdr:rowOff>142876</xdr:rowOff>
    </xdr:from>
    <xdr:to>
      <xdr:col>1</xdr:col>
      <xdr:colOff>638175</xdr:colOff>
      <xdr:row>15</xdr:row>
      <xdr:rowOff>66676</xdr:rowOff>
    </xdr:to>
    <xdr:sp macro="" textlink="CALCULO!B54">
      <xdr:nvSpPr>
        <xdr:cNvPr id="4" name="CuadroTexto 3">
          <a:extLst>
            <a:ext uri="{FF2B5EF4-FFF2-40B4-BE49-F238E27FC236}">
              <a16:creationId xmlns:a16="http://schemas.microsoft.com/office/drawing/2014/main" id="{E91D2E60-A63F-4F6A-B43F-F10A053A89F4}"/>
            </a:ext>
          </a:extLst>
        </xdr:cNvPr>
        <xdr:cNvSpPr txBox="1"/>
      </xdr:nvSpPr>
      <xdr:spPr>
        <a:xfrm>
          <a:off x="533400" y="2847976"/>
          <a:ext cx="1085850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A9F4F0ED-4815-49B5-ACC5-FDAEB98C6287}" type="TxLink">
            <a:rPr lang="en-US" sz="2400" b="1" i="0" u="none" strike="noStrike">
              <a:solidFill>
                <a:srgbClr val="FF0000"/>
              </a:solidFill>
              <a:latin typeface="Aptos Narrow"/>
            </a:rPr>
            <a:pPr algn="ctr"/>
            <a:t>1</a:t>
          </a:fld>
          <a:endParaRPr lang="es-ES" sz="24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0</xdr:colOff>
      <xdr:row>17</xdr:row>
      <xdr:rowOff>0</xdr:rowOff>
    </xdr:from>
    <xdr:to>
      <xdr:col>2</xdr:col>
      <xdr:colOff>9525</xdr:colOff>
      <xdr:row>22</xdr:row>
      <xdr:rowOff>85724</xdr:rowOff>
    </xdr:to>
    <xdr:sp macro="" textlink="">
      <xdr:nvSpPr>
        <xdr:cNvPr id="5" name="Diagrama de flujo: proceso 4">
          <a:extLst>
            <a:ext uri="{FF2B5EF4-FFF2-40B4-BE49-F238E27FC236}">
              <a16:creationId xmlns:a16="http://schemas.microsoft.com/office/drawing/2014/main" id="{0FC714BA-41A1-4BE9-A169-4CAA206986E5}"/>
            </a:ext>
          </a:extLst>
        </xdr:cNvPr>
        <xdr:cNvSpPr/>
      </xdr:nvSpPr>
      <xdr:spPr>
        <a:xfrm>
          <a:off x="0" y="3467100"/>
          <a:ext cx="2381250" cy="1038224"/>
        </a:xfrm>
        <a:prstGeom prst="flowChartProcess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0</xdr:col>
      <xdr:colOff>523875</xdr:colOff>
      <xdr:row>17</xdr:row>
      <xdr:rowOff>38100</xdr:rowOff>
    </xdr:from>
    <xdr:to>
      <xdr:col>1</xdr:col>
      <xdr:colOff>809625</xdr:colOff>
      <xdr:row>19</xdr:row>
      <xdr:rowOff>57149</xdr:rowOff>
    </xdr:to>
    <xdr:sp macro="" textlink="CALCULO!A56">
      <xdr:nvSpPr>
        <xdr:cNvPr id="6" name="CuadroTexto 5">
          <a:extLst>
            <a:ext uri="{FF2B5EF4-FFF2-40B4-BE49-F238E27FC236}">
              <a16:creationId xmlns:a16="http://schemas.microsoft.com/office/drawing/2014/main" id="{EA8C7653-00E2-49F8-94AC-AB948F33BF44}"/>
            </a:ext>
          </a:extLst>
        </xdr:cNvPr>
        <xdr:cNvSpPr txBox="1"/>
      </xdr:nvSpPr>
      <xdr:spPr>
        <a:xfrm>
          <a:off x="523875" y="3505200"/>
          <a:ext cx="1266825" cy="400049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52634DBA-BEDD-401E-963B-F1361B91316C}" type="TxLink">
            <a:rPr lang="en-US" sz="1400" b="1" i="0" u="none" strike="noStrike">
              <a:solidFill>
                <a:srgbClr val="000000"/>
              </a:solidFill>
              <a:latin typeface="Aptos Narrow"/>
              <a:ea typeface="+mn-ea"/>
              <a:cs typeface="+mn-cs"/>
            </a:rPr>
            <a:pPr marL="0" indent="0" algn="ctr"/>
            <a:t>PERIODO</a:t>
          </a:fld>
          <a:endParaRPr lang="es-ES" sz="1400" b="1" i="0" u="none" strike="noStrike">
            <a:solidFill>
              <a:srgbClr val="000000"/>
            </a:solidFill>
            <a:latin typeface="Aptos Narrow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171450</xdr:colOff>
      <xdr:row>18</xdr:row>
      <xdr:rowOff>114300</xdr:rowOff>
    </xdr:from>
    <xdr:to>
      <xdr:col>1</xdr:col>
      <xdr:colOff>1190624</xdr:colOff>
      <xdr:row>21</xdr:row>
      <xdr:rowOff>114299</xdr:rowOff>
    </xdr:to>
    <xdr:sp macro="" textlink="CALCULO!B56">
      <xdr:nvSpPr>
        <xdr:cNvPr id="7" name="CuadroTexto 6">
          <a:extLst>
            <a:ext uri="{FF2B5EF4-FFF2-40B4-BE49-F238E27FC236}">
              <a16:creationId xmlns:a16="http://schemas.microsoft.com/office/drawing/2014/main" id="{1BE0EB65-08C8-4446-8395-373B2758560F}"/>
            </a:ext>
          </a:extLst>
        </xdr:cNvPr>
        <xdr:cNvSpPr txBox="1"/>
      </xdr:nvSpPr>
      <xdr:spPr>
        <a:xfrm>
          <a:off x="171450" y="3771900"/>
          <a:ext cx="2000249" cy="571499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6C71C867-38CC-418B-BEF7-B015AAACF15A}" type="TxLink">
            <a:rPr lang="en-US" sz="1400" b="1" i="0" u="none" strike="noStrike">
              <a:solidFill>
                <a:srgbClr val="FF0000"/>
              </a:solidFill>
              <a:latin typeface="Aptos Narrow"/>
              <a:ea typeface="+mn-ea"/>
              <a:cs typeface="+mn-cs"/>
            </a:rPr>
            <a:pPr marL="0" indent="0" algn="ctr"/>
            <a:t>Del 08-ene al 10-ene</a:t>
          </a:fld>
          <a:endParaRPr lang="es-ES" sz="1400" b="1" i="0" u="none" strike="noStrike">
            <a:solidFill>
              <a:srgbClr val="FF0000"/>
            </a:solidFill>
            <a:latin typeface="Aptos Narrow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0</xdr:colOff>
      <xdr:row>24</xdr:row>
      <xdr:rowOff>0</xdr:rowOff>
    </xdr:from>
    <xdr:to>
      <xdr:col>2</xdr:col>
      <xdr:colOff>9525</xdr:colOff>
      <xdr:row>29</xdr:row>
      <xdr:rowOff>85724</xdr:rowOff>
    </xdr:to>
    <xdr:sp macro="" textlink="">
      <xdr:nvSpPr>
        <xdr:cNvPr id="8" name="Diagrama de flujo: proceso 7">
          <a:extLst>
            <a:ext uri="{FF2B5EF4-FFF2-40B4-BE49-F238E27FC236}">
              <a16:creationId xmlns:a16="http://schemas.microsoft.com/office/drawing/2014/main" id="{43E6E772-BC3B-4DC1-A510-DF2E95937C0A}"/>
            </a:ext>
          </a:extLst>
        </xdr:cNvPr>
        <xdr:cNvSpPr/>
      </xdr:nvSpPr>
      <xdr:spPr>
        <a:xfrm>
          <a:off x="0" y="4800600"/>
          <a:ext cx="2381250" cy="1038224"/>
        </a:xfrm>
        <a:prstGeom prst="flowChartProcess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0</xdr:col>
      <xdr:colOff>438150</xdr:colOff>
      <xdr:row>24</xdr:row>
      <xdr:rowOff>85725</xdr:rowOff>
    </xdr:from>
    <xdr:to>
      <xdr:col>1</xdr:col>
      <xdr:colOff>723900</xdr:colOff>
      <xdr:row>26</xdr:row>
      <xdr:rowOff>104774</xdr:rowOff>
    </xdr:to>
    <xdr:sp macro="" textlink="CALCULO!A59">
      <xdr:nvSpPr>
        <xdr:cNvPr id="9" name="CuadroTexto 8">
          <a:extLst>
            <a:ext uri="{FF2B5EF4-FFF2-40B4-BE49-F238E27FC236}">
              <a16:creationId xmlns:a16="http://schemas.microsoft.com/office/drawing/2014/main" id="{54DC1D67-D854-44F8-ABFB-098701F88275}"/>
            </a:ext>
          </a:extLst>
        </xdr:cNvPr>
        <xdr:cNvSpPr txBox="1"/>
      </xdr:nvSpPr>
      <xdr:spPr>
        <a:xfrm>
          <a:off x="438150" y="4886325"/>
          <a:ext cx="1266825" cy="400049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38327D8C-E3B9-4F44-ACD5-511508679889}" type="TxLink">
            <a:rPr lang="en-US" sz="1400" b="1" i="0" u="none" strike="noStrike">
              <a:solidFill>
                <a:srgbClr val="000000"/>
              </a:solidFill>
              <a:latin typeface="Aptos Narrow"/>
              <a:ea typeface="+mn-ea"/>
              <a:cs typeface="+mn-cs"/>
            </a:rPr>
            <a:pPr marL="0" indent="0" algn="ctr"/>
            <a:t>AVANCE</a:t>
          </a:fld>
          <a:endParaRPr lang="es-ES" sz="1400" b="1" i="0" u="none" strike="noStrike">
            <a:solidFill>
              <a:srgbClr val="000000"/>
            </a:solidFill>
            <a:latin typeface="Aptos Narrow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485775</xdr:colOff>
      <xdr:row>26</xdr:row>
      <xdr:rowOff>133350</xdr:rowOff>
    </xdr:from>
    <xdr:to>
      <xdr:col>1</xdr:col>
      <xdr:colOff>590550</xdr:colOff>
      <xdr:row>28</xdr:row>
      <xdr:rowOff>57150</xdr:rowOff>
    </xdr:to>
    <xdr:sp macro="" textlink="CALCULO!B59">
      <xdr:nvSpPr>
        <xdr:cNvPr id="10" name="CuadroTexto 9">
          <a:extLst>
            <a:ext uri="{FF2B5EF4-FFF2-40B4-BE49-F238E27FC236}">
              <a16:creationId xmlns:a16="http://schemas.microsoft.com/office/drawing/2014/main" id="{4DD3E2EF-964E-4C00-A134-06E8E7F37DED}"/>
            </a:ext>
          </a:extLst>
        </xdr:cNvPr>
        <xdr:cNvSpPr txBox="1"/>
      </xdr:nvSpPr>
      <xdr:spPr>
        <a:xfrm>
          <a:off x="485775" y="5314950"/>
          <a:ext cx="1085850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76ED94B3-0A29-4A90-A441-60573116402C}" type="TxLink">
            <a:rPr lang="en-US" sz="1800" b="1" i="0" u="none" strike="noStrike">
              <a:solidFill>
                <a:srgbClr val="FF0000"/>
              </a:solidFill>
              <a:latin typeface="Aptos Narrow"/>
            </a:rPr>
            <a:pPr algn="ctr"/>
            <a:t>-100%</a:t>
          </a:fld>
          <a:endParaRPr lang="es-ES" sz="40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0</xdr:colOff>
      <xdr:row>1</xdr:row>
      <xdr:rowOff>13607</xdr:rowOff>
    </xdr:from>
    <xdr:to>
      <xdr:col>22</xdr:col>
      <xdr:colOff>587486</xdr:colOff>
      <xdr:row>29</xdr:row>
      <xdr:rowOff>0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E651574A-01DB-7F4B-C256-95C5617E7B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86019</xdr:colOff>
      <xdr:row>2</xdr:row>
      <xdr:rowOff>77882</xdr:rowOff>
    </xdr:from>
    <xdr:to>
      <xdr:col>4</xdr:col>
      <xdr:colOff>583826</xdr:colOff>
      <xdr:row>11</xdr:row>
      <xdr:rowOff>112408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CC281808-BCB7-4828-A63B-EAAB2412D8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723424</xdr:colOff>
      <xdr:row>7</xdr:row>
      <xdr:rowOff>183118</xdr:rowOff>
    </xdr:from>
    <xdr:to>
      <xdr:col>3</xdr:col>
      <xdr:colOff>751999</xdr:colOff>
      <xdr:row>9</xdr:row>
      <xdr:rowOff>106918</xdr:rowOff>
    </xdr:to>
    <xdr:sp macro="" textlink="CALCULO!C64">
      <xdr:nvSpPr>
        <xdr:cNvPr id="13" name="CuadroTexto 12">
          <a:extLst>
            <a:ext uri="{FF2B5EF4-FFF2-40B4-BE49-F238E27FC236}">
              <a16:creationId xmlns:a16="http://schemas.microsoft.com/office/drawing/2014/main" id="{2C372849-CB66-45AA-B07B-E5C42F93FF5D}"/>
            </a:ext>
          </a:extLst>
        </xdr:cNvPr>
        <xdr:cNvSpPr txBox="1"/>
      </xdr:nvSpPr>
      <xdr:spPr>
        <a:xfrm>
          <a:off x="3097054" y="1749028"/>
          <a:ext cx="108775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DF72E2BA-D23F-4FA9-BD8E-8CEE7101469C}" type="TxLink">
            <a:rPr lang="en-US" sz="1200" b="1" i="0" u="none" strike="noStrike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ptos Narrow"/>
            </a:rPr>
            <a:pPr algn="ctr"/>
            <a:t>-100%</a:t>
          </a:fld>
          <a:endParaRPr lang="es-ES" sz="28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</xdr:col>
      <xdr:colOff>621506</xdr:colOff>
      <xdr:row>2</xdr:row>
      <xdr:rowOff>176213</xdr:rowOff>
    </xdr:from>
    <xdr:to>
      <xdr:col>4</xdr:col>
      <xdr:colOff>288131</xdr:colOff>
      <xdr:row>4</xdr:row>
      <xdr:rowOff>59531</xdr:rowOff>
    </xdr:to>
    <xdr:sp macro="" textlink="">
      <xdr:nvSpPr>
        <xdr:cNvPr id="14" name="CuadroTexto 13">
          <a:extLst>
            <a:ext uri="{FF2B5EF4-FFF2-40B4-BE49-F238E27FC236}">
              <a16:creationId xmlns:a16="http://schemas.microsoft.com/office/drawing/2014/main" id="{1F5BBDF2-59EA-7D50-5D61-A378CFD7A2B0}"/>
            </a:ext>
          </a:extLst>
        </xdr:cNvPr>
        <xdr:cNvSpPr txBox="1"/>
      </xdr:nvSpPr>
      <xdr:spPr>
        <a:xfrm>
          <a:off x="2996803" y="765572"/>
          <a:ext cx="1488281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 b="1"/>
            <a:t>Porcentaje</a:t>
          </a:r>
          <a:r>
            <a:rPr lang="es-ES" sz="1100" b="1" baseline="0"/>
            <a:t> de avance </a:t>
          </a:r>
          <a:endParaRPr lang="es-ES" sz="1100" b="1"/>
        </a:p>
        <a:p>
          <a:endParaRPr lang="es-ES" sz="1100"/>
        </a:p>
      </xdr:txBody>
    </xdr:sp>
    <xdr:clientData/>
  </xdr:twoCellAnchor>
  <xdr:twoCellAnchor>
    <xdr:from>
      <xdr:col>7</xdr:col>
      <xdr:colOff>0</xdr:colOff>
      <xdr:row>4</xdr:row>
      <xdr:rowOff>0</xdr:rowOff>
    </xdr:from>
    <xdr:to>
      <xdr:col>8</xdr:col>
      <xdr:colOff>709546</xdr:colOff>
      <xdr:row>10</xdr:row>
      <xdr:rowOff>40230</xdr:rowOff>
    </xdr:to>
    <xdr:grpSp>
      <xdr:nvGrpSpPr>
        <xdr:cNvPr id="42" name="Grupo 41">
          <a:extLst>
            <a:ext uri="{FF2B5EF4-FFF2-40B4-BE49-F238E27FC236}">
              <a16:creationId xmlns:a16="http://schemas.microsoft.com/office/drawing/2014/main" id="{7C68008A-4141-2B55-A999-3811DEB8DC06}"/>
            </a:ext>
          </a:extLst>
        </xdr:cNvPr>
        <xdr:cNvGrpSpPr/>
      </xdr:nvGrpSpPr>
      <xdr:grpSpPr>
        <a:xfrm>
          <a:off x="6735536" y="979714"/>
          <a:ext cx="1471546" cy="1196837"/>
          <a:chOff x="2799522" y="2694373"/>
          <a:chExt cx="1470363" cy="1196837"/>
        </a:xfrm>
      </xdr:grpSpPr>
      <xdr:graphicFrame macro="">
        <xdr:nvGraphicFramePr>
          <xdr:cNvPr id="27" name="Gráfico 26">
            <a:extLst>
              <a:ext uri="{FF2B5EF4-FFF2-40B4-BE49-F238E27FC236}">
                <a16:creationId xmlns:a16="http://schemas.microsoft.com/office/drawing/2014/main" id="{BFF0E62E-1FC5-4F7A-BEB6-6B384CFA14CB}"/>
              </a:ext>
            </a:extLst>
          </xdr:cNvPr>
          <xdr:cNvGraphicFramePr>
            <a:graphicFrameLocks/>
          </xdr:cNvGraphicFramePr>
        </xdr:nvGraphicFramePr>
        <xdr:xfrm>
          <a:off x="2799522" y="2695989"/>
          <a:ext cx="1470363" cy="119522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sp macro="" textlink="">
        <xdr:nvSpPr>
          <xdr:cNvPr id="28" name="Círculo: vacío 27">
            <a:extLst>
              <a:ext uri="{FF2B5EF4-FFF2-40B4-BE49-F238E27FC236}">
                <a16:creationId xmlns:a16="http://schemas.microsoft.com/office/drawing/2014/main" id="{8B0D5612-FB04-4421-ADB3-251AF38B25C1}"/>
              </a:ext>
            </a:extLst>
          </xdr:cNvPr>
          <xdr:cNvSpPr/>
        </xdr:nvSpPr>
        <xdr:spPr>
          <a:xfrm>
            <a:off x="2978773" y="2694373"/>
            <a:ext cx="1116000" cy="1113076"/>
          </a:xfrm>
          <a:prstGeom prst="donut">
            <a:avLst>
              <a:gd name="adj" fmla="val 5570"/>
            </a:avLst>
          </a:prstGeom>
          <a:solidFill>
            <a:schemeClr val="bg1">
              <a:lumMod val="65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>
              <a:solidFill>
                <a:schemeClr val="tx1"/>
              </a:solidFill>
            </a:endParaRPr>
          </a:p>
        </xdr:txBody>
      </xdr:sp>
      <xdr:sp macro="" textlink="CALCULO!L4">
        <xdr:nvSpPr>
          <xdr:cNvPr id="29" name="CuadroTexto 28">
            <a:extLst>
              <a:ext uri="{FF2B5EF4-FFF2-40B4-BE49-F238E27FC236}">
                <a16:creationId xmlns:a16="http://schemas.microsoft.com/office/drawing/2014/main" id="{A0BF99C4-42A9-46A5-AD3C-248BF5F29F2A}"/>
              </a:ext>
            </a:extLst>
          </xdr:cNvPr>
          <xdr:cNvSpPr txBox="1"/>
        </xdr:nvSpPr>
        <xdr:spPr>
          <a:xfrm>
            <a:off x="3016620" y="3092848"/>
            <a:ext cx="1088749" cy="304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AB6B76D9-9CE2-4594-8BC2-2AD7D26A8296}" type="TxLink">
              <a:rPr lang="en-US" sz="1100" b="0" i="0" u="none" strike="noStrike" cap="none" spc="0">
                <a:ln w="0"/>
                <a:solidFill>
                  <a:srgbClr val="00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Aptos Narrow"/>
              </a:rPr>
              <a:pPr algn="ctr"/>
              <a:t>0%</a:t>
            </a:fld>
            <a:endParaRPr lang="es-ES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</xdr:grpSp>
    <xdr:clientData/>
  </xdr:twoCellAnchor>
  <xdr:twoCellAnchor>
    <xdr:from>
      <xdr:col>5</xdr:col>
      <xdr:colOff>0</xdr:colOff>
      <xdr:row>4</xdr:row>
      <xdr:rowOff>27214</xdr:rowOff>
    </xdr:from>
    <xdr:to>
      <xdr:col>6</xdr:col>
      <xdr:colOff>662445</xdr:colOff>
      <xdr:row>10</xdr:row>
      <xdr:rowOff>65828</xdr:rowOff>
    </xdr:to>
    <xdr:grpSp>
      <xdr:nvGrpSpPr>
        <xdr:cNvPr id="41" name="Grupo 40">
          <a:extLst>
            <a:ext uri="{FF2B5EF4-FFF2-40B4-BE49-F238E27FC236}">
              <a16:creationId xmlns:a16="http://schemas.microsoft.com/office/drawing/2014/main" id="{491FD4C4-5D41-650C-B59B-62329B8637F2}"/>
            </a:ext>
          </a:extLst>
        </xdr:cNvPr>
        <xdr:cNvGrpSpPr/>
      </xdr:nvGrpSpPr>
      <xdr:grpSpPr>
        <a:xfrm>
          <a:off x="5021036" y="1006928"/>
          <a:ext cx="1465266" cy="1195221"/>
          <a:chOff x="4654826" y="2700130"/>
          <a:chExt cx="1470363" cy="1195221"/>
        </a:xfrm>
      </xdr:grpSpPr>
      <xdr:graphicFrame macro="">
        <xdr:nvGraphicFramePr>
          <xdr:cNvPr id="30" name="Gráfico 29">
            <a:extLst>
              <a:ext uri="{FF2B5EF4-FFF2-40B4-BE49-F238E27FC236}">
                <a16:creationId xmlns:a16="http://schemas.microsoft.com/office/drawing/2014/main" id="{D4DC7CAE-7ABB-4E2F-BFB3-81550276C151}"/>
              </a:ext>
            </a:extLst>
          </xdr:cNvPr>
          <xdr:cNvGraphicFramePr>
            <a:graphicFrameLocks/>
          </xdr:cNvGraphicFramePr>
        </xdr:nvGraphicFramePr>
        <xdr:xfrm>
          <a:off x="4654826" y="2700130"/>
          <a:ext cx="1470363" cy="119522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sp macro="" textlink="">
        <xdr:nvSpPr>
          <xdr:cNvPr id="31" name="Círculo: vacío 30">
            <a:extLst>
              <a:ext uri="{FF2B5EF4-FFF2-40B4-BE49-F238E27FC236}">
                <a16:creationId xmlns:a16="http://schemas.microsoft.com/office/drawing/2014/main" id="{41AFC139-FC48-4BC4-BB56-00D1BD310D7D}"/>
              </a:ext>
            </a:extLst>
          </xdr:cNvPr>
          <xdr:cNvSpPr/>
        </xdr:nvSpPr>
        <xdr:spPr>
          <a:xfrm>
            <a:off x="4834077" y="2702656"/>
            <a:ext cx="1116000" cy="1113076"/>
          </a:xfrm>
          <a:prstGeom prst="donut">
            <a:avLst>
              <a:gd name="adj" fmla="val 5570"/>
            </a:avLst>
          </a:prstGeom>
          <a:solidFill>
            <a:schemeClr val="bg1">
              <a:lumMod val="65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>
              <a:solidFill>
                <a:schemeClr val="tx1"/>
              </a:solidFill>
            </a:endParaRPr>
          </a:p>
        </xdr:txBody>
      </xdr:sp>
      <xdr:sp macro="" textlink="CALCULO!L5">
        <xdr:nvSpPr>
          <xdr:cNvPr id="32" name="CuadroTexto 31">
            <a:extLst>
              <a:ext uri="{FF2B5EF4-FFF2-40B4-BE49-F238E27FC236}">
                <a16:creationId xmlns:a16="http://schemas.microsoft.com/office/drawing/2014/main" id="{C70ADBB1-46F9-41AF-AA97-275FF0FC5B62}"/>
              </a:ext>
            </a:extLst>
          </xdr:cNvPr>
          <xdr:cNvSpPr txBox="1"/>
        </xdr:nvSpPr>
        <xdr:spPr>
          <a:xfrm>
            <a:off x="4871924" y="3101131"/>
            <a:ext cx="1088749" cy="304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C8CCBE07-F9DF-4E80-BC37-6A7E70BD3639}" type="TxLink">
              <a:rPr lang="en-US" sz="1100" b="0" i="0" u="none" strike="noStrike" cap="none" spc="0">
                <a:ln w="0"/>
                <a:solidFill>
                  <a:srgbClr val="00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Aptos Narrow"/>
              </a:rPr>
              <a:pPr algn="ctr"/>
              <a:t>0%</a:t>
            </a:fld>
            <a:endParaRPr lang="es-ES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</xdr:grpSp>
    <xdr:clientData/>
  </xdr:twoCellAnchor>
  <xdr:twoCellAnchor>
    <xdr:from>
      <xdr:col>2</xdr:col>
      <xdr:colOff>379026</xdr:colOff>
      <xdr:row>16</xdr:row>
      <xdr:rowOff>182058</xdr:rowOff>
    </xdr:from>
    <xdr:to>
      <xdr:col>8</xdr:col>
      <xdr:colOff>0</xdr:colOff>
      <xdr:row>25</xdr:row>
      <xdr:rowOff>54428</xdr:rowOff>
    </xdr:to>
    <xdr:grpSp>
      <xdr:nvGrpSpPr>
        <xdr:cNvPr id="45" name="Grupo 44">
          <a:extLst>
            <a:ext uri="{FF2B5EF4-FFF2-40B4-BE49-F238E27FC236}">
              <a16:creationId xmlns:a16="http://schemas.microsoft.com/office/drawing/2014/main" id="{1D7E5808-71D1-2EAB-C0EF-04FDFD69060C}"/>
            </a:ext>
          </a:extLst>
        </xdr:cNvPr>
        <xdr:cNvGrpSpPr/>
      </xdr:nvGrpSpPr>
      <xdr:grpSpPr>
        <a:xfrm>
          <a:off x="2746669" y="3461379"/>
          <a:ext cx="4750867" cy="1586870"/>
          <a:chOff x="3252107" y="3406951"/>
          <a:chExt cx="3866403" cy="1268740"/>
        </a:xfrm>
      </xdr:grpSpPr>
      <xdr:grpSp>
        <xdr:nvGrpSpPr>
          <xdr:cNvPr id="44" name="Grupo 43">
            <a:extLst>
              <a:ext uri="{FF2B5EF4-FFF2-40B4-BE49-F238E27FC236}">
                <a16:creationId xmlns:a16="http://schemas.microsoft.com/office/drawing/2014/main" id="{A2D3F677-E3CD-3571-1483-EE14F8B9299D}"/>
              </a:ext>
            </a:extLst>
          </xdr:cNvPr>
          <xdr:cNvGrpSpPr/>
        </xdr:nvGrpSpPr>
        <xdr:grpSpPr>
          <a:xfrm>
            <a:off x="3252107" y="3406951"/>
            <a:ext cx="1470955" cy="1205870"/>
            <a:chOff x="6540869" y="967027"/>
            <a:chExt cx="1470363" cy="1195221"/>
          </a:xfrm>
        </xdr:grpSpPr>
        <xdr:graphicFrame macro="">
          <xdr:nvGraphicFramePr>
            <xdr:cNvPr id="22" name="Gráfico 21">
              <a:extLst>
                <a:ext uri="{FF2B5EF4-FFF2-40B4-BE49-F238E27FC236}">
                  <a16:creationId xmlns:a16="http://schemas.microsoft.com/office/drawing/2014/main" id="{CD2ACB29-93AD-47FF-973F-C4397ADA4761}"/>
                </a:ext>
              </a:extLst>
            </xdr:cNvPr>
            <xdr:cNvGraphicFramePr>
              <a:graphicFrameLocks/>
            </xdr:cNvGraphicFramePr>
          </xdr:nvGraphicFramePr>
          <xdr:xfrm>
            <a:off x="6540869" y="967027"/>
            <a:ext cx="1470363" cy="1195221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5"/>
            </a:graphicData>
          </a:graphic>
        </xdr:graphicFrame>
        <xdr:sp macro="" textlink="">
          <xdr:nvSpPr>
            <xdr:cNvPr id="23" name="Círculo: vacío 22">
              <a:extLst>
                <a:ext uri="{FF2B5EF4-FFF2-40B4-BE49-F238E27FC236}">
                  <a16:creationId xmlns:a16="http://schemas.microsoft.com/office/drawing/2014/main" id="{5E3E3E19-83EA-DD54-8CEA-452F0720B3E3}"/>
                </a:ext>
              </a:extLst>
            </xdr:cNvPr>
            <xdr:cNvSpPr/>
          </xdr:nvSpPr>
          <xdr:spPr>
            <a:xfrm>
              <a:off x="6720120" y="969553"/>
              <a:ext cx="1116000" cy="1113076"/>
            </a:xfrm>
            <a:prstGeom prst="donut">
              <a:avLst>
                <a:gd name="adj" fmla="val 5570"/>
              </a:avLst>
            </a:prstGeom>
            <a:solidFill>
              <a:schemeClr val="bg1">
                <a:lumMod val="65000"/>
              </a:schemeClr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ES" sz="1100">
                <a:solidFill>
                  <a:schemeClr val="tx1"/>
                </a:solidFill>
              </a:endParaRPr>
            </a:p>
          </xdr:txBody>
        </xdr:sp>
        <xdr:sp macro="" textlink="CALCULO!L2">
          <xdr:nvSpPr>
            <xdr:cNvPr id="24" name="CuadroTexto 23">
              <a:extLst>
                <a:ext uri="{FF2B5EF4-FFF2-40B4-BE49-F238E27FC236}">
                  <a16:creationId xmlns:a16="http://schemas.microsoft.com/office/drawing/2014/main" id="{88D67A06-6C82-4C5F-92C9-475CB40490DE}"/>
                </a:ext>
              </a:extLst>
            </xdr:cNvPr>
            <xdr:cNvSpPr txBox="1"/>
          </xdr:nvSpPr>
          <xdr:spPr>
            <a:xfrm>
              <a:off x="6757967" y="1368028"/>
              <a:ext cx="1088749" cy="3048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E087EF37-BFF5-4CAF-8D15-8F14E0440784}" type="TxLink">
                <a:rPr lang="en-US" sz="1100" b="0" i="0" u="none" strike="noStrike" cap="none" spc="0">
                  <a:ln w="0"/>
                  <a:solidFill>
                    <a:srgbClr val="0000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Aptos Narrow"/>
                </a:rPr>
                <a:pPr algn="ctr"/>
                <a:t>0%</a:t>
              </a:fld>
              <a:endParaRPr lang="es-ES" sz="28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endParaRPr>
            </a:p>
          </xdr:txBody>
        </xdr:sp>
      </xdr:grpSp>
      <xdr:grpSp>
        <xdr:nvGrpSpPr>
          <xdr:cNvPr id="43" name="Grupo 42">
            <a:extLst>
              <a:ext uri="{FF2B5EF4-FFF2-40B4-BE49-F238E27FC236}">
                <a16:creationId xmlns:a16="http://schemas.microsoft.com/office/drawing/2014/main" id="{1F35DD99-DB64-4DCA-7F21-D86825E7A680}"/>
              </a:ext>
            </a:extLst>
          </xdr:cNvPr>
          <xdr:cNvGrpSpPr/>
        </xdr:nvGrpSpPr>
        <xdr:grpSpPr>
          <a:xfrm>
            <a:off x="5646964" y="3469821"/>
            <a:ext cx="1471546" cy="1205870"/>
            <a:chOff x="4903305" y="969064"/>
            <a:chExt cx="1470363" cy="1195221"/>
          </a:xfrm>
        </xdr:grpSpPr>
        <xdr:graphicFrame macro="">
          <xdr:nvGraphicFramePr>
            <xdr:cNvPr id="33" name="Gráfico 32">
              <a:extLst>
                <a:ext uri="{FF2B5EF4-FFF2-40B4-BE49-F238E27FC236}">
                  <a16:creationId xmlns:a16="http://schemas.microsoft.com/office/drawing/2014/main" id="{F1D56484-3457-43F8-9477-7857532B35FE}"/>
                </a:ext>
              </a:extLst>
            </xdr:cNvPr>
            <xdr:cNvGraphicFramePr>
              <a:graphicFrameLocks/>
            </xdr:cNvGraphicFramePr>
          </xdr:nvGraphicFramePr>
          <xdr:xfrm>
            <a:off x="4903305" y="969064"/>
            <a:ext cx="1470363" cy="1195221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6"/>
            </a:graphicData>
          </a:graphic>
        </xdr:graphicFrame>
        <xdr:sp macro="" textlink="">
          <xdr:nvSpPr>
            <xdr:cNvPr id="34" name="Círculo: vacío 33">
              <a:extLst>
                <a:ext uri="{FF2B5EF4-FFF2-40B4-BE49-F238E27FC236}">
                  <a16:creationId xmlns:a16="http://schemas.microsoft.com/office/drawing/2014/main" id="{7C0548C5-B594-42D2-B2D2-4CDCFB5F598F}"/>
                </a:ext>
              </a:extLst>
            </xdr:cNvPr>
            <xdr:cNvSpPr/>
          </xdr:nvSpPr>
          <xdr:spPr>
            <a:xfrm>
              <a:off x="5082556" y="971590"/>
              <a:ext cx="1116000" cy="1113076"/>
            </a:xfrm>
            <a:prstGeom prst="donut">
              <a:avLst>
                <a:gd name="adj" fmla="val 5570"/>
              </a:avLst>
            </a:prstGeom>
            <a:solidFill>
              <a:schemeClr val="bg1">
                <a:lumMod val="65000"/>
              </a:schemeClr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ES" sz="1100">
                <a:solidFill>
                  <a:schemeClr val="tx1"/>
                </a:solidFill>
              </a:endParaRPr>
            </a:p>
          </xdr:txBody>
        </xdr:sp>
        <xdr:sp macro="" textlink="CALCULO!L3">
          <xdr:nvSpPr>
            <xdr:cNvPr id="35" name="CuadroTexto 34">
              <a:extLst>
                <a:ext uri="{FF2B5EF4-FFF2-40B4-BE49-F238E27FC236}">
                  <a16:creationId xmlns:a16="http://schemas.microsoft.com/office/drawing/2014/main" id="{6820A0EA-C0E4-45FB-AC3C-45C817E624A1}"/>
                </a:ext>
              </a:extLst>
            </xdr:cNvPr>
            <xdr:cNvSpPr txBox="1"/>
          </xdr:nvSpPr>
          <xdr:spPr>
            <a:xfrm>
              <a:off x="5120403" y="1370065"/>
              <a:ext cx="1088749" cy="3048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57F5B820-C3D7-4948-8AD8-33EE771248EE}" type="TxLink">
                <a:rPr lang="en-US" sz="1100" b="0" i="0" u="none" strike="noStrike" cap="none" spc="0">
                  <a:ln w="0"/>
                  <a:solidFill>
                    <a:srgbClr val="0000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Aptos Narrow"/>
                </a:rPr>
                <a:pPr algn="ctr"/>
                <a:t>-100%</a:t>
              </a:fld>
              <a:endParaRPr lang="es-ES" sz="28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endParaRPr>
            </a:p>
          </xdr:txBody>
        </xdr:sp>
      </xdr:grpSp>
    </xdr:grpSp>
    <xdr:clientData/>
  </xdr:twoCellAnchor>
  <xdr:twoCellAnchor>
    <xdr:from>
      <xdr:col>6</xdr:col>
      <xdr:colOff>239014</xdr:colOff>
      <xdr:row>14</xdr:row>
      <xdr:rowOff>115957</xdr:rowOff>
    </xdr:from>
    <xdr:to>
      <xdr:col>7</xdr:col>
      <xdr:colOff>544286</xdr:colOff>
      <xdr:row>16</xdr:row>
      <xdr:rowOff>0</xdr:rowOff>
    </xdr:to>
    <xdr:sp macro="" textlink="">
      <xdr:nvSpPr>
        <xdr:cNvPr id="37" name="CuadroTexto 36">
          <a:extLst>
            <a:ext uri="{FF2B5EF4-FFF2-40B4-BE49-F238E27FC236}">
              <a16:creationId xmlns:a16="http://schemas.microsoft.com/office/drawing/2014/main" id="{A8B99406-5A39-F53A-7244-FEBA330A6EBA}"/>
            </a:ext>
          </a:extLst>
        </xdr:cNvPr>
        <xdr:cNvSpPr txBox="1"/>
      </xdr:nvSpPr>
      <xdr:spPr>
        <a:xfrm>
          <a:off x="6062871" y="3014278"/>
          <a:ext cx="1216951" cy="2650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En</a:t>
          </a:r>
          <a:r>
            <a:rPr lang="es-ES" sz="1100" baseline="0"/>
            <a:t> investigacion</a:t>
          </a:r>
        </a:p>
        <a:p>
          <a:endParaRPr lang="es-ES" sz="1100"/>
        </a:p>
      </xdr:txBody>
    </xdr:sp>
    <xdr:clientData/>
  </xdr:twoCellAnchor>
  <xdr:twoCellAnchor>
    <xdr:from>
      <xdr:col>7</xdr:col>
      <xdr:colOff>0</xdr:colOff>
      <xdr:row>1</xdr:row>
      <xdr:rowOff>176893</xdr:rowOff>
    </xdr:from>
    <xdr:to>
      <xdr:col>8</xdr:col>
      <xdr:colOff>456726</xdr:colOff>
      <xdr:row>3</xdr:row>
      <xdr:rowOff>60936</xdr:rowOff>
    </xdr:to>
    <xdr:sp macro="" textlink="">
      <xdr:nvSpPr>
        <xdr:cNvPr id="38" name="CuadroTexto 37">
          <a:extLst>
            <a:ext uri="{FF2B5EF4-FFF2-40B4-BE49-F238E27FC236}">
              <a16:creationId xmlns:a16="http://schemas.microsoft.com/office/drawing/2014/main" id="{6C5961E3-FE1A-40C3-B47A-265822418000}"/>
            </a:ext>
          </a:extLst>
        </xdr:cNvPr>
        <xdr:cNvSpPr txBox="1"/>
      </xdr:nvSpPr>
      <xdr:spPr>
        <a:xfrm>
          <a:off x="6735536" y="571500"/>
          <a:ext cx="1218726" cy="2650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En</a:t>
          </a:r>
          <a:r>
            <a:rPr lang="es-ES" sz="1100" baseline="0"/>
            <a:t> prueba</a:t>
          </a:r>
        </a:p>
        <a:p>
          <a:endParaRPr lang="es-ES" sz="1100"/>
        </a:p>
      </xdr:txBody>
    </xdr:sp>
    <xdr:clientData/>
  </xdr:twoCellAnchor>
  <xdr:twoCellAnchor>
    <xdr:from>
      <xdr:col>5</xdr:col>
      <xdr:colOff>0</xdr:colOff>
      <xdr:row>1</xdr:row>
      <xdr:rowOff>176893</xdr:rowOff>
    </xdr:from>
    <xdr:to>
      <xdr:col>6</xdr:col>
      <xdr:colOff>405439</xdr:colOff>
      <xdr:row>3</xdr:row>
      <xdr:rowOff>60936</xdr:rowOff>
    </xdr:to>
    <xdr:sp macro="" textlink="">
      <xdr:nvSpPr>
        <xdr:cNvPr id="39" name="CuadroTexto 38">
          <a:extLst>
            <a:ext uri="{FF2B5EF4-FFF2-40B4-BE49-F238E27FC236}">
              <a16:creationId xmlns:a16="http://schemas.microsoft.com/office/drawing/2014/main" id="{13B18AD0-F191-4568-B150-93225D41C6D6}"/>
            </a:ext>
          </a:extLst>
        </xdr:cNvPr>
        <xdr:cNvSpPr txBox="1"/>
      </xdr:nvSpPr>
      <xdr:spPr>
        <a:xfrm>
          <a:off x="5021036" y="571500"/>
          <a:ext cx="1208260" cy="2650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ES" sz="1100" baseline="0"/>
            <a:t>Implantado</a:t>
          </a:r>
        </a:p>
        <a:p>
          <a:endParaRPr lang="es-ES" sz="1100"/>
        </a:p>
      </xdr:txBody>
    </xdr:sp>
    <xdr:clientData/>
  </xdr:twoCellAnchor>
  <xdr:twoCellAnchor>
    <xdr:from>
      <xdr:col>2</xdr:col>
      <xdr:colOff>605222</xdr:colOff>
      <xdr:row>14</xdr:row>
      <xdr:rowOff>115957</xdr:rowOff>
    </xdr:from>
    <xdr:to>
      <xdr:col>4</xdr:col>
      <xdr:colOff>0</xdr:colOff>
      <xdr:row>16</xdr:row>
      <xdr:rowOff>0</xdr:rowOff>
    </xdr:to>
    <xdr:sp macro="" textlink="">
      <xdr:nvSpPr>
        <xdr:cNvPr id="40" name="CuadroTexto 39">
          <a:extLst>
            <a:ext uri="{FF2B5EF4-FFF2-40B4-BE49-F238E27FC236}">
              <a16:creationId xmlns:a16="http://schemas.microsoft.com/office/drawing/2014/main" id="{83EC29FA-9B2A-434C-9194-53EDBABEA7EC}"/>
            </a:ext>
          </a:extLst>
        </xdr:cNvPr>
        <xdr:cNvSpPr txBox="1"/>
      </xdr:nvSpPr>
      <xdr:spPr>
        <a:xfrm>
          <a:off x="2972865" y="3014278"/>
          <a:ext cx="1218135" cy="2650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En progreso</a:t>
          </a:r>
          <a:endParaRPr lang="es-ES" sz="1100" baseline="0"/>
        </a:p>
        <a:p>
          <a:endParaRPr lang="es-ES" sz="1100"/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0.46341</cdr:x>
      <cdr:y>0.49843</cdr:y>
    </cdr:from>
    <cdr:to>
      <cdr:x>0.54122</cdr:x>
      <cdr:y>0.60004</cdr:y>
    </cdr:to>
    <cdr:sp macro="" textlink="">
      <cdr:nvSpPr>
        <cdr:cNvPr id="2" name="Elipse 1">
          <a:extLst xmlns:a="http://schemas.openxmlformats.org/drawingml/2006/main">
            <a:ext uri="{FF2B5EF4-FFF2-40B4-BE49-F238E27FC236}">
              <a16:creationId xmlns:a16="http://schemas.microsoft.com/office/drawing/2014/main" id="{AF77EC2D-E6D7-F73D-CA1C-9F9111BD4656}"/>
            </a:ext>
          </a:extLst>
        </cdr:cNvPr>
        <cdr:cNvSpPr/>
      </cdr:nvSpPr>
      <cdr:spPr>
        <a:xfrm xmlns:a="http://schemas.openxmlformats.org/drawingml/2006/main">
          <a:off x="1074635" y="883161"/>
          <a:ext cx="180454" cy="180046"/>
        </a:xfrm>
        <a:prstGeom xmlns:a="http://schemas.openxmlformats.org/drawingml/2006/main" prst="ellipse">
          <a:avLst/>
        </a:prstGeom>
        <a:solidFill xmlns:a="http://schemas.openxmlformats.org/drawingml/2006/main">
          <a:schemeClr val="tx1"/>
        </a:solidFill>
        <a:ln xmlns:a="http://schemas.openxmlformats.org/drawingml/2006/main">
          <a:noFill/>
        </a:ln>
        <a:effectLst xmlns:a="http://schemas.openxmlformats.org/drawingml/2006/main">
          <a:outerShdw blurRad="50800" dist="38100" dir="2700000" algn="tl" rotWithShape="0">
            <a:prstClr val="black">
              <a:alpha val="40000"/>
            </a:prstClr>
          </a:outerShdw>
        </a:effectLst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s-ES"/>
        </a:p>
      </cdr:txBody>
    </cdr:sp>
  </cdr:relSizeAnchor>
</c:userShap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6D159C-FE8A-4546-B4FA-EFD3FE065CE2}" name="Tabla1" displayName="Tabla1" ref="A1:R47" totalsRowShown="0" dataDxfId="18">
  <autoFilter ref="A1:R47" xr:uid="{D86D159C-FE8A-4546-B4FA-EFD3FE065CE2}"/>
  <tableColumns count="18">
    <tableColumn id="1" xr3:uid="{290F64A4-948A-485F-8167-7A2F97352D00}" name="PROYECTO" dataDxfId="17"/>
    <tableColumn id="2" xr3:uid="{611253AE-746E-4A66-B363-79C4A9BF8BDD}" name="SECTOR" dataDxfId="16"/>
    <tableColumn id="3" xr3:uid="{90C76734-4827-4863-A43E-F056E74CA014}" name="TAREA" dataDxfId="15"/>
    <tableColumn id="4" xr3:uid="{A5EB7562-F5C4-4905-8E42-E899237D4B0D}" name="PRIORIDAD " dataDxfId="14"/>
    <tableColumn id="5" xr3:uid="{13C15A78-E14F-41D5-B775-E4953FDD4113}" name="RESPONSABLE" dataDxfId="13"/>
    <tableColumn id="12" xr3:uid="{4C5A21AD-4B8A-4839-9EAB-55DB06497334}" name="REALIZADO POR " dataDxfId="12"/>
    <tableColumn id="6" xr3:uid="{313F95ED-73AC-494B-B0FB-C08ABA970228}" name="INICIO" dataDxfId="11"/>
    <tableColumn id="7" xr3:uid="{5956015A-CB74-421A-A5CD-3C361DACF190}" name="FIN" dataDxfId="10"/>
    <tableColumn id="13" xr3:uid="{5C6F4969-D59B-4B84-B785-5BECE27DABE3}" name="REQUERIDO" dataDxfId="9">
      <calculatedColumnFormula>IF(Tabla1[[#This Row],[COMPLETADO]],"100%")</calculatedColumnFormula>
    </tableColumn>
    <tableColumn id="8" xr3:uid="{5D1E207D-6FE4-415C-8542-3C3EB9D4B066}" name="COMPLETADO" dataDxfId="8" dataCellStyle="Porcentaje">
      <calculatedColumnFormula>Tabla1[[#This Row],[FIN]]-Tabla1[[#This Row],[INICIO]]</calculatedColumnFormula>
    </tableColumn>
    <tableColumn id="9" xr3:uid="{7BC1F53F-7E9D-45F5-9B58-15ED12BD64C7}" name="PENDIENTE" dataDxfId="7">
      <calculatedColumnFormula>IF(AND(Tabla1[[#This Row],[pendiente prueba ]]&lt;0,Tabla1[[#This Row],[PROGRESO]]="implantado"),Tabla1[[#This Row],[COMPLETADO]],Tabla1[[#This Row],[pendiente prueba ]])</calculatedColumnFormula>
    </tableColumn>
    <tableColumn id="10" xr3:uid="{8BADBBE5-C148-41B1-9947-03DB542606FF}" name="AVANCE" dataDxfId="6" dataCellStyle="Porcentaje">
      <calculatedColumnFormula>Tabla1[[#This Row],[PENDIENTE]]/Tabla1[[#This Row],[COMPLETADO]]</calculatedColumnFormula>
    </tableColumn>
    <tableColumn id="14" xr3:uid="{99BBCCF3-DB3F-41D4-8A0C-CC6DBA011270}" name="AÑO" dataDxfId="5">
      <calculatedColumnFormula>TEXT(Tabla1[[#This Row],[INICIO]],"AAAA")</calculatedColumnFormula>
    </tableColumn>
    <tableColumn id="15" xr3:uid="{6F8253F9-3B65-4746-99BA-84325E457627}" name="MES" dataDxfId="4">
      <calculatedColumnFormula>TEXT(Tabla1[[#This Row],[INICIO]],"MMM")</calculatedColumnFormula>
    </tableColumn>
    <tableColumn id="16" xr3:uid="{721A8163-900A-4B0E-88A2-7A146788C13D}" name="RESPUESTA" dataDxfId="3"/>
    <tableColumn id="11" xr3:uid="{5AE4FC08-8B5B-4918-B169-FAC9410B95E4}" name="PROGRESO" dataDxfId="2"/>
    <tableColumn id="17" xr3:uid="{5197610F-D2B1-491A-8B54-7C4ED520B1C9}" name="fecha hoy " dataDxfId="1">
      <calculatedColumnFormula>TODAY()</calculatedColumnFormula>
    </tableColumn>
    <tableColumn id="18" xr3:uid="{02F7A3F4-D4C4-4E69-BE2A-EA3A9FAFB74A}" name="pendiente prueba " dataDxfId="0">
      <calculatedColumnFormula>Tabla1[[#This Row],[FIN]]-Tabla1[[#This Row],[fecha hoy ]]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0E2841"/>
    </a:dk2>
    <a:lt2>
      <a:srgbClr val="E8E8E8"/>
    </a:lt2>
    <a:accent1>
      <a:srgbClr val="156082"/>
    </a:accent1>
    <a:accent2>
      <a:srgbClr val="E97132"/>
    </a:accent2>
    <a:accent3>
      <a:srgbClr val="196B24"/>
    </a:accent3>
    <a:accent4>
      <a:srgbClr val="0F9ED5"/>
    </a:accent4>
    <a:accent5>
      <a:srgbClr val="A02B93"/>
    </a:accent5>
    <a:accent6>
      <a:srgbClr val="4EA72E"/>
    </a:accent6>
    <a:hlink>
      <a:srgbClr val="467886"/>
    </a:hlink>
    <a:folHlink>
      <a:srgbClr val="96607D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0E2841"/>
    </a:dk2>
    <a:lt2>
      <a:srgbClr val="E8E8E8"/>
    </a:lt2>
    <a:accent1>
      <a:srgbClr val="156082"/>
    </a:accent1>
    <a:accent2>
      <a:srgbClr val="E97132"/>
    </a:accent2>
    <a:accent3>
      <a:srgbClr val="196B24"/>
    </a:accent3>
    <a:accent4>
      <a:srgbClr val="0F9ED5"/>
    </a:accent4>
    <a:accent5>
      <a:srgbClr val="A02B93"/>
    </a:accent5>
    <a:accent6>
      <a:srgbClr val="4EA72E"/>
    </a:accent6>
    <a:hlink>
      <a:srgbClr val="467886"/>
    </a:hlink>
    <a:folHlink>
      <a:srgbClr val="96607D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0E2841"/>
    </a:dk2>
    <a:lt2>
      <a:srgbClr val="E8E8E8"/>
    </a:lt2>
    <a:accent1>
      <a:srgbClr val="156082"/>
    </a:accent1>
    <a:accent2>
      <a:srgbClr val="E97132"/>
    </a:accent2>
    <a:accent3>
      <a:srgbClr val="196B24"/>
    </a:accent3>
    <a:accent4>
      <a:srgbClr val="0F9ED5"/>
    </a:accent4>
    <a:accent5>
      <a:srgbClr val="A02B93"/>
    </a:accent5>
    <a:accent6>
      <a:srgbClr val="4EA72E"/>
    </a:accent6>
    <a:hlink>
      <a:srgbClr val="467886"/>
    </a:hlink>
    <a:folHlink>
      <a:srgbClr val="96607D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0E2841"/>
    </a:dk2>
    <a:lt2>
      <a:srgbClr val="E8E8E8"/>
    </a:lt2>
    <a:accent1>
      <a:srgbClr val="156082"/>
    </a:accent1>
    <a:accent2>
      <a:srgbClr val="E97132"/>
    </a:accent2>
    <a:accent3>
      <a:srgbClr val="196B24"/>
    </a:accent3>
    <a:accent4>
      <a:srgbClr val="0F9ED5"/>
    </a:accent4>
    <a:accent5>
      <a:srgbClr val="A02B93"/>
    </a:accent5>
    <a:accent6>
      <a:srgbClr val="4EA72E"/>
    </a:accent6>
    <a:hlink>
      <a:srgbClr val="467886"/>
    </a:hlink>
    <a:folHlink>
      <a:srgbClr val="96607D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46040-C7D4-4F02-BA8D-A8B7222938BB}">
  <dimension ref="A1:R47"/>
  <sheetViews>
    <sheetView tabSelected="1" topLeftCell="C1" zoomScale="85" zoomScaleNormal="85" workbookViewId="0">
      <selection activeCell="I5" sqref="I5"/>
    </sheetView>
  </sheetViews>
  <sheetFormatPr baseColWidth="10" defaultRowHeight="15" x14ac:dyDescent="0.25"/>
  <cols>
    <col min="3" max="3" width="106.85546875" bestFit="1" customWidth="1"/>
    <col min="10" max="10" width="11.42578125" style="1"/>
    <col min="12" max="12" width="10.7109375" bestFit="1" customWidth="1"/>
    <col min="13" max="14" width="0" hidden="1" customWidth="1"/>
    <col min="15" max="15" width="8.7109375" customWidth="1"/>
    <col min="16" max="16" width="15.42578125" bestFit="1" customWidth="1"/>
    <col min="17" max="17" width="12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s="1" t="s">
        <v>11</v>
      </c>
      <c r="M1" t="s">
        <v>12</v>
      </c>
      <c r="N1" s="2" t="s">
        <v>13</v>
      </c>
      <c r="O1" t="s">
        <v>21</v>
      </c>
      <c r="P1" t="s">
        <v>39</v>
      </c>
      <c r="Q1" t="s">
        <v>42</v>
      </c>
      <c r="R1" t="s">
        <v>43</v>
      </c>
    </row>
    <row r="2" spans="1:18" x14ac:dyDescent="0.25">
      <c r="A2" s="24" t="s">
        <v>47</v>
      </c>
      <c r="B2" s="24" t="s">
        <v>97</v>
      </c>
      <c r="C2" t="s">
        <v>49</v>
      </c>
      <c r="D2" s="24" t="s">
        <v>14</v>
      </c>
      <c r="E2" s="24" t="s">
        <v>94</v>
      </c>
      <c r="F2" s="24" t="s">
        <v>94</v>
      </c>
      <c r="G2" s="31">
        <v>45665</v>
      </c>
      <c r="H2" s="31">
        <v>45666</v>
      </c>
      <c r="I2" s="32" t="str">
        <f>IF(Tabla1[[#This Row],[COMPLETADO]],"100%")</f>
        <v>100%</v>
      </c>
      <c r="J2" s="35">
        <f>Tabla1[[#This Row],[FIN]]-Tabla1[[#This Row],[INICIO]]</f>
        <v>1</v>
      </c>
      <c r="K2" s="35">
        <f ca="1">IF(AND(Tabla1[[#This Row],[pendiente prueba ]]&lt;0,Tabla1[[#This Row],[PROGRESO]]="implantado"),Tabla1[[#This Row],[COMPLETADO]],Tabla1[[#This Row],[pendiente prueba ]])</f>
        <v>-3</v>
      </c>
      <c r="L2" s="32">
        <f ca="1">Tabla1[[#This Row],[PENDIENTE]]/Tabla1[[#This Row],[COMPLETADO]]</f>
        <v>-3</v>
      </c>
      <c r="M2" s="24" t="str">
        <f>TEXT(Tabla1[[#This Row],[INICIO]],"AAAA")</f>
        <v>2025</v>
      </c>
      <c r="N2" s="33" t="str">
        <f>TEXT(Tabla1[[#This Row],[INICIO]],"MMM")</f>
        <v>ene</v>
      </c>
      <c r="O2" s="24"/>
      <c r="P2" s="24" t="s">
        <v>96</v>
      </c>
      <c r="Q2" s="31">
        <f t="shared" ref="Q2:Q32" ca="1" si="0">TODAY()</f>
        <v>45669</v>
      </c>
      <c r="R2" s="24">
        <f ca="1">Tabla1[[#This Row],[FIN]]-Tabla1[[#This Row],[fecha hoy ]]</f>
        <v>-3</v>
      </c>
    </row>
    <row r="3" spans="1:18" ht="15.75" x14ac:dyDescent="0.3">
      <c r="A3" s="24" t="s">
        <v>47</v>
      </c>
      <c r="B3" s="24" t="s">
        <v>97</v>
      </c>
      <c r="C3" t="s">
        <v>50</v>
      </c>
      <c r="D3" s="24" t="s">
        <v>14</v>
      </c>
      <c r="E3" s="24" t="s">
        <v>94</v>
      </c>
      <c r="F3" s="24" t="s">
        <v>94</v>
      </c>
      <c r="G3" s="31">
        <v>45665</v>
      </c>
      <c r="H3" s="31">
        <v>45666</v>
      </c>
      <c r="I3" s="32" t="str">
        <f>IF(Tabla1[[#This Row],[COMPLETADO]],"100%")</f>
        <v>100%</v>
      </c>
      <c r="J3" s="35">
        <f>Tabla1[[#This Row],[FIN]]-Tabla1[[#This Row],[INICIO]]</f>
        <v>1</v>
      </c>
      <c r="K3" s="35">
        <f ca="1">IF(AND(Tabla1[[#This Row],[pendiente prueba ]]&lt;0,Tabla1[[#This Row],[PROGRESO]]="implantado"),Tabla1[[#This Row],[COMPLETADO]],Tabla1[[#This Row],[pendiente prueba ]])</f>
        <v>-3</v>
      </c>
      <c r="L3" s="32">
        <f ca="1">Tabla1[[#This Row],[PENDIENTE]]/Tabla1[[#This Row],[COMPLETADO]]</f>
        <v>-3</v>
      </c>
      <c r="M3" s="24" t="str">
        <f>TEXT(Tabla1[[#This Row],[INICIO]],"AAAA")</f>
        <v>2025</v>
      </c>
      <c r="N3" s="33" t="str">
        <f>TEXT(Tabla1[[#This Row],[INICIO]],"MMM")</f>
        <v>ene</v>
      </c>
      <c r="O3" s="24"/>
      <c r="P3" s="24" t="s">
        <v>40</v>
      </c>
      <c r="Q3" s="31">
        <f t="shared" ca="1" si="0"/>
        <v>45669</v>
      </c>
      <c r="R3" s="24">
        <f ca="1">Tabla1[[#This Row],[FIN]]-Tabla1[[#This Row],[fecha hoy ]]</f>
        <v>-3</v>
      </c>
    </row>
    <row r="4" spans="1:18" x14ac:dyDescent="0.25">
      <c r="A4" s="24" t="s">
        <v>44</v>
      </c>
      <c r="B4" s="24" t="s">
        <v>97</v>
      </c>
      <c r="C4" t="s">
        <v>51</v>
      </c>
      <c r="D4" s="24" t="s">
        <v>17</v>
      </c>
      <c r="E4" s="24" t="s">
        <v>94</v>
      </c>
      <c r="F4" s="24" t="s">
        <v>94</v>
      </c>
      <c r="G4" s="31">
        <v>45665</v>
      </c>
      <c r="H4" s="31">
        <v>45667</v>
      </c>
      <c r="I4" s="32" t="str">
        <f>IF(Tabla1[[#This Row],[COMPLETADO]],"100%")</f>
        <v>100%</v>
      </c>
      <c r="J4" s="35">
        <f>Tabla1[[#This Row],[FIN]]-Tabla1[[#This Row],[INICIO]]</f>
        <v>2</v>
      </c>
      <c r="K4" s="35">
        <f ca="1">IF(AND(Tabla1[[#This Row],[pendiente prueba ]]&lt;0,Tabla1[[#This Row],[PROGRESO]]="implantado"),Tabla1[[#This Row],[COMPLETADO]],Tabla1[[#This Row],[pendiente prueba ]])</f>
        <v>-2</v>
      </c>
      <c r="L4" s="32">
        <f ca="1">Tabla1[[#This Row],[PENDIENTE]]/Tabla1[[#This Row],[COMPLETADO]]</f>
        <v>-1</v>
      </c>
      <c r="M4" s="24" t="str">
        <f>TEXT(Tabla1[[#This Row],[INICIO]],"AAAA")</f>
        <v>2025</v>
      </c>
      <c r="N4" s="33" t="str">
        <f>TEXT(Tabla1[[#This Row],[INICIO]],"MMM")</f>
        <v>ene</v>
      </c>
      <c r="O4" s="24"/>
      <c r="P4" s="24" t="s">
        <v>40</v>
      </c>
      <c r="Q4" s="31">
        <f t="shared" ca="1" si="0"/>
        <v>45669</v>
      </c>
      <c r="R4" s="24">
        <f ca="1">Tabla1[[#This Row],[FIN]]-Tabla1[[#This Row],[fecha hoy ]]</f>
        <v>-2</v>
      </c>
    </row>
    <row r="5" spans="1:18" x14ac:dyDescent="0.25">
      <c r="A5" s="24" t="s">
        <v>44</v>
      </c>
      <c r="B5" s="24" t="s">
        <v>97</v>
      </c>
      <c r="C5" t="s">
        <v>52</v>
      </c>
      <c r="D5" s="24" t="s">
        <v>14</v>
      </c>
      <c r="E5" s="24" t="s">
        <v>94</v>
      </c>
      <c r="F5" s="24" t="s">
        <v>94</v>
      </c>
      <c r="G5" s="31">
        <v>45665</v>
      </c>
      <c r="H5" s="31">
        <v>45667</v>
      </c>
      <c r="I5" s="32" t="str">
        <f>IF(Tabla1[[#This Row],[COMPLETADO]],"100%")</f>
        <v>100%</v>
      </c>
      <c r="J5" s="35">
        <f>Tabla1[[#This Row],[FIN]]-Tabla1[[#This Row],[INICIO]]</f>
        <v>2</v>
      </c>
      <c r="K5" s="35">
        <f ca="1">IF(AND(Tabla1[[#This Row],[pendiente prueba ]]&lt;0,Tabla1[[#This Row],[PROGRESO]]="implantado"),Tabla1[[#This Row],[COMPLETADO]],Tabla1[[#This Row],[pendiente prueba ]])</f>
        <v>-2</v>
      </c>
      <c r="L5" s="32">
        <f ca="1">Tabla1[[#This Row],[PENDIENTE]]/Tabla1[[#This Row],[COMPLETADO]]</f>
        <v>-1</v>
      </c>
      <c r="M5" s="24" t="str">
        <f>TEXT(Tabla1[[#This Row],[INICIO]],"AAAA")</f>
        <v>2025</v>
      </c>
      <c r="N5" s="33" t="str">
        <f>TEXT(Tabla1[[#This Row],[INICIO]],"MMM")</f>
        <v>ene</v>
      </c>
      <c r="O5" s="24"/>
      <c r="P5" s="24" t="s">
        <v>40</v>
      </c>
      <c r="Q5" s="31">
        <f t="shared" ca="1" si="0"/>
        <v>45669</v>
      </c>
      <c r="R5" s="24">
        <f ca="1">Tabla1[[#This Row],[FIN]]-Tabla1[[#This Row],[fecha hoy ]]</f>
        <v>-2</v>
      </c>
    </row>
    <row r="6" spans="1:18" x14ac:dyDescent="0.25">
      <c r="A6" s="24" t="s">
        <v>45</v>
      </c>
      <c r="B6" s="24" t="s">
        <v>97</v>
      </c>
      <c r="C6" t="s">
        <v>53</v>
      </c>
      <c r="D6" s="24" t="s">
        <v>14</v>
      </c>
      <c r="E6" s="24" t="s">
        <v>94</v>
      </c>
      <c r="F6" s="24" t="s">
        <v>94</v>
      </c>
      <c r="G6" s="31">
        <v>45665</v>
      </c>
      <c r="H6" s="31">
        <v>45668</v>
      </c>
      <c r="I6" s="32" t="str">
        <f>IF(Tabla1[[#This Row],[COMPLETADO]],"100%")</f>
        <v>100%</v>
      </c>
      <c r="J6" s="35">
        <f>Tabla1[[#This Row],[FIN]]-Tabla1[[#This Row],[INICIO]]</f>
        <v>3</v>
      </c>
      <c r="K6" s="35">
        <f ca="1">IF(AND(Tabla1[[#This Row],[pendiente prueba ]]&lt;0,Tabla1[[#This Row],[PROGRESO]]="implantado"),Tabla1[[#This Row],[COMPLETADO]],Tabla1[[#This Row],[pendiente prueba ]])</f>
        <v>-1</v>
      </c>
      <c r="L6" s="32">
        <f ca="1">Tabla1[[#This Row],[PENDIENTE]]/Tabla1[[#This Row],[COMPLETADO]]</f>
        <v>-0.33333333333333331</v>
      </c>
      <c r="M6" s="24" t="str">
        <f>TEXT(Tabla1[[#This Row],[INICIO]],"AAAA")</f>
        <v>2025</v>
      </c>
      <c r="N6" s="33" t="str">
        <f>TEXT(Tabla1[[#This Row],[INICIO]],"MMM")</f>
        <v>ene</v>
      </c>
      <c r="O6" s="24"/>
      <c r="P6" s="24" t="s">
        <v>40</v>
      </c>
      <c r="Q6" s="31">
        <f t="shared" ca="1" si="0"/>
        <v>45669</v>
      </c>
      <c r="R6" s="24">
        <f ca="1">Tabla1[[#This Row],[FIN]]-Tabla1[[#This Row],[fecha hoy ]]</f>
        <v>-1</v>
      </c>
    </row>
    <row r="7" spans="1:18" x14ac:dyDescent="0.25">
      <c r="A7" s="24" t="s">
        <v>45</v>
      </c>
      <c r="B7" s="24" t="s">
        <v>97</v>
      </c>
      <c r="C7" t="s">
        <v>54</v>
      </c>
      <c r="D7" s="24" t="s">
        <v>14</v>
      </c>
      <c r="E7" s="24" t="s">
        <v>94</v>
      </c>
      <c r="F7" s="24" t="s">
        <v>94</v>
      </c>
      <c r="G7" s="31">
        <v>45665</v>
      </c>
      <c r="H7" s="31">
        <v>45668</v>
      </c>
      <c r="I7" s="32" t="str">
        <f>IF(Tabla1[[#This Row],[COMPLETADO]],"100%")</f>
        <v>100%</v>
      </c>
      <c r="J7" s="35">
        <f>Tabla1[[#This Row],[FIN]]-Tabla1[[#This Row],[INICIO]]</f>
        <v>3</v>
      </c>
      <c r="K7" s="35">
        <f ca="1">IF(AND(Tabla1[[#This Row],[pendiente prueba ]]&lt;0,Tabla1[[#This Row],[PROGRESO]]="implantado"),Tabla1[[#This Row],[COMPLETADO]],Tabla1[[#This Row],[pendiente prueba ]])</f>
        <v>-1</v>
      </c>
      <c r="L7" s="32">
        <f ca="1">Tabla1[[#This Row],[PENDIENTE]]/Tabla1[[#This Row],[COMPLETADO]]</f>
        <v>-0.33333333333333331</v>
      </c>
      <c r="M7" s="24" t="str">
        <f>TEXT(Tabla1[[#This Row],[INICIO]],"AAAA")</f>
        <v>2025</v>
      </c>
      <c r="N7" s="33" t="str">
        <f>TEXT(Tabla1[[#This Row],[INICIO]],"MMM")</f>
        <v>ene</v>
      </c>
      <c r="O7" s="24"/>
      <c r="P7" s="24" t="s">
        <v>40</v>
      </c>
      <c r="Q7" s="31">
        <f t="shared" ca="1" si="0"/>
        <v>45669</v>
      </c>
      <c r="R7" s="24">
        <f ca="1">Tabla1[[#This Row],[FIN]]-Tabla1[[#This Row],[fecha hoy ]]</f>
        <v>-1</v>
      </c>
    </row>
    <row r="8" spans="1:18" x14ac:dyDescent="0.25">
      <c r="A8" s="24" t="s">
        <v>45</v>
      </c>
      <c r="B8" s="24" t="s">
        <v>97</v>
      </c>
      <c r="C8" t="s">
        <v>55</v>
      </c>
      <c r="D8" s="24" t="s">
        <v>14</v>
      </c>
      <c r="E8" s="24" t="s">
        <v>94</v>
      </c>
      <c r="F8" s="24" t="s">
        <v>94</v>
      </c>
      <c r="G8" s="31">
        <v>45665</v>
      </c>
      <c r="H8" s="31">
        <v>45669</v>
      </c>
      <c r="I8" s="32" t="str">
        <f>IF(Tabla1[[#This Row],[COMPLETADO]],"100%")</f>
        <v>100%</v>
      </c>
      <c r="J8" s="35">
        <f>Tabla1[[#This Row],[FIN]]-Tabla1[[#This Row],[INICIO]]</f>
        <v>4</v>
      </c>
      <c r="K8" s="35">
        <f ca="1">IF(AND(Tabla1[[#This Row],[pendiente prueba ]]&lt;0,Tabla1[[#This Row],[PROGRESO]]="implantado"),Tabla1[[#This Row],[COMPLETADO]],Tabla1[[#This Row],[pendiente prueba ]])</f>
        <v>0</v>
      </c>
      <c r="L8" s="32">
        <f ca="1">Tabla1[[#This Row],[PENDIENTE]]/Tabla1[[#This Row],[COMPLETADO]]</f>
        <v>0</v>
      </c>
      <c r="M8" s="24" t="str">
        <f>TEXT(Tabla1[[#This Row],[INICIO]],"AAAA")</f>
        <v>2025</v>
      </c>
      <c r="N8" s="33" t="str">
        <f>TEXT(Tabla1[[#This Row],[INICIO]],"MMM")</f>
        <v>ene</v>
      </c>
      <c r="O8" s="24"/>
      <c r="P8" s="24" t="s">
        <v>40</v>
      </c>
      <c r="Q8" s="31">
        <f t="shared" ca="1" si="0"/>
        <v>45669</v>
      </c>
      <c r="R8" s="24">
        <f ca="1">Tabla1[[#This Row],[FIN]]-Tabla1[[#This Row],[fecha hoy ]]</f>
        <v>0</v>
      </c>
    </row>
    <row r="9" spans="1:18" x14ac:dyDescent="0.25">
      <c r="A9" s="24" t="s">
        <v>45</v>
      </c>
      <c r="B9" s="24" t="s">
        <v>97</v>
      </c>
      <c r="C9" t="s">
        <v>56</v>
      </c>
      <c r="D9" s="24" t="s">
        <v>14</v>
      </c>
      <c r="E9" s="24" t="s">
        <v>94</v>
      </c>
      <c r="F9" s="24" t="s">
        <v>94</v>
      </c>
      <c r="G9" s="31">
        <v>45665</v>
      </c>
      <c r="H9" s="31">
        <v>45669</v>
      </c>
      <c r="I9" s="32" t="str">
        <f>IF(Tabla1[[#This Row],[COMPLETADO]],"100%")</f>
        <v>100%</v>
      </c>
      <c r="J9" s="35">
        <f>Tabla1[[#This Row],[FIN]]-Tabla1[[#This Row],[INICIO]]</f>
        <v>4</v>
      </c>
      <c r="K9" s="35">
        <f ca="1">IF(AND(Tabla1[[#This Row],[pendiente prueba ]]&lt;0,Tabla1[[#This Row],[PROGRESO]]="implantado"),Tabla1[[#This Row],[COMPLETADO]],Tabla1[[#This Row],[pendiente prueba ]])</f>
        <v>0</v>
      </c>
      <c r="L9" s="32">
        <f ca="1">Tabla1[[#This Row],[PENDIENTE]]/Tabla1[[#This Row],[COMPLETADO]]</f>
        <v>0</v>
      </c>
      <c r="M9" s="24" t="str">
        <f>TEXT(Tabla1[[#This Row],[INICIO]],"AAAA")</f>
        <v>2025</v>
      </c>
      <c r="N9" s="33" t="str">
        <f>TEXT(Tabla1[[#This Row],[INICIO]],"MMM")</f>
        <v>ene</v>
      </c>
      <c r="O9" s="24"/>
      <c r="P9" s="24" t="s">
        <v>40</v>
      </c>
      <c r="Q9" s="31">
        <f t="shared" ca="1" si="0"/>
        <v>45669</v>
      </c>
      <c r="R9" s="24">
        <f ca="1">Tabla1[[#This Row],[FIN]]-Tabla1[[#This Row],[fecha hoy ]]</f>
        <v>0</v>
      </c>
    </row>
    <row r="10" spans="1:18" x14ac:dyDescent="0.25">
      <c r="A10" s="24" t="s">
        <v>45</v>
      </c>
      <c r="B10" s="24" t="s">
        <v>97</v>
      </c>
      <c r="C10" t="s">
        <v>57</v>
      </c>
      <c r="D10" s="24" t="s">
        <v>14</v>
      </c>
      <c r="E10" s="24" t="s">
        <v>94</v>
      </c>
      <c r="F10" s="24" t="s">
        <v>94</v>
      </c>
      <c r="G10" s="31">
        <v>45665</v>
      </c>
      <c r="H10" s="31">
        <v>45669</v>
      </c>
      <c r="I10" s="32" t="str">
        <f>IF(Tabla1[[#This Row],[COMPLETADO]],"100%")</f>
        <v>100%</v>
      </c>
      <c r="J10" s="35">
        <f>Tabla1[[#This Row],[FIN]]-Tabla1[[#This Row],[INICIO]]</f>
        <v>4</v>
      </c>
      <c r="K10" s="35">
        <f ca="1">IF(AND(Tabla1[[#This Row],[pendiente prueba ]]&lt;0,Tabla1[[#This Row],[PROGRESO]]="implantado"),Tabla1[[#This Row],[COMPLETADO]],Tabla1[[#This Row],[pendiente prueba ]])</f>
        <v>0</v>
      </c>
      <c r="L10" s="32">
        <f ca="1">Tabla1[[#This Row],[PENDIENTE]]/Tabla1[[#This Row],[COMPLETADO]]</f>
        <v>0</v>
      </c>
      <c r="M10" s="24" t="str">
        <f>TEXT(Tabla1[[#This Row],[INICIO]],"AAAA")</f>
        <v>2025</v>
      </c>
      <c r="N10" s="33" t="str">
        <f>TEXT(Tabla1[[#This Row],[INICIO]],"MMM")</f>
        <v>ene</v>
      </c>
      <c r="O10" s="24"/>
      <c r="P10" s="24" t="s">
        <v>40</v>
      </c>
      <c r="Q10" s="31">
        <f t="shared" ca="1" si="0"/>
        <v>45669</v>
      </c>
      <c r="R10" s="24">
        <f ca="1">Tabla1[[#This Row],[FIN]]-Tabla1[[#This Row],[fecha hoy ]]</f>
        <v>0</v>
      </c>
    </row>
    <row r="11" spans="1:18" x14ac:dyDescent="0.25">
      <c r="A11" s="24" t="s">
        <v>45</v>
      </c>
      <c r="B11" s="24" t="s">
        <v>97</v>
      </c>
      <c r="C11" t="s">
        <v>58</v>
      </c>
      <c r="D11" s="24" t="s">
        <v>14</v>
      </c>
      <c r="E11" s="24" t="s">
        <v>94</v>
      </c>
      <c r="F11" s="24" t="s">
        <v>94</v>
      </c>
      <c r="G11" s="31">
        <v>45665</v>
      </c>
      <c r="H11" s="31">
        <v>45669</v>
      </c>
      <c r="I11" s="32" t="str">
        <f>IF(Tabla1[[#This Row],[COMPLETADO]],"100%")</f>
        <v>100%</v>
      </c>
      <c r="J11" s="35">
        <f>Tabla1[[#This Row],[FIN]]-Tabla1[[#This Row],[INICIO]]</f>
        <v>4</v>
      </c>
      <c r="K11" s="35">
        <f ca="1">IF(AND(Tabla1[[#This Row],[pendiente prueba ]]&lt;0,Tabla1[[#This Row],[PROGRESO]]="implantado"),Tabla1[[#This Row],[COMPLETADO]],Tabla1[[#This Row],[pendiente prueba ]])</f>
        <v>0</v>
      </c>
      <c r="L11" s="32">
        <f ca="1">Tabla1[[#This Row],[PENDIENTE]]/Tabla1[[#This Row],[COMPLETADO]]</f>
        <v>0</v>
      </c>
      <c r="M11" s="24" t="str">
        <f>TEXT(Tabla1[[#This Row],[INICIO]],"AAAA")</f>
        <v>2025</v>
      </c>
      <c r="N11" s="33" t="str">
        <f>TEXT(Tabla1[[#This Row],[INICIO]],"MMM")</f>
        <v>ene</v>
      </c>
      <c r="O11" s="24"/>
      <c r="P11" s="24" t="s">
        <v>40</v>
      </c>
      <c r="Q11" s="31">
        <f t="shared" ca="1" si="0"/>
        <v>45669</v>
      </c>
      <c r="R11" s="24">
        <f ca="1">Tabla1[[#This Row],[FIN]]-Tabla1[[#This Row],[fecha hoy ]]</f>
        <v>0</v>
      </c>
    </row>
    <row r="12" spans="1:18" x14ac:dyDescent="0.25">
      <c r="A12" s="24" t="s">
        <v>45</v>
      </c>
      <c r="B12" s="24" t="s">
        <v>97</v>
      </c>
      <c r="C12" t="s">
        <v>59</v>
      </c>
      <c r="D12" s="24" t="s">
        <v>14</v>
      </c>
      <c r="E12" s="24" t="s">
        <v>94</v>
      </c>
      <c r="F12" s="24" t="s">
        <v>94</v>
      </c>
      <c r="G12" s="31">
        <v>45665</v>
      </c>
      <c r="H12" s="31">
        <v>45669</v>
      </c>
      <c r="I12" s="32" t="str">
        <f>IF(Tabla1[[#This Row],[COMPLETADO]],"100%")</f>
        <v>100%</v>
      </c>
      <c r="J12" s="35">
        <f>Tabla1[[#This Row],[FIN]]-Tabla1[[#This Row],[INICIO]]</f>
        <v>4</v>
      </c>
      <c r="K12" s="35">
        <f ca="1">IF(AND(Tabla1[[#This Row],[pendiente prueba ]]&lt;0,Tabla1[[#This Row],[PROGRESO]]="implantado"),Tabla1[[#This Row],[COMPLETADO]],Tabla1[[#This Row],[pendiente prueba ]])</f>
        <v>0</v>
      </c>
      <c r="L12" s="32">
        <f ca="1">Tabla1[[#This Row],[PENDIENTE]]/Tabla1[[#This Row],[COMPLETADO]]</f>
        <v>0</v>
      </c>
      <c r="M12" s="24" t="str">
        <f>TEXT(Tabla1[[#This Row],[INICIO]],"AAAA")</f>
        <v>2025</v>
      </c>
      <c r="N12" s="33" t="str">
        <f>TEXT(Tabla1[[#This Row],[INICIO]],"MMM")</f>
        <v>ene</v>
      </c>
      <c r="O12" s="24"/>
      <c r="P12" s="24" t="s">
        <v>40</v>
      </c>
      <c r="Q12" s="31">
        <f t="shared" ca="1" si="0"/>
        <v>45669</v>
      </c>
      <c r="R12" s="24">
        <f ca="1">Tabla1[[#This Row],[FIN]]-Tabla1[[#This Row],[fecha hoy ]]</f>
        <v>0</v>
      </c>
    </row>
    <row r="13" spans="1:18" x14ac:dyDescent="0.25">
      <c r="A13" s="24" t="s">
        <v>45</v>
      </c>
      <c r="B13" s="24" t="s">
        <v>97</v>
      </c>
      <c r="C13" t="s">
        <v>60</v>
      </c>
      <c r="D13" s="24" t="s">
        <v>14</v>
      </c>
      <c r="E13" s="24" t="s">
        <v>94</v>
      </c>
      <c r="F13" s="24" t="s">
        <v>94</v>
      </c>
      <c r="G13" s="31">
        <v>45665</v>
      </c>
      <c r="H13" s="31">
        <v>45669</v>
      </c>
      <c r="I13" s="32" t="str">
        <f>IF(Tabla1[[#This Row],[COMPLETADO]],"100%")</f>
        <v>100%</v>
      </c>
      <c r="J13" s="35">
        <f>Tabla1[[#This Row],[FIN]]-Tabla1[[#This Row],[INICIO]]</f>
        <v>4</v>
      </c>
      <c r="K13" s="35">
        <f ca="1">IF(AND(Tabla1[[#This Row],[pendiente prueba ]]&lt;0,Tabla1[[#This Row],[PROGRESO]]="implantado"),Tabla1[[#This Row],[COMPLETADO]],Tabla1[[#This Row],[pendiente prueba ]])</f>
        <v>0</v>
      </c>
      <c r="L13" s="32">
        <f ca="1">Tabla1[[#This Row],[PENDIENTE]]/Tabla1[[#This Row],[COMPLETADO]]</f>
        <v>0</v>
      </c>
      <c r="M13" s="24" t="str">
        <f>TEXT(Tabla1[[#This Row],[INICIO]],"AAAA")</f>
        <v>2025</v>
      </c>
      <c r="N13" s="33" t="str">
        <f>TEXT(Tabla1[[#This Row],[INICIO]],"MMM")</f>
        <v>ene</v>
      </c>
      <c r="O13" s="24"/>
      <c r="P13" s="24" t="s">
        <v>40</v>
      </c>
      <c r="Q13" s="31">
        <f t="shared" ca="1" si="0"/>
        <v>45669</v>
      </c>
      <c r="R13" s="24">
        <f ca="1">Tabla1[[#This Row],[FIN]]-Tabla1[[#This Row],[fecha hoy ]]</f>
        <v>0</v>
      </c>
    </row>
    <row r="14" spans="1:18" x14ac:dyDescent="0.25">
      <c r="A14" s="24" t="s">
        <v>45</v>
      </c>
      <c r="B14" s="24" t="s">
        <v>97</v>
      </c>
      <c r="C14" t="s">
        <v>61</v>
      </c>
      <c r="D14" s="24" t="s">
        <v>16</v>
      </c>
      <c r="E14" s="24" t="s">
        <v>94</v>
      </c>
      <c r="F14" s="24" t="s">
        <v>94</v>
      </c>
      <c r="G14" s="31">
        <v>45665</v>
      </c>
      <c r="H14" s="31">
        <v>45669</v>
      </c>
      <c r="I14" s="32" t="str">
        <f>IF(Tabla1[[#This Row],[COMPLETADO]],"100%")</f>
        <v>100%</v>
      </c>
      <c r="J14" s="35">
        <f>Tabla1[[#This Row],[FIN]]-Tabla1[[#This Row],[INICIO]]</f>
        <v>4</v>
      </c>
      <c r="K14" s="35">
        <f ca="1">IF(AND(Tabla1[[#This Row],[pendiente prueba ]]&lt;0,Tabla1[[#This Row],[PROGRESO]]="implantado"),Tabla1[[#This Row],[COMPLETADO]],Tabla1[[#This Row],[pendiente prueba ]])</f>
        <v>0</v>
      </c>
      <c r="L14" s="32">
        <f ca="1">Tabla1[[#This Row],[PENDIENTE]]/Tabla1[[#This Row],[COMPLETADO]]</f>
        <v>0</v>
      </c>
      <c r="M14" s="24" t="str">
        <f>TEXT(Tabla1[[#This Row],[INICIO]],"AAAA")</f>
        <v>2025</v>
      </c>
      <c r="N14" s="33" t="str">
        <f>TEXT(Tabla1[[#This Row],[INICIO]],"MMM")</f>
        <v>ene</v>
      </c>
      <c r="O14" s="24"/>
      <c r="P14" s="24" t="s">
        <v>40</v>
      </c>
      <c r="Q14" s="31">
        <f t="shared" ca="1" si="0"/>
        <v>45669</v>
      </c>
      <c r="R14" s="24">
        <f ca="1">Tabla1[[#This Row],[FIN]]-Tabla1[[#This Row],[fecha hoy ]]</f>
        <v>0</v>
      </c>
    </row>
    <row r="15" spans="1:18" x14ac:dyDescent="0.25">
      <c r="A15" s="24" t="s">
        <v>48</v>
      </c>
      <c r="B15" s="24" t="s">
        <v>97</v>
      </c>
      <c r="C15" t="s">
        <v>62</v>
      </c>
      <c r="D15" s="24" t="s">
        <v>14</v>
      </c>
      <c r="E15" s="24" t="s">
        <v>94</v>
      </c>
      <c r="F15" s="24" t="s">
        <v>94</v>
      </c>
      <c r="G15" s="31">
        <v>45665</v>
      </c>
      <c r="H15" s="31">
        <v>45669</v>
      </c>
      <c r="I15" s="32" t="str">
        <f>IF(Tabla1[[#This Row],[COMPLETADO]],"100%")</f>
        <v>100%</v>
      </c>
      <c r="J15" s="35">
        <f>Tabla1[[#This Row],[FIN]]-Tabla1[[#This Row],[INICIO]]</f>
        <v>4</v>
      </c>
      <c r="K15" s="35">
        <f ca="1">IF(AND(Tabla1[[#This Row],[pendiente prueba ]]&lt;0,Tabla1[[#This Row],[PROGRESO]]="implantado"),Tabla1[[#This Row],[COMPLETADO]],Tabla1[[#This Row],[pendiente prueba ]])</f>
        <v>0</v>
      </c>
      <c r="L15" s="32">
        <f ca="1">Tabla1[[#This Row],[PENDIENTE]]/Tabla1[[#This Row],[COMPLETADO]]</f>
        <v>0</v>
      </c>
      <c r="M15" s="24" t="str">
        <f>TEXT(Tabla1[[#This Row],[INICIO]],"AAAA")</f>
        <v>2025</v>
      </c>
      <c r="N15" s="33" t="str">
        <f>TEXT(Tabla1[[#This Row],[INICIO]],"MMM")</f>
        <v>ene</v>
      </c>
      <c r="O15" s="24"/>
      <c r="P15" s="24" t="s">
        <v>40</v>
      </c>
      <c r="Q15" s="31">
        <f t="shared" ca="1" si="0"/>
        <v>45669</v>
      </c>
      <c r="R15" s="24">
        <f ca="1">Tabla1[[#This Row],[FIN]]-Tabla1[[#This Row],[fecha hoy ]]</f>
        <v>0</v>
      </c>
    </row>
    <row r="16" spans="1:18" ht="15.75" x14ac:dyDescent="0.3">
      <c r="A16" s="24" t="s">
        <v>48</v>
      </c>
      <c r="B16" s="24" t="s">
        <v>97</v>
      </c>
      <c r="C16" t="s">
        <v>63</v>
      </c>
      <c r="D16" s="24" t="s">
        <v>16</v>
      </c>
      <c r="E16" s="24" t="s">
        <v>94</v>
      </c>
      <c r="F16" s="24" t="s">
        <v>94</v>
      </c>
      <c r="G16" s="31">
        <v>45665</v>
      </c>
      <c r="H16" s="31">
        <v>45669</v>
      </c>
      <c r="I16" s="32" t="str">
        <f>IF(Tabla1[[#This Row],[COMPLETADO]],"100%")</f>
        <v>100%</v>
      </c>
      <c r="J16" s="35">
        <f>Tabla1[[#This Row],[FIN]]-Tabla1[[#This Row],[INICIO]]</f>
        <v>4</v>
      </c>
      <c r="K16" s="35">
        <f ca="1">IF(AND(Tabla1[[#This Row],[pendiente prueba ]]&lt;0,Tabla1[[#This Row],[PROGRESO]]="implantado"),Tabla1[[#This Row],[COMPLETADO]],Tabla1[[#This Row],[pendiente prueba ]])</f>
        <v>0</v>
      </c>
      <c r="L16" s="32">
        <f ca="1">Tabla1[[#This Row],[PENDIENTE]]/Tabla1[[#This Row],[COMPLETADO]]</f>
        <v>0</v>
      </c>
      <c r="M16" s="24" t="str">
        <f>TEXT(Tabla1[[#This Row],[INICIO]],"AAAA")</f>
        <v>2025</v>
      </c>
      <c r="N16" s="33" t="str">
        <f>TEXT(Tabla1[[#This Row],[INICIO]],"MMM")</f>
        <v>ene</v>
      </c>
      <c r="O16" s="24"/>
      <c r="P16" s="24" t="s">
        <v>40</v>
      </c>
      <c r="Q16" s="31">
        <f t="shared" ca="1" si="0"/>
        <v>45669</v>
      </c>
      <c r="R16" s="24">
        <f ca="1">Tabla1[[#This Row],[FIN]]-Tabla1[[#This Row],[fecha hoy ]]</f>
        <v>0</v>
      </c>
    </row>
    <row r="17" spans="1:18" ht="15.75" x14ac:dyDescent="0.3">
      <c r="A17" s="24" t="s">
        <v>48</v>
      </c>
      <c r="B17" s="24" t="s">
        <v>97</v>
      </c>
      <c r="C17" t="s">
        <v>63</v>
      </c>
      <c r="D17" s="24" t="s">
        <v>14</v>
      </c>
      <c r="E17" s="24" t="s">
        <v>94</v>
      </c>
      <c r="F17" s="24" t="s">
        <v>94</v>
      </c>
      <c r="G17" s="31">
        <v>45665</v>
      </c>
      <c r="H17" s="31">
        <v>45669</v>
      </c>
      <c r="I17" s="32" t="str">
        <f>IF(Tabla1[[#This Row],[COMPLETADO]],"100%")</f>
        <v>100%</v>
      </c>
      <c r="J17" s="35">
        <f>Tabla1[[#This Row],[FIN]]-Tabla1[[#This Row],[INICIO]]</f>
        <v>4</v>
      </c>
      <c r="K17" s="35">
        <f ca="1">IF(AND(Tabla1[[#This Row],[pendiente prueba ]]&lt;0,Tabla1[[#This Row],[PROGRESO]]="implantado"),Tabla1[[#This Row],[COMPLETADO]],Tabla1[[#This Row],[pendiente prueba ]])</f>
        <v>0</v>
      </c>
      <c r="L17" s="32">
        <f ca="1">Tabla1[[#This Row],[PENDIENTE]]/Tabla1[[#This Row],[COMPLETADO]]</f>
        <v>0</v>
      </c>
      <c r="M17" s="24" t="str">
        <f>TEXT(Tabla1[[#This Row],[INICIO]],"AAAA")</f>
        <v>2025</v>
      </c>
      <c r="N17" s="33" t="str">
        <f>TEXT(Tabla1[[#This Row],[INICIO]],"MMM")</f>
        <v>ene</v>
      </c>
      <c r="O17" s="24"/>
      <c r="P17" s="24" t="s">
        <v>40</v>
      </c>
      <c r="Q17" s="31">
        <f t="shared" ca="1" si="0"/>
        <v>45669</v>
      </c>
      <c r="R17" s="24">
        <f ca="1">Tabla1[[#This Row],[FIN]]-Tabla1[[#This Row],[fecha hoy ]]</f>
        <v>0</v>
      </c>
    </row>
    <row r="18" spans="1:18" ht="15.75" x14ac:dyDescent="0.3">
      <c r="A18" s="24" t="s">
        <v>48</v>
      </c>
      <c r="B18" s="24" t="s">
        <v>97</v>
      </c>
      <c r="C18" t="s">
        <v>64</v>
      </c>
      <c r="D18" s="24" t="s">
        <v>14</v>
      </c>
      <c r="E18" s="24" t="s">
        <v>95</v>
      </c>
      <c r="F18" s="24" t="s">
        <v>95</v>
      </c>
      <c r="G18" s="31">
        <v>45665</v>
      </c>
      <c r="H18" s="31">
        <v>45669</v>
      </c>
      <c r="I18" s="32" t="str">
        <f>IF(Tabla1[[#This Row],[COMPLETADO]],"100%")</f>
        <v>100%</v>
      </c>
      <c r="J18" s="35">
        <f>Tabla1[[#This Row],[FIN]]-Tabla1[[#This Row],[INICIO]]</f>
        <v>4</v>
      </c>
      <c r="K18" s="35">
        <f ca="1">IF(AND(Tabla1[[#This Row],[pendiente prueba ]]&lt;0,Tabla1[[#This Row],[PROGRESO]]="implantado"),Tabla1[[#This Row],[COMPLETADO]],Tabla1[[#This Row],[pendiente prueba ]])</f>
        <v>0</v>
      </c>
      <c r="L18" s="32">
        <f ca="1">Tabla1[[#This Row],[PENDIENTE]]/Tabla1[[#This Row],[COMPLETADO]]</f>
        <v>0</v>
      </c>
      <c r="M18" s="24" t="str">
        <f>TEXT(Tabla1[[#This Row],[INICIO]],"AAAA")</f>
        <v>2025</v>
      </c>
      <c r="N18" s="33" t="str">
        <f>TEXT(Tabla1[[#This Row],[INICIO]],"MMM")</f>
        <v>ene</v>
      </c>
      <c r="O18" s="24"/>
      <c r="P18" s="24" t="s">
        <v>40</v>
      </c>
      <c r="Q18" s="31">
        <f t="shared" ca="1" si="0"/>
        <v>45669</v>
      </c>
      <c r="R18" s="24">
        <f ca="1">Tabla1[[#This Row],[FIN]]-Tabla1[[#This Row],[fecha hoy ]]</f>
        <v>0</v>
      </c>
    </row>
    <row r="19" spans="1:18" x14ac:dyDescent="0.25">
      <c r="A19" s="24" t="s">
        <v>48</v>
      </c>
      <c r="B19" s="24" t="s">
        <v>97</v>
      </c>
      <c r="C19" t="s">
        <v>65</v>
      </c>
      <c r="D19" s="24" t="s">
        <v>14</v>
      </c>
      <c r="E19" s="24" t="s">
        <v>95</v>
      </c>
      <c r="F19" s="24" t="s">
        <v>95</v>
      </c>
      <c r="G19" s="31">
        <v>45665</v>
      </c>
      <c r="H19" s="31">
        <v>45669</v>
      </c>
      <c r="I19" s="32" t="str">
        <f>IF(Tabla1[[#This Row],[COMPLETADO]],"100%")</f>
        <v>100%</v>
      </c>
      <c r="J19" s="35">
        <f>Tabla1[[#This Row],[FIN]]-Tabla1[[#This Row],[INICIO]]</f>
        <v>4</v>
      </c>
      <c r="K19" s="35">
        <f ca="1">IF(AND(Tabla1[[#This Row],[pendiente prueba ]]&lt;0,Tabla1[[#This Row],[PROGRESO]]="implantado"),Tabla1[[#This Row],[COMPLETADO]],Tabla1[[#This Row],[pendiente prueba ]])</f>
        <v>0</v>
      </c>
      <c r="L19" s="32">
        <f ca="1">Tabla1[[#This Row],[PENDIENTE]]/Tabla1[[#This Row],[COMPLETADO]]</f>
        <v>0</v>
      </c>
      <c r="M19" s="24" t="str">
        <f>TEXT(Tabla1[[#This Row],[INICIO]],"AAAA")</f>
        <v>2025</v>
      </c>
      <c r="N19" s="33" t="str">
        <f>TEXT(Tabla1[[#This Row],[INICIO]],"MMM")</f>
        <v>ene</v>
      </c>
      <c r="O19" s="24"/>
      <c r="P19" s="24" t="s">
        <v>40</v>
      </c>
      <c r="Q19" s="31">
        <f t="shared" ca="1" si="0"/>
        <v>45669</v>
      </c>
      <c r="R19" s="24">
        <f ca="1">Tabla1[[#This Row],[FIN]]-Tabla1[[#This Row],[fecha hoy ]]</f>
        <v>0</v>
      </c>
    </row>
    <row r="20" spans="1:18" x14ac:dyDescent="0.25">
      <c r="A20" s="24" t="s">
        <v>48</v>
      </c>
      <c r="B20" s="24" t="s">
        <v>97</v>
      </c>
      <c r="C20" s="24" t="s">
        <v>66</v>
      </c>
      <c r="D20" s="24" t="s">
        <v>17</v>
      </c>
      <c r="E20" s="24" t="s">
        <v>95</v>
      </c>
      <c r="F20" s="24" t="s">
        <v>95</v>
      </c>
      <c r="G20" s="31">
        <v>45665</v>
      </c>
      <c r="H20" s="31">
        <v>45669</v>
      </c>
      <c r="I20" s="32" t="str">
        <f>IF(Tabla1[[#This Row],[COMPLETADO]],"100%")</f>
        <v>100%</v>
      </c>
      <c r="J20" s="35">
        <f>Tabla1[[#This Row],[FIN]]-Tabla1[[#This Row],[INICIO]]</f>
        <v>4</v>
      </c>
      <c r="K20" s="35">
        <f ca="1">IF(AND(Tabla1[[#This Row],[pendiente prueba ]]&lt;0,Tabla1[[#This Row],[PROGRESO]]="implantado"),Tabla1[[#This Row],[COMPLETADO]],Tabla1[[#This Row],[pendiente prueba ]])</f>
        <v>0</v>
      </c>
      <c r="L20" s="32">
        <f ca="1">Tabla1[[#This Row],[PENDIENTE]]/Tabla1[[#This Row],[COMPLETADO]]</f>
        <v>0</v>
      </c>
      <c r="M20" s="24" t="str">
        <f>TEXT(Tabla1[[#This Row],[INICIO]],"AAAA")</f>
        <v>2025</v>
      </c>
      <c r="N20" s="33" t="str">
        <f>TEXT(Tabla1[[#This Row],[INICIO]],"MMM")</f>
        <v>ene</v>
      </c>
      <c r="O20" s="24"/>
      <c r="P20" s="24" t="s">
        <v>40</v>
      </c>
      <c r="Q20" s="31">
        <f t="shared" ca="1" si="0"/>
        <v>45669</v>
      </c>
      <c r="R20" s="24">
        <f ca="1">Tabla1[[#This Row],[FIN]]-Tabla1[[#This Row],[fecha hoy ]]</f>
        <v>0</v>
      </c>
    </row>
    <row r="21" spans="1:18" x14ac:dyDescent="0.25">
      <c r="A21" s="24" t="s">
        <v>48</v>
      </c>
      <c r="B21" s="24" t="s">
        <v>97</v>
      </c>
      <c r="C21" s="24" t="s">
        <v>67</v>
      </c>
      <c r="D21" s="24" t="s">
        <v>14</v>
      </c>
      <c r="E21" s="24" t="s">
        <v>95</v>
      </c>
      <c r="F21" s="24" t="s">
        <v>95</v>
      </c>
      <c r="G21" s="31">
        <v>45665</v>
      </c>
      <c r="H21" s="31">
        <v>45669</v>
      </c>
      <c r="I21" s="32" t="str">
        <f>IF(Tabla1[[#This Row],[COMPLETADO]],"100%")</f>
        <v>100%</v>
      </c>
      <c r="J21" s="35">
        <f>Tabla1[[#This Row],[FIN]]-Tabla1[[#This Row],[INICIO]]</f>
        <v>4</v>
      </c>
      <c r="K21" s="35">
        <f ca="1">IF(AND(Tabla1[[#This Row],[pendiente prueba ]]&lt;0,Tabla1[[#This Row],[PROGRESO]]="implantado"),Tabla1[[#This Row],[COMPLETADO]],Tabla1[[#This Row],[pendiente prueba ]])</f>
        <v>0</v>
      </c>
      <c r="L21" s="32">
        <f ca="1">Tabla1[[#This Row],[PENDIENTE]]/Tabla1[[#This Row],[COMPLETADO]]</f>
        <v>0</v>
      </c>
      <c r="M21" s="24" t="str">
        <f>TEXT(Tabla1[[#This Row],[INICIO]],"AAAA")</f>
        <v>2025</v>
      </c>
      <c r="N21" s="33" t="str">
        <f>TEXT(Tabla1[[#This Row],[INICIO]],"MMM")</f>
        <v>ene</v>
      </c>
      <c r="O21" s="24"/>
      <c r="P21" s="24" t="s">
        <v>40</v>
      </c>
      <c r="Q21" s="31">
        <f t="shared" ca="1" si="0"/>
        <v>45669</v>
      </c>
      <c r="R21" s="24">
        <f ca="1">Tabla1[[#This Row],[FIN]]-Tabla1[[#This Row],[fecha hoy ]]</f>
        <v>0</v>
      </c>
    </row>
    <row r="22" spans="1:18" x14ac:dyDescent="0.25">
      <c r="A22" s="24" t="s">
        <v>48</v>
      </c>
      <c r="B22" s="24" t="s">
        <v>97</v>
      </c>
      <c r="C22" s="24" t="s">
        <v>68</v>
      </c>
      <c r="D22" s="24" t="s">
        <v>14</v>
      </c>
      <c r="E22" s="24" t="s">
        <v>95</v>
      </c>
      <c r="F22" s="24" t="s">
        <v>95</v>
      </c>
      <c r="G22" s="31">
        <v>45665</v>
      </c>
      <c r="H22" s="31">
        <v>45669</v>
      </c>
      <c r="I22" s="32" t="str">
        <f>IF(Tabla1[[#This Row],[COMPLETADO]],"100%")</f>
        <v>100%</v>
      </c>
      <c r="J22" s="35">
        <f>Tabla1[[#This Row],[FIN]]-Tabla1[[#This Row],[INICIO]]</f>
        <v>4</v>
      </c>
      <c r="K22" s="35">
        <f ca="1">IF(AND(Tabla1[[#This Row],[pendiente prueba ]]&lt;0,Tabla1[[#This Row],[PROGRESO]]="implantado"),Tabla1[[#This Row],[COMPLETADO]],Tabla1[[#This Row],[pendiente prueba ]])</f>
        <v>0</v>
      </c>
      <c r="L22" s="32">
        <f ca="1">Tabla1[[#This Row],[PENDIENTE]]/Tabla1[[#This Row],[COMPLETADO]]</f>
        <v>0</v>
      </c>
      <c r="M22" s="24" t="str">
        <f>TEXT(Tabla1[[#This Row],[INICIO]],"AAAA")</f>
        <v>2025</v>
      </c>
      <c r="N22" s="33" t="str">
        <f>TEXT(Tabla1[[#This Row],[INICIO]],"MMM")</f>
        <v>ene</v>
      </c>
      <c r="O22" s="24"/>
      <c r="P22" s="24" t="s">
        <v>40</v>
      </c>
      <c r="Q22" s="31">
        <f t="shared" ca="1" si="0"/>
        <v>45669</v>
      </c>
      <c r="R22" s="24">
        <f ca="1">Tabla1[[#This Row],[FIN]]-Tabla1[[#This Row],[fecha hoy ]]</f>
        <v>0</v>
      </c>
    </row>
    <row r="23" spans="1:18" x14ac:dyDescent="0.25">
      <c r="A23" s="24" t="s">
        <v>48</v>
      </c>
      <c r="B23" s="24" t="s">
        <v>97</v>
      </c>
      <c r="C23" s="24" t="s">
        <v>69</v>
      </c>
      <c r="D23" s="24" t="s">
        <v>14</v>
      </c>
      <c r="E23" s="24" t="s">
        <v>95</v>
      </c>
      <c r="F23" s="24" t="s">
        <v>95</v>
      </c>
      <c r="G23" s="31">
        <v>45665</v>
      </c>
      <c r="H23" s="31">
        <v>45669</v>
      </c>
      <c r="I23" s="32" t="str">
        <f>IF(Tabla1[[#This Row],[COMPLETADO]],"100%")</f>
        <v>100%</v>
      </c>
      <c r="J23" s="35">
        <f>Tabla1[[#This Row],[FIN]]-Tabla1[[#This Row],[INICIO]]</f>
        <v>4</v>
      </c>
      <c r="K23" s="35">
        <f ca="1">IF(AND(Tabla1[[#This Row],[pendiente prueba ]]&lt;0,Tabla1[[#This Row],[PROGRESO]]="implantado"),Tabla1[[#This Row],[COMPLETADO]],Tabla1[[#This Row],[pendiente prueba ]])</f>
        <v>0</v>
      </c>
      <c r="L23" s="32">
        <f ca="1">Tabla1[[#This Row],[PENDIENTE]]/Tabla1[[#This Row],[COMPLETADO]]</f>
        <v>0</v>
      </c>
      <c r="M23" s="24" t="str">
        <f>TEXT(Tabla1[[#This Row],[INICIO]],"AAAA")</f>
        <v>2025</v>
      </c>
      <c r="N23" s="33" t="str">
        <f>TEXT(Tabla1[[#This Row],[INICIO]],"MMM")</f>
        <v>ene</v>
      </c>
      <c r="O23" s="24"/>
      <c r="P23" s="24" t="s">
        <v>40</v>
      </c>
      <c r="Q23" s="31">
        <f t="shared" ca="1" si="0"/>
        <v>45669</v>
      </c>
      <c r="R23" s="24">
        <f ca="1">Tabla1[[#This Row],[FIN]]-Tabla1[[#This Row],[fecha hoy ]]</f>
        <v>0</v>
      </c>
    </row>
    <row r="24" spans="1:18" x14ac:dyDescent="0.25">
      <c r="A24" s="24" t="s">
        <v>48</v>
      </c>
      <c r="B24" s="24" t="s">
        <v>97</v>
      </c>
      <c r="C24" s="24" t="s">
        <v>70</v>
      </c>
      <c r="D24" s="24" t="s">
        <v>14</v>
      </c>
      <c r="E24" s="24" t="s">
        <v>95</v>
      </c>
      <c r="F24" s="24" t="s">
        <v>95</v>
      </c>
      <c r="G24" s="31">
        <v>45665</v>
      </c>
      <c r="H24" s="31">
        <v>45669</v>
      </c>
      <c r="I24" s="32" t="str">
        <f>IF(Tabla1[[#This Row],[COMPLETADO]],"100%")</f>
        <v>100%</v>
      </c>
      <c r="J24" s="35">
        <f>Tabla1[[#This Row],[FIN]]-Tabla1[[#This Row],[INICIO]]</f>
        <v>4</v>
      </c>
      <c r="K24" s="35">
        <f ca="1">IF(AND(Tabla1[[#This Row],[pendiente prueba ]]&lt;0,Tabla1[[#This Row],[PROGRESO]]="implantado"),Tabla1[[#This Row],[COMPLETADO]],Tabla1[[#This Row],[pendiente prueba ]])</f>
        <v>0</v>
      </c>
      <c r="L24" s="32">
        <f ca="1">Tabla1[[#This Row],[PENDIENTE]]/Tabla1[[#This Row],[COMPLETADO]]</f>
        <v>0</v>
      </c>
      <c r="M24" s="24" t="str">
        <f>TEXT(Tabla1[[#This Row],[INICIO]],"AAAA")</f>
        <v>2025</v>
      </c>
      <c r="N24" s="33" t="str">
        <f>TEXT(Tabla1[[#This Row],[INICIO]],"MMM")</f>
        <v>ene</v>
      </c>
      <c r="O24" s="24"/>
      <c r="P24" s="24" t="s">
        <v>40</v>
      </c>
      <c r="Q24" s="31">
        <f t="shared" ca="1" si="0"/>
        <v>45669</v>
      </c>
      <c r="R24" s="24">
        <f ca="1">Tabla1[[#This Row],[FIN]]-Tabla1[[#This Row],[fecha hoy ]]</f>
        <v>0</v>
      </c>
    </row>
    <row r="25" spans="1:18" x14ac:dyDescent="0.25">
      <c r="A25" s="24" t="s">
        <v>48</v>
      </c>
      <c r="B25" s="24" t="s">
        <v>97</v>
      </c>
      <c r="C25" s="24" t="s">
        <v>71</v>
      </c>
      <c r="D25" s="24" t="s">
        <v>14</v>
      </c>
      <c r="E25" s="24" t="s">
        <v>95</v>
      </c>
      <c r="F25" s="24" t="s">
        <v>95</v>
      </c>
      <c r="G25" s="31">
        <v>45665</v>
      </c>
      <c r="H25" s="31">
        <v>45669</v>
      </c>
      <c r="I25" s="32" t="str">
        <f>IF(Tabla1[[#This Row],[COMPLETADO]],"100%")</f>
        <v>100%</v>
      </c>
      <c r="J25" s="35">
        <f>Tabla1[[#This Row],[FIN]]-Tabla1[[#This Row],[INICIO]]</f>
        <v>4</v>
      </c>
      <c r="K25" s="35">
        <f ca="1">IF(AND(Tabla1[[#This Row],[pendiente prueba ]]&lt;0,Tabla1[[#This Row],[PROGRESO]]="implantado"),Tabla1[[#This Row],[COMPLETADO]],Tabla1[[#This Row],[pendiente prueba ]])</f>
        <v>0</v>
      </c>
      <c r="L25" s="32">
        <f ca="1">Tabla1[[#This Row],[PENDIENTE]]/Tabla1[[#This Row],[COMPLETADO]]</f>
        <v>0</v>
      </c>
      <c r="M25" s="24" t="str">
        <f>TEXT(Tabla1[[#This Row],[INICIO]],"AAAA")</f>
        <v>2025</v>
      </c>
      <c r="N25" s="33" t="str">
        <f>TEXT(Tabla1[[#This Row],[INICIO]],"MMM")</f>
        <v>ene</v>
      </c>
      <c r="O25" s="24"/>
      <c r="P25" s="24" t="s">
        <v>40</v>
      </c>
      <c r="Q25" s="31">
        <f t="shared" ca="1" si="0"/>
        <v>45669</v>
      </c>
      <c r="R25" s="24">
        <f ca="1">Tabla1[[#This Row],[FIN]]-Tabla1[[#This Row],[fecha hoy ]]</f>
        <v>0</v>
      </c>
    </row>
    <row r="26" spans="1:18" x14ac:dyDescent="0.25">
      <c r="A26" s="24" t="s">
        <v>48</v>
      </c>
      <c r="B26" s="24" t="s">
        <v>97</v>
      </c>
      <c r="C26" s="24" t="s">
        <v>72</v>
      </c>
      <c r="D26" s="24" t="s">
        <v>14</v>
      </c>
      <c r="E26" s="24" t="s">
        <v>95</v>
      </c>
      <c r="F26" s="24" t="s">
        <v>95</v>
      </c>
      <c r="G26" s="31">
        <v>45665</v>
      </c>
      <c r="H26" s="31">
        <v>45669</v>
      </c>
      <c r="I26" s="32" t="str">
        <f>IF(Tabla1[[#This Row],[COMPLETADO]],"100%")</f>
        <v>100%</v>
      </c>
      <c r="J26" s="35">
        <f>Tabla1[[#This Row],[FIN]]-Tabla1[[#This Row],[INICIO]]</f>
        <v>4</v>
      </c>
      <c r="K26" s="35">
        <f ca="1">IF(AND(Tabla1[[#This Row],[pendiente prueba ]]&lt;0,Tabla1[[#This Row],[PROGRESO]]="implantado"),Tabla1[[#This Row],[COMPLETADO]],Tabla1[[#This Row],[pendiente prueba ]])</f>
        <v>0</v>
      </c>
      <c r="L26" s="32">
        <f ca="1">Tabla1[[#This Row],[PENDIENTE]]/Tabla1[[#This Row],[COMPLETADO]]</f>
        <v>0</v>
      </c>
      <c r="M26" s="24" t="str">
        <f>TEXT(Tabla1[[#This Row],[INICIO]],"AAAA")</f>
        <v>2025</v>
      </c>
      <c r="N26" s="33" t="str">
        <f>TEXT(Tabla1[[#This Row],[INICIO]],"MMM")</f>
        <v>ene</v>
      </c>
      <c r="O26" s="24"/>
      <c r="P26" s="24" t="s">
        <v>40</v>
      </c>
      <c r="Q26" s="31">
        <f t="shared" ca="1" si="0"/>
        <v>45669</v>
      </c>
      <c r="R26" s="24">
        <f ca="1">Tabla1[[#This Row],[FIN]]-Tabla1[[#This Row],[fecha hoy ]]</f>
        <v>0</v>
      </c>
    </row>
    <row r="27" spans="1:18" x14ac:dyDescent="0.25">
      <c r="A27" s="24" t="s">
        <v>48</v>
      </c>
      <c r="B27" s="24" t="s">
        <v>98</v>
      </c>
      <c r="C27" s="24" t="s">
        <v>73</v>
      </c>
      <c r="D27" s="24" t="s">
        <v>14</v>
      </c>
      <c r="E27" s="24" t="s">
        <v>95</v>
      </c>
      <c r="F27" s="24" t="s">
        <v>95</v>
      </c>
      <c r="G27" s="31">
        <v>45665</v>
      </c>
      <c r="H27" s="31">
        <v>45669</v>
      </c>
      <c r="I27" s="32" t="str">
        <f>IF(Tabla1[[#This Row],[COMPLETADO]],"100%")</f>
        <v>100%</v>
      </c>
      <c r="J27" s="35">
        <f>Tabla1[[#This Row],[FIN]]-Tabla1[[#This Row],[INICIO]]</f>
        <v>4</v>
      </c>
      <c r="K27" s="35">
        <f ca="1">IF(AND(Tabla1[[#This Row],[pendiente prueba ]]&lt;0,Tabla1[[#This Row],[PROGRESO]]="implantado"),Tabla1[[#This Row],[COMPLETADO]],Tabla1[[#This Row],[pendiente prueba ]])</f>
        <v>0</v>
      </c>
      <c r="L27" s="32">
        <f ca="1">Tabla1[[#This Row],[PENDIENTE]]/Tabla1[[#This Row],[COMPLETADO]]</f>
        <v>0</v>
      </c>
      <c r="M27" s="24" t="str">
        <f>TEXT(Tabla1[[#This Row],[INICIO]],"AAAA")</f>
        <v>2025</v>
      </c>
      <c r="N27" s="33" t="str">
        <f>TEXT(Tabla1[[#This Row],[INICIO]],"MMM")</f>
        <v>ene</v>
      </c>
      <c r="O27" s="24"/>
      <c r="P27" s="24" t="s">
        <v>40</v>
      </c>
      <c r="Q27" s="31">
        <f t="shared" ca="1" si="0"/>
        <v>45669</v>
      </c>
      <c r="R27" s="24">
        <f ca="1">Tabla1[[#This Row],[FIN]]-Tabla1[[#This Row],[fecha hoy ]]</f>
        <v>0</v>
      </c>
    </row>
    <row r="28" spans="1:18" x14ac:dyDescent="0.25">
      <c r="A28" s="24" t="s">
        <v>48</v>
      </c>
      <c r="B28" s="24" t="s">
        <v>98</v>
      </c>
      <c r="C28" s="24" t="s">
        <v>74</v>
      </c>
      <c r="D28" s="24" t="s">
        <v>17</v>
      </c>
      <c r="E28" s="24" t="s">
        <v>95</v>
      </c>
      <c r="F28" s="24" t="s">
        <v>95</v>
      </c>
      <c r="G28" s="31">
        <v>45665</v>
      </c>
      <c r="H28" s="31">
        <v>45669</v>
      </c>
      <c r="I28" s="32" t="str">
        <f>IF(Tabla1[[#This Row],[COMPLETADO]],"100%")</f>
        <v>100%</v>
      </c>
      <c r="J28" s="35">
        <f>Tabla1[[#This Row],[FIN]]-Tabla1[[#This Row],[INICIO]]</f>
        <v>4</v>
      </c>
      <c r="K28" s="35">
        <f ca="1">IF(AND(Tabla1[[#This Row],[pendiente prueba ]]&lt;0,Tabla1[[#This Row],[PROGRESO]]="implantado"),Tabla1[[#This Row],[COMPLETADO]],Tabla1[[#This Row],[pendiente prueba ]])</f>
        <v>0</v>
      </c>
      <c r="L28" s="32">
        <f ca="1">Tabla1[[#This Row],[PENDIENTE]]/Tabla1[[#This Row],[COMPLETADO]]</f>
        <v>0</v>
      </c>
      <c r="M28" s="24" t="str">
        <f>TEXT(Tabla1[[#This Row],[INICIO]],"AAAA")</f>
        <v>2025</v>
      </c>
      <c r="N28" s="33" t="str">
        <f>TEXT(Tabla1[[#This Row],[INICIO]],"MMM")</f>
        <v>ene</v>
      </c>
      <c r="O28" s="24"/>
      <c r="P28" s="24" t="s">
        <v>40</v>
      </c>
      <c r="Q28" s="31">
        <f t="shared" ca="1" si="0"/>
        <v>45669</v>
      </c>
      <c r="R28" s="24">
        <f ca="1">Tabla1[[#This Row],[FIN]]-Tabla1[[#This Row],[fecha hoy ]]</f>
        <v>0</v>
      </c>
    </row>
    <row r="29" spans="1:18" x14ac:dyDescent="0.25">
      <c r="A29" s="24" t="s">
        <v>48</v>
      </c>
      <c r="B29" s="24" t="s">
        <v>98</v>
      </c>
      <c r="C29" s="24" t="s">
        <v>75</v>
      </c>
      <c r="D29" s="24" t="s">
        <v>14</v>
      </c>
      <c r="E29" s="24" t="s">
        <v>95</v>
      </c>
      <c r="F29" s="24" t="s">
        <v>95</v>
      </c>
      <c r="G29" s="31">
        <v>45665</v>
      </c>
      <c r="H29" s="31">
        <v>45669</v>
      </c>
      <c r="I29" s="32" t="str">
        <f>IF(Tabla1[[#This Row],[COMPLETADO]],"100%")</f>
        <v>100%</v>
      </c>
      <c r="J29" s="35">
        <f>Tabla1[[#This Row],[FIN]]-Tabla1[[#This Row],[INICIO]]</f>
        <v>4</v>
      </c>
      <c r="K29" s="35">
        <f ca="1">IF(AND(Tabla1[[#This Row],[pendiente prueba ]]&lt;0,Tabla1[[#This Row],[PROGRESO]]="implantado"),Tabla1[[#This Row],[COMPLETADO]],Tabla1[[#This Row],[pendiente prueba ]])</f>
        <v>0</v>
      </c>
      <c r="L29" s="32">
        <f ca="1">Tabla1[[#This Row],[PENDIENTE]]/Tabla1[[#This Row],[COMPLETADO]]</f>
        <v>0</v>
      </c>
      <c r="M29" s="24" t="str">
        <f>TEXT(Tabla1[[#This Row],[INICIO]],"AAAA")</f>
        <v>2025</v>
      </c>
      <c r="N29" s="33" t="str">
        <f>TEXT(Tabla1[[#This Row],[INICIO]],"MMM")</f>
        <v>ene</v>
      </c>
      <c r="O29" s="24"/>
      <c r="P29" s="24" t="s">
        <v>40</v>
      </c>
      <c r="Q29" s="31">
        <f t="shared" ca="1" si="0"/>
        <v>45669</v>
      </c>
      <c r="R29" s="24">
        <f ca="1">Tabla1[[#This Row],[FIN]]-Tabla1[[#This Row],[fecha hoy ]]</f>
        <v>0</v>
      </c>
    </row>
    <row r="30" spans="1:18" x14ac:dyDescent="0.25">
      <c r="A30" s="24" t="s">
        <v>48</v>
      </c>
      <c r="B30" s="24" t="s">
        <v>98</v>
      </c>
      <c r="C30" s="24" t="s">
        <v>76</v>
      </c>
      <c r="D30" s="24" t="s">
        <v>16</v>
      </c>
      <c r="E30" s="24" t="s">
        <v>95</v>
      </c>
      <c r="F30" s="24" t="s">
        <v>95</v>
      </c>
      <c r="G30" s="31">
        <v>45665</v>
      </c>
      <c r="H30" s="31">
        <v>45669</v>
      </c>
      <c r="I30" s="32" t="str">
        <f>IF(Tabla1[[#This Row],[COMPLETADO]],"100%")</f>
        <v>100%</v>
      </c>
      <c r="J30" s="35">
        <f>Tabla1[[#This Row],[FIN]]-Tabla1[[#This Row],[INICIO]]</f>
        <v>4</v>
      </c>
      <c r="K30" s="35">
        <f ca="1">IF(AND(Tabla1[[#This Row],[pendiente prueba ]]&lt;0,Tabla1[[#This Row],[PROGRESO]]="implantado"),Tabla1[[#This Row],[COMPLETADO]],Tabla1[[#This Row],[pendiente prueba ]])</f>
        <v>0</v>
      </c>
      <c r="L30" s="32">
        <f ca="1">Tabla1[[#This Row],[PENDIENTE]]/Tabla1[[#This Row],[COMPLETADO]]</f>
        <v>0</v>
      </c>
      <c r="M30" s="24" t="str">
        <f>TEXT(Tabla1[[#This Row],[INICIO]],"AAAA")</f>
        <v>2025</v>
      </c>
      <c r="N30" s="33" t="str">
        <f>TEXT(Tabla1[[#This Row],[INICIO]],"MMM")</f>
        <v>ene</v>
      </c>
      <c r="O30" s="24"/>
      <c r="P30" s="24" t="s">
        <v>40</v>
      </c>
      <c r="Q30" s="31">
        <f t="shared" ca="1" si="0"/>
        <v>45669</v>
      </c>
      <c r="R30" s="24">
        <f ca="1">Tabla1[[#This Row],[FIN]]-Tabla1[[#This Row],[fecha hoy ]]</f>
        <v>0</v>
      </c>
    </row>
    <row r="31" spans="1:18" x14ac:dyDescent="0.25">
      <c r="A31" s="24" t="s">
        <v>48</v>
      </c>
      <c r="B31" s="24" t="s">
        <v>98</v>
      </c>
      <c r="C31" s="24" t="s">
        <v>77</v>
      </c>
      <c r="D31" s="24" t="s">
        <v>14</v>
      </c>
      <c r="E31" s="24" t="s">
        <v>95</v>
      </c>
      <c r="F31" s="24" t="s">
        <v>95</v>
      </c>
      <c r="G31" s="31">
        <v>45665</v>
      </c>
      <c r="H31" s="31">
        <v>45669</v>
      </c>
      <c r="I31" s="32" t="str">
        <f>IF(Tabla1[[#This Row],[COMPLETADO]],"100%")</f>
        <v>100%</v>
      </c>
      <c r="J31" s="35">
        <f>Tabla1[[#This Row],[FIN]]-Tabla1[[#This Row],[INICIO]]</f>
        <v>4</v>
      </c>
      <c r="K31" s="35">
        <f ca="1">IF(AND(Tabla1[[#This Row],[pendiente prueba ]]&lt;0,Tabla1[[#This Row],[PROGRESO]]="implantado"),Tabla1[[#This Row],[COMPLETADO]],Tabla1[[#This Row],[pendiente prueba ]])</f>
        <v>0</v>
      </c>
      <c r="L31" s="32">
        <f ca="1">Tabla1[[#This Row],[PENDIENTE]]/Tabla1[[#This Row],[COMPLETADO]]</f>
        <v>0</v>
      </c>
      <c r="M31" s="24" t="str">
        <f>TEXT(Tabla1[[#This Row],[INICIO]],"AAAA")</f>
        <v>2025</v>
      </c>
      <c r="N31" s="33" t="str">
        <f>TEXT(Tabla1[[#This Row],[INICIO]],"MMM")</f>
        <v>ene</v>
      </c>
      <c r="O31" s="24"/>
      <c r="P31" s="24" t="s">
        <v>40</v>
      </c>
      <c r="Q31" s="31">
        <f t="shared" ca="1" si="0"/>
        <v>45669</v>
      </c>
      <c r="R31" s="24">
        <f ca="1">Tabla1[[#This Row],[FIN]]-Tabla1[[#This Row],[fecha hoy ]]</f>
        <v>0</v>
      </c>
    </row>
    <row r="32" spans="1:18" x14ac:dyDescent="0.25">
      <c r="A32" s="24" t="s">
        <v>48</v>
      </c>
      <c r="B32" s="24" t="s">
        <v>98</v>
      </c>
      <c r="C32" s="24" t="s">
        <v>78</v>
      </c>
      <c r="D32" s="24" t="s">
        <v>16</v>
      </c>
      <c r="E32" s="24" t="s">
        <v>95</v>
      </c>
      <c r="F32" s="24" t="s">
        <v>95</v>
      </c>
      <c r="G32" s="31">
        <v>45665</v>
      </c>
      <c r="H32" s="31">
        <v>45669</v>
      </c>
      <c r="I32" s="32" t="str">
        <f>IF(Tabla1[[#This Row],[COMPLETADO]],"100%")</f>
        <v>100%</v>
      </c>
      <c r="J32" s="35">
        <f>Tabla1[[#This Row],[FIN]]-Tabla1[[#This Row],[INICIO]]</f>
        <v>4</v>
      </c>
      <c r="K32" s="35">
        <f ca="1">IF(AND(Tabla1[[#This Row],[pendiente prueba ]]&lt;0,Tabla1[[#This Row],[PROGRESO]]="implantado"),Tabla1[[#This Row],[COMPLETADO]],Tabla1[[#This Row],[pendiente prueba ]])</f>
        <v>0</v>
      </c>
      <c r="L32" s="32">
        <f ca="1">Tabla1[[#This Row],[PENDIENTE]]/Tabla1[[#This Row],[COMPLETADO]]</f>
        <v>0</v>
      </c>
      <c r="M32" s="24" t="str">
        <f>TEXT(Tabla1[[#This Row],[INICIO]],"AAAA")</f>
        <v>2025</v>
      </c>
      <c r="N32" s="33" t="str">
        <f>TEXT(Tabla1[[#This Row],[INICIO]],"MMM")</f>
        <v>ene</v>
      </c>
      <c r="O32" s="24"/>
      <c r="P32" s="24" t="s">
        <v>40</v>
      </c>
      <c r="Q32" s="31">
        <f t="shared" ca="1" si="0"/>
        <v>45669</v>
      </c>
      <c r="R32" s="24">
        <f ca="1">Tabla1[[#This Row],[FIN]]-Tabla1[[#This Row],[fecha hoy ]]</f>
        <v>0</v>
      </c>
    </row>
    <row r="33" spans="1:18" x14ac:dyDescent="0.25">
      <c r="A33" s="24" t="s">
        <v>48</v>
      </c>
      <c r="B33" s="24" t="s">
        <v>98</v>
      </c>
      <c r="C33" s="24" t="s">
        <v>79</v>
      </c>
      <c r="D33" s="24" t="s">
        <v>14</v>
      </c>
      <c r="E33" s="24" t="s">
        <v>95</v>
      </c>
      <c r="F33" s="24" t="s">
        <v>95</v>
      </c>
      <c r="G33" s="31">
        <v>45665</v>
      </c>
      <c r="H33" s="31">
        <v>45669</v>
      </c>
      <c r="I33" s="32" t="str">
        <f>IF(Tabla1[[#This Row],[COMPLETADO]],"100%")</f>
        <v>100%</v>
      </c>
      <c r="J33" s="35">
        <f>Tabla1[[#This Row],[FIN]]-Tabla1[[#This Row],[INICIO]]</f>
        <v>4</v>
      </c>
      <c r="K33" s="35">
        <f ca="1">IF(AND(Tabla1[[#This Row],[pendiente prueba ]]&lt;0,Tabla1[[#This Row],[PROGRESO]]="implantado"),Tabla1[[#This Row],[COMPLETADO]],Tabla1[[#This Row],[pendiente prueba ]])</f>
        <v>0</v>
      </c>
      <c r="L33" s="32">
        <f ca="1">Tabla1[[#This Row],[PENDIENTE]]/Tabla1[[#This Row],[COMPLETADO]]</f>
        <v>0</v>
      </c>
      <c r="M33" s="24" t="str">
        <f>TEXT(Tabla1[[#This Row],[INICIO]],"AAAA")</f>
        <v>2025</v>
      </c>
      <c r="N33" s="33" t="str">
        <f>TEXT(Tabla1[[#This Row],[INICIO]],"MMM")</f>
        <v>ene</v>
      </c>
      <c r="O33" s="24"/>
      <c r="P33" s="24" t="s">
        <v>40</v>
      </c>
      <c r="Q33" s="31">
        <f t="shared" ref="Q33:Q47" ca="1" si="1">TODAY()</f>
        <v>45669</v>
      </c>
      <c r="R33" s="24">
        <f ca="1">Tabla1[[#This Row],[FIN]]-Tabla1[[#This Row],[fecha hoy ]]</f>
        <v>0</v>
      </c>
    </row>
    <row r="34" spans="1:18" x14ac:dyDescent="0.25">
      <c r="A34" s="24" t="s">
        <v>48</v>
      </c>
      <c r="B34" s="24" t="s">
        <v>98</v>
      </c>
      <c r="C34" s="24" t="s">
        <v>80</v>
      </c>
      <c r="D34" s="24" t="s">
        <v>16</v>
      </c>
      <c r="E34" s="24" t="s">
        <v>15</v>
      </c>
      <c r="F34" s="24" t="s">
        <v>15</v>
      </c>
      <c r="G34" s="31">
        <v>45665</v>
      </c>
      <c r="H34" s="31">
        <v>45669</v>
      </c>
      <c r="I34" s="32" t="str">
        <f>IF(Tabla1[[#This Row],[COMPLETADO]],"100%")</f>
        <v>100%</v>
      </c>
      <c r="J34" s="35">
        <f>Tabla1[[#This Row],[FIN]]-Tabla1[[#This Row],[INICIO]]</f>
        <v>4</v>
      </c>
      <c r="K34" s="35">
        <f ca="1">IF(AND(Tabla1[[#This Row],[pendiente prueba ]]&lt;0,Tabla1[[#This Row],[PROGRESO]]="implantado"),Tabla1[[#This Row],[COMPLETADO]],Tabla1[[#This Row],[pendiente prueba ]])</f>
        <v>0</v>
      </c>
      <c r="L34" s="32">
        <f ca="1">Tabla1[[#This Row],[PENDIENTE]]/Tabla1[[#This Row],[COMPLETADO]]</f>
        <v>0</v>
      </c>
      <c r="M34" s="24" t="str">
        <f>TEXT(Tabla1[[#This Row],[INICIO]],"AAAA")</f>
        <v>2025</v>
      </c>
      <c r="N34" s="33" t="str">
        <f>TEXT(Tabla1[[#This Row],[INICIO]],"MMM")</f>
        <v>ene</v>
      </c>
      <c r="O34" s="24"/>
      <c r="P34" s="24" t="s">
        <v>40</v>
      </c>
      <c r="Q34" s="31">
        <f t="shared" ca="1" si="1"/>
        <v>45669</v>
      </c>
      <c r="R34" s="24">
        <f ca="1">Tabla1[[#This Row],[FIN]]-Tabla1[[#This Row],[fecha hoy ]]</f>
        <v>0</v>
      </c>
    </row>
    <row r="35" spans="1:18" ht="15.75" x14ac:dyDescent="0.3">
      <c r="A35" s="24" t="s">
        <v>48</v>
      </c>
      <c r="B35" s="24" t="s">
        <v>98</v>
      </c>
      <c r="C35" s="40" t="s">
        <v>81</v>
      </c>
      <c r="D35" s="24" t="s">
        <v>16</v>
      </c>
      <c r="E35" s="24" t="s">
        <v>15</v>
      </c>
      <c r="F35" s="24" t="s">
        <v>15</v>
      </c>
      <c r="G35" s="31">
        <v>45665</v>
      </c>
      <c r="H35" s="31">
        <v>45669</v>
      </c>
      <c r="I35" s="32" t="str">
        <f>IF(Tabla1[[#This Row],[COMPLETADO]],"100%")</f>
        <v>100%</v>
      </c>
      <c r="J35" s="35">
        <f>Tabla1[[#This Row],[FIN]]-Tabla1[[#This Row],[INICIO]]</f>
        <v>4</v>
      </c>
      <c r="K35" s="35">
        <f ca="1">IF(AND(Tabla1[[#This Row],[pendiente prueba ]]&lt;0,Tabla1[[#This Row],[PROGRESO]]="implantado"),Tabla1[[#This Row],[COMPLETADO]],Tabla1[[#This Row],[pendiente prueba ]])</f>
        <v>0</v>
      </c>
      <c r="L35" s="32">
        <f ca="1">Tabla1[[#This Row],[PENDIENTE]]/Tabla1[[#This Row],[COMPLETADO]]</f>
        <v>0</v>
      </c>
      <c r="M35" s="24" t="str">
        <f>TEXT(Tabla1[[#This Row],[INICIO]],"AAAA")</f>
        <v>2025</v>
      </c>
      <c r="N35" s="33" t="str">
        <f>TEXT(Tabla1[[#This Row],[INICIO]],"MMM")</f>
        <v>ene</v>
      </c>
      <c r="O35" s="24"/>
      <c r="P35" s="24" t="s">
        <v>40</v>
      </c>
      <c r="Q35" s="31">
        <f t="shared" ca="1" si="1"/>
        <v>45669</v>
      </c>
      <c r="R35" s="24">
        <f ca="1">Tabla1[[#This Row],[FIN]]-Tabla1[[#This Row],[fecha hoy ]]</f>
        <v>0</v>
      </c>
    </row>
    <row r="36" spans="1:18" x14ac:dyDescent="0.25">
      <c r="A36" s="24" t="s">
        <v>48</v>
      </c>
      <c r="B36" s="24" t="s">
        <v>98</v>
      </c>
      <c r="C36" s="24" t="s">
        <v>82</v>
      </c>
      <c r="D36" s="24" t="s">
        <v>14</v>
      </c>
      <c r="E36" s="24" t="s">
        <v>15</v>
      </c>
      <c r="F36" s="24" t="s">
        <v>15</v>
      </c>
      <c r="G36" s="31">
        <v>45665</v>
      </c>
      <c r="H36" s="31">
        <v>45669</v>
      </c>
      <c r="I36" s="32" t="str">
        <f>IF(Tabla1[[#This Row],[COMPLETADO]],"100%")</f>
        <v>100%</v>
      </c>
      <c r="J36" s="35">
        <f>Tabla1[[#This Row],[FIN]]-Tabla1[[#This Row],[INICIO]]</f>
        <v>4</v>
      </c>
      <c r="K36" s="35">
        <f ca="1">IF(AND(Tabla1[[#This Row],[pendiente prueba ]]&lt;0,Tabla1[[#This Row],[PROGRESO]]="implantado"),Tabla1[[#This Row],[COMPLETADO]],Tabla1[[#This Row],[pendiente prueba ]])</f>
        <v>0</v>
      </c>
      <c r="L36" s="32">
        <f ca="1">Tabla1[[#This Row],[PENDIENTE]]/Tabla1[[#This Row],[COMPLETADO]]</f>
        <v>0</v>
      </c>
      <c r="M36" s="24" t="str">
        <f>TEXT(Tabla1[[#This Row],[INICIO]],"AAAA")</f>
        <v>2025</v>
      </c>
      <c r="N36" s="33" t="str">
        <f>TEXT(Tabla1[[#This Row],[INICIO]],"MMM")</f>
        <v>ene</v>
      </c>
      <c r="O36" s="24"/>
      <c r="P36" s="24" t="s">
        <v>40</v>
      </c>
      <c r="Q36" s="31">
        <f t="shared" ca="1" si="1"/>
        <v>45669</v>
      </c>
      <c r="R36" s="24">
        <f ca="1">Tabla1[[#This Row],[FIN]]-Tabla1[[#This Row],[fecha hoy ]]</f>
        <v>0</v>
      </c>
    </row>
    <row r="37" spans="1:18" x14ac:dyDescent="0.25">
      <c r="A37" s="24" t="s">
        <v>46</v>
      </c>
      <c r="B37" s="24" t="s">
        <v>98</v>
      </c>
      <c r="C37" s="24" t="s">
        <v>83</v>
      </c>
      <c r="D37" s="24" t="s">
        <v>16</v>
      </c>
      <c r="E37" s="24" t="s">
        <v>15</v>
      </c>
      <c r="F37" s="24" t="s">
        <v>15</v>
      </c>
      <c r="G37" s="31">
        <v>45665</v>
      </c>
      <c r="H37" s="31">
        <v>45669</v>
      </c>
      <c r="I37" s="32" t="str">
        <f>IF(Tabla1[[#This Row],[COMPLETADO]],"100%")</f>
        <v>100%</v>
      </c>
      <c r="J37" s="35">
        <f>Tabla1[[#This Row],[FIN]]-Tabla1[[#This Row],[INICIO]]</f>
        <v>4</v>
      </c>
      <c r="K37" s="35">
        <f ca="1">IF(AND(Tabla1[[#This Row],[pendiente prueba ]]&lt;0,Tabla1[[#This Row],[PROGRESO]]="implantado"),Tabla1[[#This Row],[COMPLETADO]],Tabla1[[#This Row],[pendiente prueba ]])</f>
        <v>0</v>
      </c>
      <c r="L37" s="32">
        <f ca="1">Tabla1[[#This Row],[PENDIENTE]]/Tabla1[[#This Row],[COMPLETADO]]</f>
        <v>0</v>
      </c>
      <c r="M37" s="24" t="str">
        <f>TEXT(Tabla1[[#This Row],[INICIO]],"AAAA")</f>
        <v>2025</v>
      </c>
      <c r="N37" s="33" t="str">
        <f>TEXT(Tabla1[[#This Row],[INICIO]],"MMM")</f>
        <v>ene</v>
      </c>
      <c r="O37" s="24"/>
      <c r="P37" s="24" t="s">
        <v>40</v>
      </c>
      <c r="Q37" s="31">
        <f t="shared" ca="1" si="1"/>
        <v>45669</v>
      </c>
      <c r="R37" s="24">
        <f ca="1">Tabla1[[#This Row],[FIN]]-Tabla1[[#This Row],[fecha hoy ]]</f>
        <v>0</v>
      </c>
    </row>
    <row r="38" spans="1:18" x14ac:dyDescent="0.25">
      <c r="A38" s="24" t="s">
        <v>46</v>
      </c>
      <c r="B38" s="24" t="s">
        <v>98</v>
      </c>
      <c r="C38" s="24" t="s">
        <v>84</v>
      </c>
      <c r="D38" s="24" t="s">
        <v>16</v>
      </c>
      <c r="E38" s="24" t="s">
        <v>15</v>
      </c>
      <c r="F38" s="24" t="s">
        <v>15</v>
      </c>
      <c r="G38" s="31">
        <v>45665</v>
      </c>
      <c r="H38" s="31">
        <v>45669</v>
      </c>
      <c r="I38" s="32" t="str">
        <f>IF(Tabla1[[#This Row],[COMPLETADO]],"100%")</f>
        <v>100%</v>
      </c>
      <c r="J38" s="35">
        <f>Tabla1[[#This Row],[FIN]]-Tabla1[[#This Row],[INICIO]]</f>
        <v>4</v>
      </c>
      <c r="K38" s="35">
        <f ca="1">IF(AND(Tabla1[[#This Row],[pendiente prueba ]]&lt;0,Tabla1[[#This Row],[PROGRESO]]="implantado"),Tabla1[[#This Row],[COMPLETADO]],Tabla1[[#This Row],[pendiente prueba ]])</f>
        <v>0</v>
      </c>
      <c r="L38" s="32">
        <f ca="1">Tabla1[[#This Row],[PENDIENTE]]/Tabla1[[#This Row],[COMPLETADO]]</f>
        <v>0</v>
      </c>
      <c r="M38" s="24" t="str">
        <f>TEXT(Tabla1[[#This Row],[INICIO]],"AAAA")</f>
        <v>2025</v>
      </c>
      <c r="N38" s="33" t="str">
        <f>TEXT(Tabla1[[#This Row],[INICIO]],"MMM")</f>
        <v>ene</v>
      </c>
      <c r="O38" s="24"/>
      <c r="P38" s="24" t="s">
        <v>40</v>
      </c>
      <c r="Q38" s="31">
        <f t="shared" ca="1" si="1"/>
        <v>45669</v>
      </c>
      <c r="R38" s="24">
        <f ca="1">Tabla1[[#This Row],[FIN]]-Tabla1[[#This Row],[fecha hoy ]]</f>
        <v>0</v>
      </c>
    </row>
    <row r="39" spans="1:18" x14ac:dyDescent="0.25">
      <c r="A39" s="24" t="s">
        <v>46</v>
      </c>
      <c r="B39" s="24" t="s">
        <v>98</v>
      </c>
      <c r="C39" s="24" t="s">
        <v>85</v>
      </c>
      <c r="D39" s="24" t="s">
        <v>14</v>
      </c>
      <c r="E39" s="24" t="s">
        <v>15</v>
      </c>
      <c r="F39" s="24" t="s">
        <v>15</v>
      </c>
      <c r="G39" s="31">
        <v>45665</v>
      </c>
      <c r="H39" s="31">
        <v>45669</v>
      </c>
      <c r="I39" s="32" t="str">
        <f>IF(Tabla1[[#This Row],[COMPLETADO]],"100%")</f>
        <v>100%</v>
      </c>
      <c r="J39" s="35">
        <f>Tabla1[[#This Row],[FIN]]-Tabla1[[#This Row],[INICIO]]</f>
        <v>4</v>
      </c>
      <c r="K39" s="35">
        <f ca="1">IF(AND(Tabla1[[#This Row],[pendiente prueba ]]&lt;0,Tabla1[[#This Row],[PROGRESO]]="implantado"),Tabla1[[#This Row],[COMPLETADO]],Tabla1[[#This Row],[pendiente prueba ]])</f>
        <v>0</v>
      </c>
      <c r="L39" s="32">
        <f ca="1">Tabla1[[#This Row],[PENDIENTE]]/Tabla1[[#This Row],[COMPLETADO]]</f>
        <v>0</v>
      </c>
      <c r="M39" s="24" t="str">
        <f>TEXT(Tabla1[[#This Row],[INICIO]],"AAAA")</f>
        <v>2025</v>
      </c>
      <c r="N39" s="33" t="str">
        <f>TEXT(Tabla1[[#This Row],[INICIO]],"MMM")</f>
        <v>ene</v>
      </c>
      <c r="O39" s="24"/>
      <c r="P39" s="24" t="s">
        <v>40</v>
      </c>
      <c r="Q39" s="31">
        <f t="shared" ca="1" si="1"/>
        <v>45669</v>
      </c>
      <c r="R39" s="24">
        <f ca="1">Tabla1[[#This Row],[FIN]]-Tabla1[[#This Row],[fecha hoy ]]</f>
        <v>0</v>
      </c>
    </row>
    <row r="40" spans="1:18" x14ac:dyDescent="0.25">
      <c r="A40" s="24" t="s">
        <v>46</v>
      </c>
      <c r="B40" s="24" t="s">
        <v>98</v>
      </c>
      <c r="C40" s="24" t="s">
        <v>86</v>
      </c>
      <c r="D40" s="24" t="s">
        <v>16</v>
      </c>
      <c r="E40" s="24" t="s">
        <v>15</v>
      </c>
      <c r="F40" s="24" t="s">
        <v>15</v>
      </c>
      <c r="G40" s="31">
        <v>45665</v>
      </c>
      <c r="H40" s="31">
        <v>45669</v>
      </c>
      <c r="I40" s="32" t="str">
        <f>IF(Tabla1[[#This Row],[COMPLETADO]],"100%")</f>
        <v>100%</v>
      </c>
      <c r="J40" s="35">
        <f>Tabla1[[#This Row],[FIN]]-Tabla1[[#This Row],[INICIO]]</f>
        <v>4</v>
      </c>
      <c r="K40" s="35">
        <f ca="1">IF(AND(Tabla1[[#This Row],[pendiente prueba ]]&lt;0,Tabla1[[#This Row],[PROGRESO]]="implantado"),Tabla1[[#This Row],[COMPLETADO]],Tabla1[[#This Row],[pendiente prueba ]])</f>
        <v>0</v>
      </c>
      <c r="L40" s="32">
        <f ca="1">Tabla1[[#This Row],[PENDIENTE]]/Tabla1[[#This Row],[COMPLETADO]]</f>
        <v>0</v>
      </c>
      <c r="M40" s="24" t="str">
        <f>TEXT(Tabla1[[#This Row],[INICIO]],"AAAA")</f>
        <v>2025</v>
      </c>
      <c r="N40" s="33" t="str">
        <f>TEXT(Tabla1[[#This Row],[INICIO]],"MMM")</f>
        <v>ene</v>
      </c>
      <c r="O40" s="24"/>
      <c r="P40" s="24" t="s">
        <v>40</v>
      </c>
      <c r="Q40" s="31">
        <f t="shared" ca="1" si="1"/>
        <v>45669</v>
      </c>
      <c r="R40" s="24">
        <f ca="1">Tabla1[[#This Row],[FIN]]-Tabla1[[#This Row],[fecha hoy ]]</f>
        <v>0</v>
      </c>
    </row>
    <row r="41" spans="1:18" x14ac:dyDescent="0.25">
      <c r="A41" s="24" t="s">
        <v>46</v>
      </c>
      <c r="B41" s="24" t="s">
        <v>98</v>
      </c>
      <c r="C41" s="24" t="s">
        <v>87</v>
      </c>
      <c r="D41" s="24" t="s">
        <v>16</v>
      </c>
      <c r="E41" s="24" t="s">
        <v>15</v>
      </c>
      <c r="F41" s="24" t="s">
        <v>15</v>
      </c>
      <c r="G41" s="31">
        <v>45665</v>
      </c>
      <c r="H41" s="31">
        <v>45669</v>
      </c>
      <c r="I41" s="32" t="str">
        <f>IF(Tabla1[[#This Row],[COMPLETADO]],"100%")</f>
        <v>100%</v>
      </c>
      <c r="J41" s="35">
        <f>Tabla1[[#This Row],[FIN]]-Tabla1[[#This Row],[INICIO]]</f>
        <v>4</v>
      </c>
      <c r="K41" s="35">
        <f ca="1">IF(AND(Tabla1[[#This Row],[pendiente prueba ]]&lt;0,Tabla1[[#This Row],[PROGRESO]]="implantado"),Tabla1[[#This Row],[COMPLETADO]],Tabla1[[#This Row],[pendiente prueba ]])</f>
        <v>0</v>
      </c>
      <c r="L41" s="32">
        <f ca="1">Tabla1[[#This Row],[PENDIENTE]]/Tabla1[[#This Row],[COMPLETADO]]</f>
        <v>0</v>
      </c>
      <c r="M41" s="24" t="str">
        <f>TEXT(Tabla1[[#This Row],[INICIO]],"AAAA")</f>
        <v>2025</v>
      </c>
      <c r="N41" s="33" t="str">
        <f>TEXT(Tabla1[[#This Row],[INICIO]],"MMM")</f>
        <v>ene</v>
      </c>
      <c r="O41" s="24"/>
      <c r="P41" s="24" t="s">
        <v>40</v>
      </c>
      <c r="Q41" s="31">
        <f t="shared" ca="1" si="1"/>
        <v>45669</v>
      </c>
      <c r="R41" s="24">
        <f ca="1">Tabla1[[#This Row],[FIN]]-Tabla1[[#This Row],[fecha hoy ]]</f>
        <v>0</v>
      </c>
    </row>
    <row r="42" spans="1:18" x14ac:dyDescent="0.25">
      <c r="A42" s="24" t="s">
        <v>46</v>
      </c>
      <c r="B42" s="24" t="s">
        <v>99</v>
      </c>
      <c r="C42" s="24" t="s">
        <v>88</v>
      </c>
      <c r="D42" s="24" t="s">
        <v>14</v>
      </c>
      <c r="E42" s="24" t="s">
        <v>15</v>
      </c>
      <c r="F42" s="24" t="s">
        <v>15</v>
      </c>
      <c r="G42" s="31">
        <v>45665</v>
      </c>
      <c r="H42" s="31">
        <v>45669</v>
      </c>
      <c r="I42" s="32" t="str">
        <f>IF(Tabla1[[#This Row],[COMPLETADO]],"100%")</f>
        <v>100%</v>
      </c>
      <c r="J42" s="35">
        <f>Tabla1[[#This Row],[FIN]]-Tabla1[[#This Row],[INICIO]]</f>
        <v>4</v>
      </c>
      <c r="K42" s="35">
        <f ca="1">IF(AND(Tabla1[[#This Row],[pendiente prueba ]]&lt;0,Tabla1[[#This Row],[PROGRESO]]="implantado"),Tabla1[[#This Row],[COMPLETADO]],Tabla1[[#This Row],[pendiente prueba ]])</f>
        <v>0</v>
      </c>
      <c r="L42" s="32">
        <f ca="1">Tabla1[[#This Row],[PENDIENTE]]/Tabla1[[#This Row],[COMPLETADO]]</f>
        <v>0</v>
      </c>
      <c r="M42" s="24" t="str">
        <f>TEXT(Tabla1[[#This Row],[INICIO]],"AAAA")</f>
        <v>2025</v>
      </c>
      <c r="N42" s="33" t="str">
        <f>TEXT(Tabla1[[#This Row],[INICIO]],"MMM")</f>
        <v>ene</v>
      </c>
      <c r="O42" s="24"/>
      <c r="P42" s="24" t="s">
        <v>40</v>
      </c>
      <c r="Q42" s="31">
        <f t="shared" ca="1" si="1"/>
        <v>45669</v>
      </c>
      <c r="R42" s="24">
        <f ca="1">Tabla1[[#This Row],[FIN]]-Tabla1[[#This Row],[fecha hoy ]]</f>
        <v>0</v>
      </c>
    </row>
    <row r="43" spans="1:18" x14ac:dyDescent="0.25">
      <c r="A43" s="24" t="s">
        <v>46</v>
      </c>
      <c r="B43" s="24" t="s">
        <v>99</v>
      </c>
      <c r="C43" s="24" t="s">
        <v>89</v>
      </c>
      <c r="D43" s="24" t="s">
        <v>17</v>
      </c>
      <c r="E43" s="24" t="s">
        <v>15</v>
      </c>
      <c r="F43" s="24" t="s">
        <v>15</v>
      </c>
      <c r="G43" s="31">
        <v>45665</v>
      </c>
      <c r="H43" s="31">
        <v>45669</v>
      </c>
      <c r="I43" s="32" t="str">
        <f>IF(Tabla1[[#This Row],[COMPLETADO]],"100%")</f>
        <v>100%</v>
      </c>
      <c r="J43" s="35">
        <f>Tabla1[[#This Row],[FIN]]-Tabla1[[#This Row],[INICIO]]</f>
        <v>4</v>
      </c>
      <c r="K43" s="35">
        <f ca="1">IF(AND(Tabla1[[#This Row],[pendiente prueba ]]&lt;0,Tabla1[[#This Row],[PROGRESO]]="implantado"),Tabla1[[#This Row],[COMPLETADO]],Tabla1[[#This Row],[pendiente prueba ]])</f>
        <v>0</v>
      </c>
      <c r="L43" s="32">
        <f ca="1">Tabla1[[#This Row],[PENDIENTE]]/Tabla1[[#This Row],[COMPLETADO]]</f>
        <v>0</v>
      </c>
      <c r="M43" s="24" t="str">
        <f>TEXT(Tabla1[[#This Row],[INICIO]],"AAAA")</f>
        <v>2025</v>
      </c>
      <c r="N43" s="33" t="str">
        <f>TEXT(Tabla1[[#This Row],[INICIO]],"MMM")</f>
        <v>ene</v>
      </c>
      <c r="O43" s="24"/>
      <c r="P43" s="24" t="s">
        <v>40</v>
      </c>
      <c r="Q43" s="31">
        <f t="shared" ca="1" si="1"/>
        <v>45669</v>
      </c>
      <c r="R43" s="24">
        <f ca="1">Tabla1[[#This Row],[FIN]]-Tabla1[[#This Row],[fecha hoy ]]</f>
        <v>0</v>
      </c>
    </row>
    <row r="44" spans="1:18" x14ac:dyDescent="0.25">
      <c r="A44" s="24" t="s">
        <v>46</v>
      </c>
      <c r="B44" s="24" t="s">
        <v>99</v>
      </c>
      <c r="C44" s="24" t="s">
        <v>90</v>
      </c>
      <c r="D44" s="24" t="s">
        <v>14</v>
      </c>
      <c r="E44" s="24" t="s">
        <v>15</v>
      </c>
      <c r="F44" s="24" t="s">
        <v>15</v>
      </c>
      <c r="G44" s="31">
        <v>45665</v>
      </c>
      <c r="H44" s="31">
        <v>45669</v>
      </c>
      <c r="I44" s="32" t="str">
        <f>IF(Tabla1[[#This Row],[COMPLETADO]],"100%")</f>
        <v>100%</v>
      </c>
      <c r="J44" s="35">
        <f>Tabla1[[#This Row],[FIN]]-Tabla1[[#This Row],[INICIO]]</f>
        <v>4</v>
      </c>
      <c r="K44" s="35">
        <f ca="1">IF(AND(Tabla1[[#This Row],[pendiente prueba ]]&lt;0,Tabla1[[#This Row],[PROGRESO]]="implantado"),Tabla1[[#This Row],[COMPLETADO]],Tabla1[[#This Row],[pendiente prueba ]])</f>
        <v>0</v>
      </c>
      <c r="L44" s="32">
        <f ca="1">Tabla1[[#This Row],[PENDIENTE]]/Tabla1[[#This Row],[COMPLETADO]]</f>
        <v>0</v>
      </c>
      <c r="M44" s="24" t="str">
        <f>TEXT(Tabla1[[#This Row],[INICIO]],"AAAA")</f>
        <v>2025</v>
      </c>
      <c r="N44" s="33" t="str">
        <f>TEXT(Tabla1[[#This Row],[INICIO]],"MMM")</f>
        <v>ene</v>
      </c>
      <c r="O44" s="24"/>
      <c r="P44" s="24" t="s">
        <v>40</v>
      </c>
      <c r="Q44" s="31">
        <f t="shared" ca="1" si="1"/>
        <v>45669</v>
      </c>
      <c r="R44" s="24">
        <f ca="1">Tabla1[[#This Row],[FIN]]-Tabla1[[#This Row],[fecha hoy ]]</f>
        <v>0</v>
      </c>
    </row>
    <row r="45" spans="1:18" x14ac:dyDescent="0.25">
      <c r="A45" s="24" t="s">
        <v>46</v>
      </c>
      <c r="B45" s="24" t="s">
        <v>99</v>
      </c>
      <c r="C45" s="24" t="s">
        <v>91</v>
      </c>
      <c r="D45" s="24" t="s">
        <v>16</v>
      </c>
      <c r="E45" s="24" t="s">
        <v>15</v>
      </c>
      <c r="F45" s="24" t="s">
        <v>15</v>
      </c>
      <c r="G45" s="31">
        <v>45665</v>
      </c>
      <c r="H45" s="31">
        <v>45669</v>
      </c>
      <c r="I45" s="32" t="str">
        <f>IF(Tabla1[[#This Row],[COMPLETADO]],"100%")</f>
        <v>100%</v>
      </c>
      <c r="J45" s="35">
        <f>Tabla1[[#This Row],[FIN]]-Tabla1[[#This Row],[INICIO]]</f>
        <v>4</v>
      </c>
      <c r="K45" s="35">
        <f ca="1">IF(AND(Tabla1[[#This Row],[pendiente prueba ]]&lt;0,Tabla1[[#This Row],[PROGRESO]]="implantado"),Tabla1[[#This Row],[COMPLETADO]],Tabla1[[#This Row],[pendiente prueba ]])</f>
        <v>0</v>
      </c>
      <c r="L45" s="32">
        <f ca="1">Tabla1[[#This Row],[PENDIENTE]]/Tabla1[[#This Row],[COMPLETADO]]</f>
        <v>0</v>
      </c>
      <c r="M45" s="24" t="str">
        <f>TEXT(Tabla1[[#This Row],[INICIO]],"AAAA")</f>
        <v>2025</v>
      </c>
      <c r="N45" s="33" t="str">
        <f>TEXT(Tabla1[[#This Row],[INICIO]],"MMM")</f>
        <v>ene</v>
      </c>
      <c r="O45" s="24"/>
      <c r="P45" s="24" t="s">
        <v>40</v>
      </c>
      <c r="Q45" s="31">
        <f t="shared" ca="1" si="1"/>
        <v>45669</v>
      </c>
      <c r="R45" s="24">
        <f ca="1">Tabla1[[#This Row],[FIN]]-Tabla1[[#This Row],[fecha hoy ]]</f>
        <v>0</v>
      </c>
    </row>
    <row r="46" spans="1:18" x14ac:dyDescent="0.25">
      <c r="A46" s="24" t="s">
        <v>46</v>
      </c>
      <c r="B46" s="24" t="s">
        <v>99</v>
      </c>
      <c r="C46" s="24" t="s">
        <v>92</v>
      </c>
      <c r="D46" s="24" t="s">
        <v>14</v>
      </c>
      <c r="E46" s="24" t="s">
        <v>15</v>
      </c>
      <c r="F46" s="24" t="s">
        <v>15</v>
      </c>
      <c r="G46" s="31">
        <v>45665</v>
      </c>
      <c r="H46" s="31">
        <v>45669</v>
      </c>
      <c r="I46" s="32" t="str">
        <f>IF(Tabla1[[#This Row],[COMPLETADO]],"100%")</f>
        <v>100%</v>
      </c>
      <c r="J46" s="35">
        <f>Tabla1[[#This Row],[FIN]]-Tabla1[[#This Row],[INICIO]]</f>
        <v>4</v>
      </c>
      <c r="K46" s="35">
        <f ca="1">IF(AND(Tabla1[[#This Row],[pendiente prueba ]]&lt;0,Tabla1[[#This Row],[PROGRESO]]="implantado"),Tabla1[[#This Row],[COMPLETADO]],Tabla1[[#This Row],[pendiente prueba ]])</f>
        <v>0</v>
      </c>
      <c r="L46" s="32">
        <f ca="1">Tabla1[[#This Row],[PENDIENTE]]/Tabla1[[#This Row],[COMPLETADO]]</f>
        <v>0</v>
      </c>
      <c r="M46" s="24" t="str">
        <f>TEXT(Tabla1[[#This Row],[INICIO]],"AAAA")</f>
        <v>2025</v>
      </c>
      <c r="N46" s="33" t="str">
        <f>TEXT(Tabla1[[#This Row],[INICIO]],"MMM")</f>
        <v>ene</v>
      </c>
      <c r="O46" s="24"/>
      <c r="P46" s="24" t="s">
        <v>40</v>
      </c>
      <c r="Q46" s="31">
        <f t="shared" ca="1" si="1"/>
        <v>45669</v>
      </c>
      <c r="R46" s="24">
        <f ca="1">Tabla1[[#This Row],[FIN]]-Tabla1[[#This Row],[fecha hoy ]]</f>
        <v>0</v>
      </c>
    </row>
    <row r="47" spans="1:18" x14ac:dyDescent="0.25">
      <c r="A47" s="24" t="s">
        <v>47</v>
      </c>
      <c r="B47" s="24" t="s">
        <v>99</v>
      </c>
      <c r="C47" s="24" t="s">
        <v>93</v>
      </c>
      <c r="D47" s="24" t="s">
        <v>17</v>
      </c>
      <c r="E47" s="24" t="s">
        <v>15</v>
      </c>
      <c r="F47" s="24" t="s">
        <v>15</v>
      </c>
      <c r="G47" s="31">
        <v>45665</v>
      </c>
      <c r="H47" s="31">
        <v>45669</v>
      </c>
      <c r="I47" s="32" t="str">
        <f>IF(Tabla1[[#This Row],[COMPLETADO]],"100%")</f>
        <v>100%</v>
      </c>
      <c r="J47" s="35">
        <f>Tabla1[[#This Row],[FIN]]-Tabla1[[#This Row],[INICIO]]</f>
        <v>4</v>
      </c>
      <c r="K47" s="35">
        <f ca="1">IF(AND(Tabla1[[#This Row],[pendiente prueba ]]&lt;0,Tabla1[[#This Row],[PROGRESO]]="implantado"),Tabla1[[#This Row],[COMPLETADO]],Tabla1[[#This Row],[pendiente prueba ]])</f>
        <v>0</v>
      </c>
      <c r="L47" s="32">
        <f ca="1">Tabla1[[#This Row],[PENDIENTE]]/Tabla1[[#This Row],[COMPLETADO]]</f>
        <v>0</v>
      </c>
      <c r="M47" s="24" t="str">
        <f>TEXT(Tabla1[[#This Row],[INICIO]],"AAAA")</f>
        <v>2025</v>
      </c>
      <c r="N47" s="33" t="str">
        <f>TEXT(Tabla1[[#This Row],[INICIO]],"MMM")</f>
        <v>ene</v>
      </c>
      <c r="O47" s="24"/>
      <c r="P47" s="24" t="s">
        <v>40</v>
      </c>
      <c r="Q47" s="31">
        <f t="shared" ca="1" si="1"/>
        <v>45669</v>
      </c>
      <c r="R47" s="24">
        <f ca="1">Tabla1[[#This Row],[FIN]]-Tabla1[[#This Row],[fecha hoy ]]</f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C645B-ED02-46A2-999D-870E12516A65}">
  <dimension ref="A1:M72"/>
  <sheetViews>
    <sheetView showGridLines="0" topLeftCell="A49" zoomScaleNormal="100" workbookViewId="0">
      <selection activeCell="B59" sqref="B59"/>
    </sheetView>
  </sheetViews>
  <sheetFormatPr baseColWidth="10" defaultRowHeight="15" x14ac:dyDescent="0.25"/>
  <cols>
    <col min="1" max="1" width="20.28515625" bestFit="1" customWidth="1"/>
    <col min="2" max="2" width="18.42578125" bestFit="1" customWidth="1"/>
    <col min="4" max="4" width="26.140625" customWidth="1"/>
    <col min="5" max="5" width="26.7109375" customWidth="1"/>
    <col min="9" max="9" width="20.42578125" customWidth="1"/>
    <col min="10" max="10" width="15.42578125" customWidth="1"/>
    <col min="11" max="11" width="15.42578125" bestFit="1" customWidth="1"/>
  </cols>
  <sheetData>
    <row r="1" spans="2:13" x14ac:dyDescent="0.25">
      <c r="B1" s="5" t="s">
        <v>0</v>
      </c>
      <c r="D1" s="5" t="s">
        <v>0</v>
      </c>
      <c r="E1" s="6" t="s">
        <v>1</v>
      </c>
      <c r="F1" s="6" t="s">
        <v>12</v>
      </c>
      <c r="G1" s="14" t="s">
        <v>13</v>
      </c>
      <c r="H1" s="20" t="s">
        <v>3</v>
      </c>
      <c r="K1" s="30" t="s">
        <v>39</v>
      </c>
      <c r="L1" t="s">
        <v>29</v>
      </c>
      <c r="M1" t="s">
        <v>41</v>
      </c>
    </row>
    <row r="2" spans="2:13" x14ac:dyDescent="0.25">
      <c r="B2" t="str" cm="1">
        <f t="array" ref="B2:B6">_xlfn.UNIQUE(PROYECTO)</f>
        <v>M05</v>
      </c>
      <c r="D2" s="4" t="str">
        <f>INFORME!B4</f>
        <v>M01</v>
      </c>
      <c r="E2" s="7" t="str">
        <f>INFORME!B6</f>
        <v>BASE DE DATOS</v>
      </c>
      <c r="F2" s="9" t="str">
        <f>INFORME!B8</f>
        <v>2025</v>
      </c>
      <c r="G2" s="29" t="str">
        <f>INFORME!B10</f>
        <v>ene</v>
      </c>
      <c r="H2" s="7" t="str">
        <f>INFORME!I1</f>
        <v xml:space="preserve">ALTO </v>
      </c>
      <c r="K2" t="str" cm="1">
        <f t="array" ref="K2:K3">_xlfn.UNIQUE(PROGRESO)</f>
        <v>IMPLEMENTADO</v>
      </c>
      <c r="L2" s="1">
        <f>IFERROR(AVERAGEIFS(AVANCE,PROYECTO,$D$2,SECTOR,$E$2,AÑO,$F$2,MES,$G$2,PROGRESO,K2),0)</f>
        <v>0</v>
      </c>
      <c r="M2" s="34">
        <f>1-L2</f>
        <v>1</v>
      </c>
    </row>
    <row r="3" spans="2:13" x14ac:dyDescent="0.25">
      <c r="B3" t="str">
        <v>M01</v>
      </c>
      <c r="K3" t="str">
        <v>En progreso</v>
      </c>
      <c r="L3" s="1">
        <f ca="1">IFERROR(AVERAGEIFS(AVANCE,PROYECTO,$D$2,SECTOR,$E$2,AÑO,$F$2,MES,$G$2,PROGRESO,K3),0)</f>
        <v>-1</v>
      </c>
      <c r="M3" s="34">
        <f t="shared" ref="M3:M5" ca="1" si="0">1-L3</f>
        <v>2</v>
      </c>
    </row>
    <row r="4" spans="2:13" x14ac:dyDescent="0.25">
      <c r="B4" t="str">
        <v>M02</v>
      </c>
      <c r="L4" s="1">
        <f>IFERROR(AVERAGEIFS(AVANCE,PROYECTO,$D$2,SECTOR,$E$2,AÑO,$F$2,MES,$G$2,PROGRESO,K4),0)</f>
        <v>0</v>
      </c>
      <c r="M4" s="34">
        <f t="shared" si="0"/>
        <v>1</v>
      </c>
    </row>
    <row r="5" spans="2:13" x14ac:dyDescent="0.25">
      <c r="B5" t="str">
        <v>M03</v>
      </c>
      <c r="L5" s="1">
        <f>IFERROR(AVERAGEIFS(AVANCE,PROYECTO,$D$2,SECTOR,$E$2,AÑO,$F$2,MES,$G$2,PROGRESO,K5),0)</f>
        <v>0</v>
      </c>
      <c r="M5" s="34">
        <f t="shared" si="0"/>
        <v>1</v>
      </c>
    </row>
    <row r="6" spans="2:13" x14ac:dyDescent="0.25">
      <c r="B6" t="str">
        <v>M04</v>
      </c>
    </row>
    <row r="7" spans="2:13" x14ac:dyDescent="0.25">
      <c r="D7" s="5" t="s">
        <v>0</v>
      </c>
    </row>
    <row r="8" spans="2:13" x14ac:dyDescent="0.25">
      <c r="C8" s="6" t="s">
        <v>1</v>
      </c>
      <c r="D8" t="str" cm="1">
        <f t="array" ref="D8:H8">TRANSPOSE(_xlfn.ANCHORARRAY(B2))</f>
        <v>M05</v>
      </c>
      <c r="E8" t="str">
        <v>M01</v>
      </c>
      <c r="F8" t="str">
        <v>M02</v>
      </c>
      <c r="G8" t="str">
        <v>M03</v>
      </c>
      <c r="H8" t="str">
        <v>M04</v>
      </c>
    </row>
    <row r="9" spans="2:13" x14ac:dyDescent="0.25">
      <c r="D9" t="str" cm="1">
        <f t="array" ref="D9:D10">_xlfn.UNIQUE(_xlfn._xlws.FILTER(SECTOR,PROYECTO=D8))</f>
        <v>BASE DE DATOS</v>
      </c>
      <c r="E9" t="str" cm="1">
        <f t="array" ref="E9">_xlfn.UNIQUE(_xlfn._xlws.FILTER(SECTOR,PROYECTO=E8))</f>
        <v>BASE DE DATOS</v>
      </c>
    </row>
    <row r="10" spans="2:13" x14ac:dyDescent="0.25">
      <c r="D10" t="str">
        <v>SISTEMAS</v>
      </c>
    </row>
    <row r="21" spans="3:7" x14ac:dyDescent="0.25">
      <c r="C21" s="6" t="s">
        <v>1</v>
      </c>
      <c r="D21" t="str" cm="1">
        <f t="array" ref="D21:D28">(HLOOKUP($D$2,$D$8:$I$20,{2;3;4;5;6;7;8;9},0))</f>
        <v>BASE DE DATOS</v>
      </c>
      <c r="F21" t="str" cm="1">
        <f t="array" ref="F21">_xlfn._xlws.FILTER(_xlfn.ANCHORARRAY(D21),_xlfn.ANCHORARRAY(D21)&gt;0)</f>
        <v>BASE DE DATOS</v>
      </c>
    </row>
    <row r="22" spans="3:7" x14ac:dyDescent="0.25">
      <c r="D22">
        <v>0</v>
      </c>
    </row>
    <row r="23" spans="3:7" x14ac:dyDescent="0.25">
      <c r="D23">
        <v>0</v>
      </c>
    </row>
    <row r="24" spans="3:7" x14ac:dyDescent="0.25">
      <c r="D24">
        <v>0</v>
      </c>
    </row>
    <row r="25" spans="3:7" x14ac:dyDescent="0.25">
      <c r="D25">
        <v>0</v>
      </c>
    </row>
    <row r="26" spans="3:7" x14ac:dyDescent="0.25">
      <c r="D26">
        <v>0</v>
      </c>
    </row>
    <row r="27" spans="3:7" x14ac:dyDescent="0.25">
      <c r="D27">
        <v>0</v>
      </c>
    </row>
    <row r="28" spans="3:7" x14ac:dyDescent="0.25">
      <c r="D28">
        <v>0</v>
      </c>
    </row>
    <row r="32" spans="3:7" x14ac:dyDescent="0.25">
      <c r="F32" s="20" t="s">
        <v>3</v>
      </c>
      <c r="G32" t="str" cm="1">
        <f t="array" ref="G32:G33">_xlfn.UNIQUE(_xlfn._xlws.FILTER(PRIORIDAD,(PROYECTO=$D$2)*(SECTOR=$E$2)*(AÑO=$F$2)*(MES=INFORME!$B$10)))</f>
        <v>BAJO</v>
      </c>
    </row>
    <row r="33" spans="3:7" x14ac:dyDescent="0.25">
      <c r="C33" s="6" t="s">
        <v>12</v>
      </c>
      <c r="D33" t="str" cm="1">
        <f t="array" ref="D33">_xlfn.UNIQUE(_xlfn._xlws.FILTER(AÑO,(PROYECTO=$D$2)*(SECTOR=$E$2)))</f>
        <v>2025</v>
      </c>
      <c r="G33" t="str">
        <v xml:space="preserve">ALTO </v>
      </c>
    </row>
    <row r="40" spans="3:7" x14ac:dyDescent="0.25">
      <c r="C40" s="10" t="s">
        <v>13</v>
      </c>
      <c r="D40" s="11" t="str" cm="1">
        <f t="array" ref="D40">_xlfn.UNIQUE(_xlfn._xlws.FILTER(MES,(PROYECTO=$D$2)*(SECTOR=$E$2)*(AÑO=$F$2)))</f>
        <v>ene</v>
      </c>
    </row>
    <row r="41" spans="3:7" x14ac:dyDescent="0.25">
      <c r="D41" s="11"/>
    </row>
    <row r="42" spans="3:7" x14ac:dyDescent="0.25">
      <c r="D42" s="11"/>
    </row>
    <row r="43" spans="3:7" x14ac:dyDescent="0.25">
      <c r="D43" s="11"/>
    </row>
    <row r="44" spans="3:7" x14ac:dyDescent="0.25">
      <c r="D44" s="11"/>
    </row>
    <row r="45" spans="3:7" x14ac:dyDescent="0.25">
      <c r="D45" s="11"/>
    </row>
    <row r="46" spans="3:7" x14ac:dyDescent="0.25">
      <c r="D46" s="11"/>
    </row>
    <row r="54" spans="1:5" x14ac:dyDescent="0.25">
      <c r="A54" t="s">
        <v>19</v>
      </c>
      <c r="B54">
        <f>IF(INFORME!D34="","",COUNTA(_xlfn.ANCHORARRAY(INFORME!A34)))</f>
        <v>1</v>
      </c>
    </row>
    <row r="56" spans="1:5" x14ac:dyDescent="0.25">
      <c r="A56" t="s">
        <v>20</v>
      </c>
      <c r="B56" t="str">
        <f>IF(INFORME!D34="","","Del "&amp;TEXT(MIN(_xlfn.ANCHORARRAY(INFORME!D34)),"dd-mmm")&amp;" al "&amp;TEXT(MAX(_xlfn.ANCHORARRAY(INFORME!E34)),"dd-mmm"))</f>
        <v>Del 08-ene al 10-ene</v>
      </c>
    </row>
    <row r="59" spans="1:5" x14ac:dyDescent="0.25">
      <c r="A59" t="s">
        <v>11</v>
      </c>
      <c r="B59" s="1">
        <f ca="1">IF(INFORME!D34="","",SUM(_xlfn.ANCHORARRAY(INFORME!I34)))</f>
        <v>-1</v>
      </c>
    </row>
    <row r="62" spans="1:5" ht="15.75" x14ac:dyDescent="0.25">
      <c r="A62" t="s">
        <v>22</v>
      </c>
      <c r="C62" s="28" t="s">
        <v>32</v>
      </c>
    </row>
    <row r="63" spans="1:5" x14ac:dyDescent="0.25">
      <c r="C63" s="26" t="s">
        <v>29</v>
      </c>
      <c r="D63" s="23" t="s">
        <v>30</v>
      </c>
      <c r="E63" s="23" t="s">
        <v>31</v>
      </c>
    </row>
    <row r="64" spans="1:5" x14ac:dyDescent="0.25">
      <c r="C64" s="27">
        <f ca="1">IFERROR(AVERAGE(_xlfn.ANCHORARRAY(INFORME!I34)),0)</f>
        <v>-1</v>
      </c>
      <c r="D64" s="25">
        <v>0.03</v>
      </c>
      <c r="E64" s="25">
        <f ca="1">1.73-SUM(C64,D64)</f>
        <v>2.7</v>
      </c>
    </row>
    <row r="65" spans="1:5" x14ac:dyDescent="0.25">
      <c r="A65" t="s">
        <v>23</v>
      </c>
    </row>
    <row r="67" spans="1:5" x14ac:dyDescent="0.25">
      <c r="A67" s="24" t="s">
        <v>24</v>
      </c>
    </row>
    <row r="69" spans="1:5" x14ac:dyDescent="0.25">
      <c r="A69" s="23" t="s">
        <v>25</v>
      </c>
      <c r="B69" s="25">
        <v>0.45</v>
      </c>
      <c r="D69" t="s">
        <v>33</v>
      </c>
      <c r="E69" t="s">
        <v>34</v>
      </c>
    </row>
    <row r="70" spans="1:5" x14ac:dyDescent="0.25">
      <c r="A70" s="23" t="s">
        <v>26</v>
      </c>
      <c r="B70" s="25">
        <v>0.2</v>
      </c>
      <c r="D70" t="s">
        <v>35</v>
      </c>
      <c r="E70" t="s">
        <v>37</v>
      </c>
    </row>
    <row r="71" spans="1:5" x14ac:dyDescent="0.25">
      <c r="A71" s="23" t="s">
        <v>27</v>
      </c>
      <c r="B71" s="25">
        <v>0.2</v>
      </c>
      <c r="D71" t="s">
        <v>36</v>
      </c>
      <c r="E71" t="s">
        <v>38</v>
      </c>
    </row>
    <row r="72" spans="1:5" x14ac:dyDescent="0.25">
      <c r="A72" s="23" t="s">
        <v>28</v>
      </c>
      <c r="B72" s="25">
        <v>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0BF64-2FD0-4E04-83BF-AC1EFA2B1E0B}">
  <dimension ref="A1:I48"/>
  <sheetViews>
    <sheetView showGridLines="0" zoomScale="70" zoomScaleNormal="70" workbookViewId="0">
      <selection activeCell="B4" sqref="B4"/>
    </sheetView>
  </sheetViews>
  <sheetFormatPr baseColWidth="10" defaultRowHeight="15" x14ac:dyDescent="0.25"/>
  <cols>
    <col min="1" max="1" width="14.7109375" customWidth="1"/>
    <col min="2" max="2" width="20.85546875" customWidth="1"/>
    <col min="3" max="3" width="15.85546875" bestFit="1" customWidth="1"/>
    <col min="5" max="5" width="12.42578125" bestFit="1" customWidth="1"/>
    <col min="6" max="6" width="12" bestFit="1" customWidth="1"/>
    <col min="7" max="7" width="13.7109375" bestFit="1" customWidth="1"/>
    <col min="8" max="8" width="11.42578125" bestFit="1" customWidth="1"/>
    <col min="10" max="10" width="12" bestFit="1" customWidth="1"/>
    <col min="11" max="11" width="13.7109375" bestFit="1" customWidth="1"/>
  </cols>
  <sheetData>
    <row r="1" spans="1:9" ht="31.5" x14ac:dyDescent="0.5">
      <c r="A1" s="19" t="s">
        <v>18</v>
      </c>
      <c r="H1" s="20" t="s">
        <v>3</v>
      </c>
      <c r="I1" s="21" t="s">
        <v>14</v>
      </c>
    </row>
    <row r="4" spans="1:9" ht="15.75" thickBot="1" x14ac:dyDescent="0.3">
      <c r="A4" s="12" t="s">
        <v>0</v>
      </c>
      <c r="B4" s="13" t="s">
        <v>44</v>
      </c>
    </row>
    <row r="5" spans="1:9" x14ac:dyDescent="0.25">
      <c r="B5" s="8"/>
    </row>
    <row r="6" spans="1:9" ht="15.75" thickBot="1" x14ac:dyDescent="0.3">
      <c r="A6" s="12" t="s">
        <v>1</v>
      </c>
      <c r="B6" s="13" t="s">
        <v>97</v>
      </c>
    </row>
    <row r="7" spans="1:9" x14ac:dyDescent="0.25">
      <c r="B7" s="8"/>
    </row>
    <row r="8" spans="1:9" x14ac:dyDescent="0.25">
      <c r="A8" s="6" t="s">
        <v>12</v>
      </c>
      <c r="B8" s="17" t="s">
        <v>100</v>
      </c>
    </row>
    <row r="10" spans="1:9" x14ac:dyDescent="0.25">
      <c r="A10" s="14" t="s">
        <v>13</v>
      </c>
      <c r="B10" s="16" t="s">
        <v>101</v>
      </c>
    </row>
    <row r="33" spans="1:9" x14ac:dyDescent="0.25">
      <c r="A33" s="6" t="s">
        <v>2</v>
      </c>
      <c r="B33" s="6" t="s">
        <v>3</v>
      </c>
      <c r="C33" s="6" t="s">
        <v>5</v>
      </c>
      <c r="D33" s="6" t="s">
        <v>6</v>
      </c>
      <c r="E33" s="6" t="s">
        <v>7</v>
      </c>
      <c r="F33" s="6" t="s">
        <v>8</v>
      </c>
      <c r="G33" s="6" t="s">
        <v>9</v>
      </c>
      <c r="H33" s="6" t="s">
        <v>10</v>
      </c>
      <c r="I33" s="15" t="s">
        <v>11</v>
      </c>
    </row>
    <row r="34" spans="1:9" x14ac:dyDescent="0.25">
      <c r="A34" t="str" cm="1">
        <f t="array" ref="A34">IFERROR(_xlfn._xlws.FILTER(TAREA,(PROYECTO=$B$4)*(SECTOR=$B$6)*(AÑO=$B$8)*(MES=B10)*(PRIORIDAD=$I$1)),"SIN REGISTRO")</f>
        <v>Instalar y configurar MySQL en el servidor</v>
      </c>
      <c r="B34" t="str" cm="1">
        <f t="array" ref="B34">IFERROR(_xlfn._xlws.FILTER(PRIORIDAD,(PROYECTO=$B$4)*(SECTOR=$B$6)*(AÑO=$B$8)*(MES=B10)*(PRIORIDAD=$I$1)),"")</f>
        <v xml:space="preserve">ALTO </v>
      </c>
      <c r="C34" t="str" cm="1">
        <f t="array" ref="C34">IFERROR(_xlfn._xlws.FILTER(REALIZADO_POR,(PROYECTO=$B$4)*(SECTOR=$B$6)*(AÑO=$B$8)*(MES=B10)*(PRIORIDAD=$I$1)),"")</f>
        <v>ALEIX</v>
      </c>
      <c r="D34" s="22" cm="1">
        <f t="array" ref="D34">IFERROR(_xlfn._xlws.FILTER(INICIO,(PROYECTO=$B$4)*(SECTOR=$B$6)*(AÑO=$B$8)*(MES=B10)*(PRIORIDAD=$I$1)),"")</f>
        <v>45665</v>
      </c>
      <c r="E34" s="3" cm="1">
        <f t="array" ref="E34">IFERROR(_xlfn._xlws.FILTER(FIN,(PROYECTO=$B$4)*(SECTOR=$B$6)*(AÑO=$B$8)*(MES=B10)*(PRIORIDAD=$I$1)),"")</f>
        <v>45667</v>
      </c>
      <c r="F34" s="39" t="str" cm="1">
        <f t="array" ref="F34">IFERROR(_xlfn._xlws.FILTER(REQUERIDO,(PROYECTO=$B$4)*(SECTOR=$B$6)*(AÑO=$B$8)*(MES=B10)*(PRIORIDAD=$I$1)),"")</f>
        <v>100%</v>
      </c>
      <c r="G34" s="36" cm="1">
        <f t="array" ref="G34">IFERROR(_xlfn._xlws.FILTER(COMPLETADO,(PROYECTO=$B$4)*(SECTOR=$B$6)*(AÑO=$B$8)*(MES=B10)*(PRIORIDAD=$I$1)),"")</f>
        <v>2</v>
      </c>
      <c r="H34" s="36" cm="1">
        <f t="array" aca="1" ref="H34" ca="1">IFERROR(_xlfn._xlws.FILTER(PENDIENTE,(PROYECTO=$B$4)*(SECTOR=$B$6)*(AÑO=$B$8)*(MES=B10)*(PRIORIDAD=$I$1)),"")</f>
        <v>-2</v>
      </c>
      <c r="I34" s="18" cm="1">
        <f t="array" aca="1" ref="I34" ca="1">IFERROR(_xlfn._xlws.FILTER(AVANCE,(PROYECTO=$B$4)*(SECTOR=$B$6)*(AÑO=$B$8)*(MES=B10)*(PRIORIDAD=$I$1)),"")</f>
        <v>-1</v>
      </c>
    </row>
    <row r="35" spans="1:9" x14ac:dyDescent="0.25">
      <c r="D35" s="22"/>
      <c r="E35" s="3"/>
      <c r="F35" s="1"/>
      <c r="G35" s="37"/>
      <c r="H35" s="38"/>
      <c r="I35" s="1"/>
    </row>
    <row r="36" spans="1:9" x14ac:dyDescent="0.25">
      <c r="D36" s="22"/>
      <c r="E36" s="3"/>
      <c r="F36" s="1"/>
      <c r="G36" s="37"/>
      <c r="H36" s="38"/>
      <c r="I36" s="1"/>
    </row>
    <row r="37" spans="1:9" x14ac:dyDescent="0.25">
      <c r="D37" s="22"/>
      <c r="E37" s="3"/>
      <c r="F37" s="1"/>
      <c r="G37" s="37"/>
      <c r="H37" s="38"/>
      <c r="I37" s="1"/>
    </row>
    <row r="38" spans="1:9" x14ac:dyDescent="0.25">
      <c r="D38" s="22"/>
      <c r="E38" s="3"/>
      <c r="F38" s="1"/>
      <c r="G38" s="37"/>
      <c r="H38" s="38"/>
      <c r="I38" s="1"/>
    </row>
    <row r="39" spans="1:9" x14ac:dyDescent="0.25">
      <c r="D39" s="22"/>
      <c r="E39" s="3"/>
      <c r="F39" s="1"/>
      <c r="G39" s="37"/>
      <c r="H39" s="38"/>
      <c r="I39" s="1"/>
    </row>
    <row r="40" spans="1:9" x14ac:dyDescent="0.25">
      <c r="D40" s="22"/>
      <c r="E40" s="3"/>
      <c r="F40" s="1"/>
      <c r="G40" s="37"/>
      <c r="H40" s="38"/>
      <c r="I40" s="1"/>
    </row>
    <row r="41" spans="1:9" x14ac:dyDescent="0.25">
      <c r="D41" s="22"/>
    </row>
    <row r="42" spans="1:9" x14ac:dyDescent="0.25">
      <c r="D42" s="22"/>
    </row>
    <row r="43" spans="1:9" x14ac:dyDescent="0.25">
      <c r="D43" s="22"/>
    </row>
    <row r="44" spans="1:9" x14ac:dyDescent="0.25">
      <c r="D44" s="22"/>
    </row>
    <row r="45" spans="1:9" x14ac:dyDescent="0.25">
      <c r="D45" s="22"/>
    </row>
    <row r="46" spans="1:9" x14ac:dyDescent="0.25">
      <c r="D46" s="22"/>
    </row>
    <row r="47" spans="1:9" x14ac:dyDescent="0.25">
      <c r="D47" s="22"/>
    </row>
    <row r="48" spans="1:9" x14ac:dyDescent="0.25">
      <c r="D48" s="22"/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52C9905D-F29A-4721-9036-DF62EC1F9BDA}">
          <x14:formula1>
            <xm:f>_xlfn.ANCHORARRAY(CALCULO!$B$2)</xm:f>
          </x14:formula1>
          <xm:sqref>B4</xm:sqref>
        </x14:dataValidation>
        <x14:dataValidation type="list" allowBlank="1" showInputMessage="1" showErrorMessage="1" xr:uid="{B5BA6293-F49D-49ED-97A6-77112FD513C4}">
          <x14:formula1>
            <xm:f>_xlfn.ANCHORARRAY(CALCULO!$F$21)</xm:f>
          </x14:formula1>
          <xm:sqref>B6</xm:sqref>
        </x14:dataValidation>
        <x14:dataValidation type="list" allowBlank="1" showInputMessage="1" showErrorMessage="1" xr:uid="{11E6D1FB-4CF0-4B99-A26D-386344B9A526}">
          <x14:formula1>
            <xm:f>_xlfn.ANCHORARRAY(CALCULO!$D$33)</xm:f>
          </x14:formula1>
          <xm:sqref>B8</xm:sqref>
        </x14:dataValidation>
        <x14:dataValidation type="list" allowBlank="1" showInputMessage="1" showErrorMessage="1" xr:uid="{601EF98D-9F9F-4BE2-A022-B86ECEFB2818}">
          <x14:formula1>
            <xm:f>_xlfn.ANCHORARRAY(CALCULO!$D$40)</xm:f>
          </x14:formula1>
          <xm:sqref>B10</xm:sqref>
        </x14:dataValidation>
        <x14:dataValidation type="list" allowBlank="1" showInputMessage="1" showErrorMessage="1" xr:uid="{AF1C34C7-44C3-4BC8-A612-C6D238AEA7C3}">
          <x14:formula1>
            <xm:f>_xlfn.ANCHORARRAY(CALCULO!$G$32)</xm:f>
          </x14:formula1>
          <xm:sqref>I1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17</vt:i4>
      </vt:variant>
    </vt:vector>
  </HeadingPairs>
  <TitlesOfParts>
    <vt:vector size="20" baseType="lpstr">
      <vt:lpstr>DATOS</vt:lpstr>
      <vt:lpstr>CALCULO</vt:lpstr>
      <vt:lpstr>INFORME</vt:lpstr>
      <vt:lpstr>AÑO</vt:lpstr>
      <vt:lpstr>AVANCE</vt:lpstr>
      <vt:lpstr>COMPLETADO</vt:lpstr>
      <vt:lpstr>FIN</vt:lpstr>
      <vt:lpstr>GPENDIENTE</vt:lpstr>
      <vt:lpstr>INICIO</vt:lpstr>
      <vt:lpstr>MES</vt:lpstr>
      <vt:lpstr>PENDIENTE</vt:lpstr>
      <vt:lpstr>PRIORIDAD</vt:lpstr>
      <vt:lpstr>PROGRESO</vt:lpstr>
      <vt:lpstr>PROYECTO</vt:lpstr>
      <vt:lpstr>REALIZADO_POR</vt:lpstr>
      <vt:lpstr>REQUERIDO</vt:lpstr>
      <vt:lpstr>RESPONSABLE</vt:lpstr>
      <vt:lpstr>RESPUESTA</vt:lpstr>
      <vt:lpstr>SECTOR</vt:lpstr>
      <vt:lpstr>TAREA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GESTION PRESENCIAL</dc:creator>
  <cp:lastModifiedBy>Cris Vazquez</cp:lastModifiedBy>
  <dcterms:created xsi:type="dcterms:W3CDTF">2024-03-01T09:39:20Z</dcterms:created>
  <dcterms:modified xsi:type="dcterms:W3CDTF">2025-01-12T16:48:05Z</dcterms:modified>
</cp:coreProperties>
</file>