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uarios\Simon\Documentos\Simulacion 2020\Actividad 2\"/>
    </mc:Choice>
  </mc:AlternateContent>
  <bookViews>
    <workbookView xWindow="-120" yWindow="-120" windowWidth="20730" windowHeight="11160" firstSheet="4" activeTab="10"/>
  </bookViews>
  <sheets>
    <sheet name="Portada" sheetId="12" r:id="rId1"/>
    <sheet name="Ejercicio 1" sheetId="3" r:id="rId2"/>
    <sheet name="Ejercicio 2" sheetId="2" r:id="rId3"/>
    <sheet name="Ejercicio 3" sheetId="4" r:id="rId4"/>
    <sheet name="Ejercicio 4" sheetId="5" r:id="rId5"/>
    <sheet name="Ejercicio 5" sheetId="6" r:id="rId6"/>
    <sheet name="Ejercicio 6" sheetId="1" r:id="rId7"/>
    <sheet name="Ejercicio 7" sheetId="13" r:id="rId8"/>
    <sheet name="Ejercicio 8" sheetId="8" r:id="rId9"/>
    <sheet name="Ejercicio 9" sheetId="9" r:id="rId10"/>
    <sheet name="Ejercicio 10" sheetId="10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3" l="1"/>
  <c r="D33" i="13"/>
  <c r="G33" i="13" l="1"/>
  <c r="D32" i="13"/>
  <c r="D31" i="13"/>
  <c r="Q24" i="10" l="1"/>
  <c r="Q22" i="10"/>
  <c r="Q20" i="10"/>
  <c r="Q18" i="10"/>
  <c r="Q16" i="10"/>
  <c r="H48" i="13"/>
  <c r="H73" i="13"/>
  <c r="D83" i="13"/>
  <c r="D82" i="13"/>
  <c r="D81" i="13"/>
  <c r="D80" i="13"/>
  <c r="D79" i="13"/>
  <c r="D78" i="13"/>
  <c r="H77" i="13"/>
  <c r="D77" i="13"/>
  <c r="D76" i="13"/>
  <c r="D75" i="13"/>
  <c r="D74" i="13"/>
  <c r="D73" i="13"/>
  <c r="D72" i="13"/>
  <c r="D71" i="13"/>
  <c r="D70" i="13"/>
  <c r="D69" i="13"/>
  <c r="H63" i="13" s="1"/>
  <c r="D68" i="13"/>
  <c r="D67" i="13"/>
  <c r="D66" i="13"/>
  <c r="H65" i="13"/>
  <c r="D65" i="13"/>
  <c r="D64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H44" i="13"/>
  <c r="D44" i="13"/>
  <c r="D43" i="13"/>
  <c r="D42" i="13"/>
  <c r="M41" i="13"/>
  <c r="D41" i="13"/>
  <c r="Q40" i="13"/>
  <c r="P40" i="13"/>
  <c r="O40" i="13"/>
  <c r="R40" i="13" s="1"/>
  <c r="N40" i="13"/>
  <c r="R39" i="13"/>
  <c r="P39" i="13"/>
  <c r="O39" i="13"/>
  <c r="N39" i="13"/>
  <c r="Q39" i="13" s="1"/>
  <c r="P38" i="13"/>
  <c r="O38" i="13"/>
  <c r="R38" i="13" s="1"/>
  <c r="N38" i="13"/>
  <c r="P37" i="13"/>
  <c r="R37" i="13" s="1"/>
  <c r="O37" i="13"/>
  <c r="N37" i="13"/>
  <c r="Q37" i="13" s="1"/>
  <c r="Q36" i="13"/>
  <c r="P36" i="13"/>
  <c r="O36" i="13"/>
  <c r="R36" i="13" s="1"/>
  <c r="N36" i="13"/>
  <c r="R35" i="13"/>
  <c r="P35" i="13"/>
  <c r="O35" i="13"/>
  <c r="N35" i="13"/>
  <c r="Q35" i="13" s="1"/>
  <c r="P34" i="13"/>
  <c r="R34" i="13" s="1"/>
  <c r="O34" i="13"/>
  <c r="N34" i="13"/>
  <c r="Q34" i="13" s="1"/>
  <c r="D34" i="13"/>
  <c r="R33" i="13"/>
  <c r="P33" i="13"/>
  <c r="O33" i="13"/>
  <c r="N33" i="13"/>
  <c r="Q33" i="13" s="1"/>
  <c r="Q32" i="13"/>
  <c r="P32" i="13"/>
  <c r="O32" i="13"/>
  <c r="R32" i="13" s="1"/>
  <c r="N32" i="13"/>
  <c r="P31" i="13"/>
  <c r="O31" i="13"/>
  <c r="R31" i="13" s="1"/>
  <c r="N31" i="13"/>
  <c r="P30" i="13"/>
  <c r="R30" i="13" s="1"/>
  <c r="O30" i="13"/>
  <c r="N30" i="13"/>
  <c r="Q30" i="13" s="1"/>
  <c r="H30" i="13"/>
  <c r="I30" i="13" s="1"/>
  <c r="G30" i="13"/>
  <c r="D30" i="13"/>
  <c r="Q29" i="13"/>
  <c r="P29" i="13"/>
  <c r="O29" i="13"/>
  <c r="R29" i="13" s="1"/>
  <c r="N29" i="13"/>
  <c r="G29" i="13"/>
  <c r="D29" i="13"/>
  <c r="R28" i="13"/>
  <c r="P28" i="13"/>
  <c r="O28" i="13"/>
  <c r="N28" i="13"/>
  <c r="Q28" i="13" s="1"/>
  <c r="H28" i="13"/>
  <c r="I28" i="13" s="1"/>
  <c r="G28" i="13"/>
  <c r="R27" i="13"/>
  <c r="P27" i="13"/>
  <c r="O27" i="13"/>
  <c r="N27" i="13"/>
  <c r="Q27" i="13" s="1"/>
  <c r="H27" i="13"/>
  <c r="I27" i="13" s="1"/>
  <c r="G27" i="13"/>
  <c r="R26" i="13"/>
  <c r="P26" i="13"/>
  <c r="O26" i="13"/>
  <c r="N26" i="13"/>
  <c r="Q26" i="13" s="1"/>
  <c r="H26" i="13"/>
  <c r="I26" i="13" s="1"/>
  <c r="G26" i="13"/>
  <c r="R25" i="13"/>
  <c r="P25" i="13"/>
  <c r="O25" i="13"/>
  <c r="N25" i="13"/>
  <c r="Q25" i="13" s="1"/>
  <c r="H25" i="13"/>
  <c r="I25" i="13" s="1"/>
  <c r="G25" i="13"/>
  <c r="P24" i="13"/>
  <c r="O24" i="13"/>
  <c r="R24" i="13" s="1"/>
  <c r="N24" i="13"/>
  <c r="H24" i="13"/>
  <c r="I24" i="13" s="1"/>
  <c r="G24" i="13"/>
  <c r="G31" i="13" s="1"/>
  <c r="D24" i="13"/>
  <c r="Q23" i="13"/>
  <c r="P23" i="13"/>
  <c r="R23" i="13" s="1"/>
  <c r="O23" i="13"/>
  <c r="N23" i="13"/>
  <c r="H23" i="13"/>
  <c r="I23" i="13" s="1"/>
  <c r="G23" i="13"/>
  <c r="R22" i="13"/>
  <c r="Q22" i="13"/>
  <c r="P22" i="13"/>
  <c r="O22" i="13"/>
  <c r="N22" i="13"/>
  <c r="G22" i="13"/>
  <c r="R21" i="13"/>
  <c r="P44" i="13" s="1"/>
  <c r="P21" i="13"/>
  <c r="O21" i="13"/>
  <c r="N21" i="13"/>
  <c r="Q21" i="13" s="1"/>
  <c r="H21" i="13"/>
  <c r="I21" i="13" s="1"/>
  <c r="G21" i="13"/>
  <c r="D21" i="13"/>
  <c r="D22" i="13" s="1"/>
  <c r="D18" i="13"/>
  <c r="D23" i="13" l="1"/>
  <c r="D25" i="13"/>
  <c r="H69" i="13"/>
  <c r="H71" i="13"/>
  <c r="H42" i="13"/>
  <c r="H46" i="13" s="1"/>
  <c r="Q24" i="13"/>
  <c r="Q31" i="13"/>
  <c r="N44" i="13" s="1"/>
  <c r="R44" i="13" s="1"/>
  <c r="Q38" i="13"/>
  <c r="H22" i="13"/>
  <c r="I22" i="13" s="1"/>
  <c r="I31" i="13" s="1"/>
  <c r="H29" i="13"/>
  <c r="I29" i="13" s="1"/>
  <c r="Q19" i="8"/>
  <c r="Q18" i="8"/>
  <c r="Q17" i="8"/>
  <c r="Q16" i="8"/>
  <c r="Q20" i="8" s="1"/>
  <c r="K21" i="10"/>
  <c r="E20" i="10"/>
  <c r="K16" i="10"/>
  <c r="E16" i="10"/>
  <c r="E18" i="10" s="1"/>
  <c r="E19" i="10" s="1"/>
  <c r="K15" i="10"/>
  <c r="E13" i="10"/>
  <c r="H31" i="13" l="1"/>
  <c r="H75" i="13"/>
  <c r="Q26" i="10"/>
  <c r="K18" i="10"/>
  <c r="K22" i="10" s="1"/>
  <c r="E21" i="10"/>
  <c r="Q14" i="10"/>
  <c r="R28" i="10" s="1"/>
  <c r="K17" i="10"/>
  <c r="K20" i="10" s="1"/>
  <c r="R22" i="10" l="1"/>
  <c r="S22" i="10" s="1"/>
  <c r="R20" i="10"/>
  <c r="S20" i="10" s="1"/>
  <c r="R16" i="10"/>
  <c r="R18" i="10"/>
  <c r="S18" i="10" s="1"/>
  <c r="R24" i="10"/>
  <c r="S24" i="10" s="1"/>
  <c r="S16" i="10" l="1"/>
  <c r="S26" i="10" s="1"/>
  <c r="R26" i="10"/>
  <c r="F21" i="9" l="1"/>
  <c r="F19" i="9"/>
  <c r="F22" i="9" s="1"/>
  <c r="F17" i="9"/>
  <c r="F14" i="9"/>
  <c r="M51" i="8"/>
  <c r="M50" i="8"/>
  <c r="E50" i="8"/>
  <c r="M49" i="8"/>
  <c r="E49" i="8"/>
  <c r="M48" i="8"/>
  <c r="E48" i="8"/>
  <c r="M47" i="8"/>
  <c r="E47" i="8"/>
  <c r="M46" i="8"/>
  <c r="E46" i="8"/>
  <c r="M45" i="8"/>
  <c r="E45" i="8"/>
  <c r="M44" i="8"/>
  <c r="E44" i="8"/>
  <c r="M43" i="8"/>
  <c r="E43" i="8"/>
  <c r="M42" i="8"/>
  <c r="E42" i="8"/>
  <c r="P41" i="8"/>
  <c r="M41" i="8"/>
  <c r="E41" i="8"/>
  <c r="M40" i="8"/>
  <c r="E40" i="8"/>
  <c r="M39" i="8"/>
  <c r="E39" i="8"/>
  <c r="M38" i="8"/>
  <c r="H38" i="8"/>
  <c r="E38" i="8"/>
  <c r="M37" i="8"/>
  <c r="E37" i="8"/>
  <c r="M36" i="8"/>
  <c r="E36" i="8"/>
  <c r="M35" i="8"/>
  <c r="E35" i="8"/>
  <c r="M34" i="8"/>
  <c r="E34" i="8"/>
  <c r="M33" i="8"/>
  <c r="E33" i="8"/>
  <c r="M32" i="8"/>
  <c r="E32" i="8"/>
  <c r="K21" i="8"/>
  <c r="E20" i="8"/>
  <c r="E16" i="8"/>
  <c r="E18" i="8" s="1"/>
  <c r="K15" i="8"/>
  <c r="K17" i="8" s="1"/>
  <c r="K20" i="8" s="1"/>
  <c r="E13" i="8"/>
  <c r="P35" i="8" l="1"/>
  <c r="R16" i="8"/>
  <c r="Q14" i="8"/>
  <c r="R23" i="8" s="1"/>
  <c r="R19" i="8"/>
  <c r="R17" i="8"/>
  <c r="R18" i="8"/>
  <c r="F20" i="9"/>
  <c r="E21" i="8"/>
  <c r="E19" i="8"/>
  <c r="H34" i="8"/>
  <c r="S17" i="8"/>
  <c r="Z21" i="8"/>
  <c r="P34" i="8"/>
  <c r="H35" i="8"/>
  <c r="S18" i="8"/>
  <c r="S19" i="8"/>
  <c r="K16" i="8"/>
  <c r="K18" i="8" s="1"/>
  <c r="K22" i="8" s="1"/>
  <c r="R20" i="8" l="1"/>
  <c r="H36" i="8"/>
  <c r="P38" i="8"/>
  <c r="P37" i="8"/>
  <c r="P39" i="8" s="1"/>
  <c r="AS18" i="8"/>
  <c r="AS20" i="8" s="1"/>
  <c r="AO18" i="8"/>
  <c r="AO20" i="8" s="1"/>
  <c r="AK18" i="8"/>
  <c r="AK20" i="8" s="1"/>
  <c r="AG18" i="8"/>
  <c r="AG20" i="8" s="1"/>
  <c r="AC18" i="8"/>
  <c r="AC20" i="8" s="1"/>
  <c r="AP16" i="8"/>
  <c r="AP19" i="8" s="1"/>
  <c r="AL16" i="8"/>
  <c r="AL19" i="8" s="1"/>
  <c r="AH16" i="8"/>
  <c r="AH19" i="8" s="1"/>
  <c r="AD16" i="8"/>
  <c r="AD19" i="8" s="1"/>
  <c r="Z16" i="8"/>
  <c r="Z19" i="8" s="1"/>
  <c r="AR18" i="8"/>
  <c r="AR20" i="8" s="1"/>
  <c r="AN18" i="8"/>
  <c r="AN20" i="8" s="1"/>
  <c r="AJ18" i="8"/>
  <c r="AJ20" i="8" s="1"/>
  <c r="AF18" i="8"/>
  <c r="AF20" i="8" s="1"/>
  <c r="AB18" i="8"/>
  <c r="AB20" i="8" s="1"/>
  <c r="AS16" i="8"/>
  <c r="AS19" i="8" s="1"/>
  <c r="AO16" i="8"/>
  <c r="AO19" i="8" s="1"/>
  <c r="AK16" i="8"/>
  <c r="AK19" i="8" s="1"/>
  <c r="AG16" i="8"/>
  <c r="AG19" i="8" s="1"/>
  <c r="AC16" i="8"/>
  <c r="AC19" i="8" s="1"/>
  <c r="AQ18" i="8"/>
  <c r="AQ20" i="8" s="1"/>
  <c r="AM18" i="8"/>
  <c r="AM20" i="8" s="1"/>
  <c r="AI18" i="8"/>
  <c r="AI20" i="8" s="1"/>
  <c r="AE18" i="8"/>
  <c r="AE20" i="8" s="1"/>
  <c r="AA18" i="8"/>
  <c r="AA20" i="8" s="1"/>
  <c r="AL18" i="8"/>
  <c r="AL20" i="8" s="1"/>
  <c r="Z18" i="8"/>
  <c r="Z20" i="8" s="1"/>
  <c r="AR16" i="8"/>
  <c r="AR19" i="8" s="1"/>
  <c r="AN16" i="8"/>
  <c r="AN19" i="8" s="1"/>
  <c r="AJ16" i="8"/>
  <c r="AJ19" i="8" s="1"/>
  <c r="AF16" i="8"/>
  <c r="AF19" i="8" s="1"/>
  <c r="AB16" i="8"/>
  <c r="AB19" i="8" s="1"/>
  <c r="AP18" i="8"/>
  <c r="AP20" i="8" s="1"/>
  <c r="AH18" i="8"/>
  <c r="AH20" i="8" s="1"/>
  <c r="AD18" i="8"/>
  <c r="AD20" i="8" s="1"/>
  <c r="AQ16" i="8"/>
  <c r="AQ19" i="8" s="1"/>
  <c r="AM16" i="8"/>
  <c r="AM19" i="8" s="1"/>
  <c r="AI16" i="8"/>
  <c r="AI19" i="8" s="1"/>
  <c r="AE16" i="8"/>
  <c r="AE19" i="8" s="1"/>
  <c r="AA16" i="8"/>
  <c r="AA19" i="8" s="1"/>
  <c r="S16" i="8"/>
  <c r="S20" i="8" s="1"/>
  <c r="AB22" i="8" l="1"/>
  <c r="Z22" i="8"/>
  <c r="AD22" i="8" s="1"/>
  <c r="E20" i="1" l="1"/>
  <c r="R28" i="1" l="1"/>
  <c r="Q25" i="1"/>
  <c r="Q24" i="1"/>
  <c r="Q23" i="1"/>
  <c r="Q22" i="1"/>
  <c r="Q21" i="1"/>
  <c r="Q20" i="1"/>
  <c r="Q19" i="1"/>
  <c r="Q18" i="1"/>
  <c r="Q17" i="1"/>
  <c r="Q16" i="1"/>
  <c r="K21" i="1"/>
  <c r="K18" i="1"/>
  <c r="K22" i="1" s="1"/>
  <c r="K15" i="1"/>
  <c r="K16" i="1" s="1"/>
  <c r="E13" i="1"/>
  <c r="R18" i="1" s="1"/>
  <c r="E16" i="1"/>
  <c r="R24" i="1" l="1"/>
  <c r="S24" i="1" s="1"/>
  <c r="R20" i="1"/>
  <c r="R23" i="1"/>
  <c r="R19" i="1"/>
  <c r="P37" i="1"/>
  <c r="E18" i="1"/>
  <c r="H38" i="1"/>
  <c r="P41" i="1"/>
  <c r="S18" i="1"/>
  <c r="R16" i="1"/>
  <c r="S16" i="1" s="1"/>
  <c r="R22" i="1"/>
  <c r="R17" i="1"/>
  <c r="H34" i="1"/>
  <c r="P38" i="1"/>
  <c r="S20" i="1"/>
  <c r="K17" i="1"/>
  <c r="K20" i="1" s="1"/>
  <c r="R25" i="1"/>
  <c r="S25" i="1" s="1"/>
  <c r="R21" i="1"/>
  <c r="S21" i="1" s="1"/>
  <c r="Z21" i="1"/>
  <c r="H35" i="1"/>
  <c r="S23" i="1"/>
  <c r="S22" i="1"/>
  <c r="S17" i="1"/>
  <c r="S19" i="1"/>
  <c r="Q26" i="1"/>
  <c r="E21" i="1"/>
  <c r="E19" i="1"/>
  <c r="S26" i="1" l="1"/>
  <c r="R26" i="1"/>
  <c r="H36" i="1"/>
  <c r="P39" i="1"/>
  <c r="AC18" i="1"/>
  <c r="AC20" i="1" s="1"/>
  <c r="AG18" i="1"/>
  <c r="AG20" i="1" s="1"/>
  <c r="AD16" i="1"/>
  <c r="AD19" i="1" s="1"/>
  <c r="AH16" i="1"/>
  <c r="AH19" i="1" s="1"/>
  <c r="AD18" i="1"/>
  <c r="AD20" i="1" s="1"/>
  <c r="AH18" i="1"/>
  <c r="AH20" i="1" s="1"/>
  <c r="AA16" i="1"/>
  <c r="AA19" i="1" s="1"/>
  <c r="AE16" i="1"/>
  <c r="AE19" i="1" s="1"/>
  <c r="AI16" i="1"/>
  <c r="AI19" i="1" s="1"/>
  <c r="AA18" i="1"/>
  <c r="AA20" i="1" s="1"/>
  <c r="AE18" i="1"/>
  <c r="AE20" i="1" s="1"/>
  <c r="AI18" i="1"/>
  <c r="AI20" i="1" s="1"/>
  <c r="AB16" i="1"/>
  <c r="AB19" i="1" s="1"/>
  <c r="AF16" i="1"/>
  <c r="AF19" i="1" s="1"/>
  <c r="Z16" i="1"/>
  <c r="Z19" i="1" s="1"/>
  <c r="AB18" i="1"/>
  <c r="AB20" i="1" s="1"/>
  <c r="AF18" i="1"/>
  <c r="AF20" i="1" s="1"/>
  <c r="Z18" i="1"/>
  <c r="Z20" i="1" s="1"/>
  <c r="AC16" i="1"/>
  <c r="AC19" i="1" s="1"/>
  <c r="AG16" i="1"/>
  <c r="AG19" i="1" s="1"/>
  <c r="Z22" i="1" l="1"/>
  <c r="AD22" i="1" s="1"/>
  <c r="AB22" i="1"/>
</calcChain>
</file>

<file path=xl/sharedStrings.xml><?xml version="1.0" encoding="utf-8"?>
<sst xmlns="http://schemas.openxmlformats.org/spreadsheetml/2006/main" count="422" uniqueCount="251">
  <si>
    <t>n=</t>
  </si>
  <si>
    <t>Pruebas de Medias</t>
  </si>
  <si>
    <r>
      <rPr>
        <sz val="11"/>
        <color theme="1"/>
        <rFont val="Times New Roman"/>
        <family val="1"/>
      </rPr>
      <t>α</t>
    </r>
    <r>
      <rPr>
        <sz val="11"/>
        <color theme="1"/>
        <rFont val="Calibri"/>
        <family val="2"/>
      </rPr>
      <t>=</t>
    </r>
  </si>
  <si>
    <r>
      <rPr>
        <sz val="11"/>
        <color theme="1"/>
        <rFont val="Times New Roman"/>
        <family val="1"/>
      </rPr>
      <t>1 - α/2</t>
    </r>
    <r>
      <rPr>
        <sz val="11"/>
        <color theme="1"/>
        <rFont val="Calibri"/>
        <family val="2"/>
      </rPr>
      <t>=</t>
    </r>
  </si>
  <si>
    <t>Zα/2=</t>
  </si>
  <si>
    <t>Límite Inferior=</t>
  </si>
  <si>
    <t xml:space="preserve">Promedio Muestra R= </t>
  </si>
  <si>
    <t>Límite Sup=</t>
  </si>
  <si>
    <t>No podemos rechazar</t>
  </si>
  <si>
    <t>α=</t>
  </si>
  <si>
    <t>Nros. Pseud.</t>
  </si>
  <si>
    <t>Prueba de Varianza</t>
  </si>
  <si>
    <r>
      <rPr>
        <sz val="11"/>
        <color theme="1"/>
        <rFont val="Times New Roman"/>
        <family val="1"/>
      </rPr>
      <t>α/2</t>
    </r>
    <r>
      <rPr>
        <sz val="11"/>
        <color theme="1"/>
        <rFont val="Calibri"/>
        <family val="2"/>
      </rPr>
      <t>=</t>
    </r>
  </si>
  <si>
    <r>
      <t>χ</t>
    </r>
    <r>
      <rPr>
        <sz val="8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(α/2, n-1)</t>
    </r>
  </si>
  <si>
    <r>
      <t>χ</t>
    </r>
    <r>
      <rPr>
        <sz val="8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(1 - α/2, n-1)</t>
    </r>
  </si>
  <si>
    <t>Varianza Muestra R=</t>
  </si>
  <si>
    <t>Límite Superior=</t>
  </si>
  <si>
    <t>a)</t>
  </si>
  <si>
    <t>b)</t>
  </si>
  <si>
    <t>c)</t>
  </si>
  <si>
    <t>m=</t>
  </si>
  <si>
    <t>Frecuencias</t>
  </si>
  <si>
    <t>Observada (Oi)</t>
  </si>
  <si>
    <t>Esperada(Ei)</t>
  </si>
  <si>
    <t>(Ei-Oi)2/Ei</t>
  </si>
  <si>
    <t>.00,.10</t>
  </si>
  <si>
    <t>.10,.20</t>
  </si>
  <si>
    <t>.20,.30</t>
  </si>
  <si>
    <t>.30,.40</t>
  </si>
  <si>
    <t>.40,.50</t>
  </si>
  <si>
    <t>.50,.60</t>
  </si>
  <si>
    <t>.60,.70</t>
  </si>
  <si>
    <t>.70,.80</t>
  </si>
  <si>
    <t>.80,.90</t>
  </si>
  <si>
    <t>.90,1</t>
  </si>
  <si>
    <t>Control</t>
  </si>
  <si>
    <r>
      <t>χ</t>
    </r>
    <r>
      <rPr>
        <sz val="8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(α, m-1)</t>
    </r>
  </si>
  <si>
    <t>Prueba de Uniformidad (Prueba de Kolmogorov-Smirnov)</t>
  </si>
  <si>
    <r>
      <rPr>
        <b/>
        <sz val="11"/>
        <color theme="1"/>
        <rFont val="Calibri"/>
        <family val="2"/>
        <scheme val="minor"/>
      </rPr>
      <t xml:space="preserve">Prueba de Uniformidad (Prueba de Chi cuadrada) </t>
    </r>
    <r>
      <rPr>
        <sz val="11"/>
        <color theme="1"/>
        <rFont val="Calibri"/>
        <family val="2"/>
        <scheme val="minor"/>
      </rPr>
      <t xml:space="preserve">   </t>
    </r>
  </si>
  <si>
    <t>i</t>
  </si>
  <si>
    <t>i/n</t>
  </si>
  <si>
    <t>ri</t>
  </si>
  <si>
    <t>(i-1)/n</t>
  </si>
  <si>
    <t>i/n - ri</t>
  </si>
  <si>
    <t>ri - (i-1)/n</t>
  </si>
  <si>
    <t>D+ =</t>
  </si>
  <si>
    <t>n =</t>
  </si>
  <si>
    <t>D- =</t>
  </si>
  <si>
    <t>D =</t>
  </si>
  <si>
    <t>D (α, n)</t>
  </si>
  <si>
    <t>d)</t>
  </si>
  <si>
    <t>S</t>
  </si>
  <si>
    <t>Co =</t>
  </si>
  <si>
    <t>μ =</t>
  </si>
  <si>
    <t>σ^2 =</t>
  </si>
  <si>
    <t>Z =</t>
  </si>
  <si>
    <t>Prueba de Corridas Arriba y Abajo</t>
  </si>
  <si>
    <t>Z (α/2)</t>
  </si>
  <si>
    <t>Pruebas de Corridas Arriba y Abajo de la Media</t>
  </si>
  <si>
    <t>n0 =</t>
  </si>
  <si>
    <t>n1 =</t>
  </si>
  <si>
    <t>Se rechaza</t>
  </si>
  <si>
    <t>No se puede rechazar</t>
  </si>
  <si>
    <t>~ 0.34</t>
  </si>
  <si>
    <t>No podemos rechazar ya que D es menos que  D (α, n)</t>
  </si>
  <si>
    <t xml:space="preserve">a = 1 + 4k </t>
  </si>
  <si>
    <t xml:space="preserve">m = 2^g </t>
  </si>
  <si>
    <r>
      <t>X</t>
    </r>
    <r>
      <rPr>
        <vertAlign val="subscript"/>
        <sz val="6.6"/>
        <color rgb="FF000000"/>
        <rFont val="Arial"/>
        <family val="2"/>
      </rPr>
      <t>i+1</t>
    </r>
    <r>
      <rPr>
        <sz val="11"/>
        <color rgb="FF000000"/>
        <rFont val="Arial"/>
        <family val="2"/>
      </rPr>
      <t xml:space="preserve"> = (a * X</t>
    </r>
    <r>
      <rPr>
        <vertAlign val="subscript"/>
        <sz val="6.6"/>
        <color rgb="FF000000"/>
        <rFont val="Arial"/>
        <family val="2"/>
      </rPr>
      <t>i</t>
    </r>
    <r>
      <rPr>
        <sz val="11"/>
        <color rgb="FF000000"/>
        <rFont val="Arial"/>
        <family val="2"/>
      </rPr>
      <t xml:space="preserve"> + c)mod(m)</t>
    </r>
  </si>
  <si>
    <t xml:space="preserve">ri=Xim-1 </t>
  </si>
  <si>
    <t>X1= 5 </t>
  </si>
  <si>
    <t>r1 = 0,3333</t>
  </si>
  <si>
    <t>X2 =8</t>
  </si>
  <si>
    <t>r2 = 0,5333</t>
  </si>
  <si>
    <t>X3 = 15</t>
  </si>
  <si>
    <t>r3 = 1,0000</t>
  </si>
  <si>
    <t>X4 = 10</t>
  </si>
  <si>
    <t>r4 = 0,6670</t>
  </si>
  <si>
    <t>X5 = 9</t>
  </si>
  <si>
    <t>r5 = 0,6000</t>
  </si>
  <si>
    <t>X6 = 12</t>
  </si>
  <si>
    <t>r6 = 0,8000</t>
  </si>
  <si>
    <t>X7 = 3</t>
  </si>
  <si>
    <t>r7 = 0,2000</t>
  </si>
  <si>
    <t>X8 = 14</t>
  </si>
  <si>
    <t>r8 = 0,9333</t>
  </si>
  <si>
    <t>X9 = 13</t>
  </si>
  <si>
    <t>r9 = 0,8670</t>
  </si>
  <si>
    <t>X10 = 0</t>
  </si>
  <si>
    <t>r10 = 0,0000</t>
  </si>
  <si>
    <t>X11 = 7</t>
  </si>
  <si>
    <t>r11 = 0,4670</t>
  </si>
  <si>
    <t>X12 = 2</t>
  </si>
  <si>
    <t>r12 = 0,1333</t>
  </si>
  <si>
    <t>X13 = 1</t>
  </si>
  <si>
    <t>r13 = 0,0670</t>
  </si>
  <si>
    <t>X14 = 4</t>
  </si>
  <si>
    <t>r14 = 0,2670</t>
  </si>
  <si>
    <t>X15 = 11</t>
  </si>
  <si>
    <t>r15 = 0,7333</t>
  </si>
  <si>
    <t>X16 = 6</t>
  </si>
  <si>
    <t>r16 = 0,4000</t>
  </si>
  <si>
    <t>Si se alcanza el periodo de vida máximo ya que al cumplir todas las condiciones</t>
  </si>
  <si>
    <t>a = 1 + 4k donde k es entero</t>
  </si>
  <si>
    <t>c debe ser relativamente primo a m</t>
  </si>
  <si>
    <t>podemos observar que el periodo de vida máximo es N = m = 16 y se han generado 16 números pseudoaleatorios distintos.</t>
  </si>
  <si>
    <t>m = 2^g  donde g es entero</t>
  </si>
  <si>
    <t>a = 1 + 4k</t>
  </si>
  <si>
    <t xml:space="preserve">m = </t>
  </si>
  <si>
    <t>X1= 10 </t>
  </si>
  <si>
    <t>r1 = 0,4170</t>
  </si>
  <si>
    <t>X2 = 14</t>
  </si>
  <si>
    <t>r2 = 0,5833</t>
  </si>
  <si>
    <t>X3 = 16</t>
  </si>
  <si>
    <t>r3 = 0,6670</t>
  </si>
  <si>
    <t>X4 = 17</t>
  </si>
  <si>
    <t>r4 = 0,7083</t>
  </si>
  <si>
    <t>X5 = 5</t>
  </si>
  <si>
    <t>r5 = 0,2083</t>
  </si>
  <si>
    <t>X6 = 24</t>
  </si>
  <si>
    <t>r6 = 1,0000</t>
  </si>
  <si>
    <t>X7 = 21</t>
  </si>
  <si>
    <t>r7 = 0,8750</t>
  </si>
  <si>
    <t>X8 = 7</t>
  </si>
  <si>
    <t>r8 = 0,2920</t>
  </si>
  <si>
    <t>X9 = 0</t>
  </si>
  <si>
    <t>r9 = 0,0000</t>
  </si>
  <si>
    <t>X10 = 9</t>
  </si>
  <si>
    <t>r10 = 0,3750</t>
  </si>
  <si>
    <t>X11 = 1</t>
  </si>
  <si>
    <t>r11 = 0,0420</t>
  </si>
  <si>
    <t>X12 = 22</t>
  </si>
  <si>
    <t>r12 = 0,9170</t>
  </si>
  <si>
    <t>X13 = 20</t>
  </si>
  <si>
    <t>r13 = 0,8333</t>
  </si>
  <si>
    <t>X14 = 19</t>
  </si>
  <si>
    <t>r14 = 0,7920</t>
  </si>
  <si>
    <t>X15 = 6</t>
  </si>
  <si>
    <t>r15 = 0,2500</t>
  </si>
  <si>
    <t>X16 = 12</t>
  </si>
  <si>
    <t>r16 = 0,5000</t>
  </si>
  <si>
    <t>X17 = 15</t>
  </si>
  <si>
    <t>r17 = 0,6250</t>
  </si>
  <si>
    <t>X18 = 4</t>
  </si>
  <si>
    <t>r18 = 0,1670</t>
  </si>
  <si>
    <t>X19 = 11</t>
  </si>
  <si>
    <t>r19 = 0,4583</t>
  </si>
  <si>
    <t>X20 = 2</t>
  </si>
  <si>
    <t>r20 = 0,0833</t>
  </si>
  <si>
    <t>No se alcanza el periodo de vida máximo debido a que no se cumple la condición</t>
  </si>
  <si>
    <t>m = 2^g</t>
  </si>
  <si>
    <r>
      <t>siendo que m = 25 y 2^g</t>
    </r>
    <r>
      <rPr>
        <vertAlign val="superscript"/>
        <sz val="6.6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= 16, lo que produce un periodo de vida N = 20 el cual es menor a m.</t>
    </r>
  </si>
  <si>
    <t>.00,.25</t>
  </si>
  <si>
    <t>.50,.75</t>
  </si>
  <si>
    <t>.75,1</t>
  </si>
  <si>
    <t>CONJUNTO</t>
  </si>
  <si>
    <r>
      <rPr>
        <sz val="11"/>
        <color rgb="FF000000"/>
        <rFont val="Times New Roman"/>
        <family val="1"/>
      </rPr>
      <t>α</t>
    </r>
    <r>
      <rPr>
        <sz val="11"/>
        <color rgb="FF000000"/>
        <rFont val="Calibri"/>
        <family val="2"/>
      </rPr>
      <t>=</t>
    </r>
  </si>
  <si>
    <r>
      <rPr>
        <sz val="11"/>
        <color rgb="FF000000"/>
        <rFont val="Times New Roman"/>
        <family val="1"/>
      </rPr>
      <t>1 - α/2</t>
    </r>
    <r>
      <rPr>
        <sz val="11"/>
        <color rgb="FF000000"/>
        <rFont val="Calibri"/>
        <family val="2"/>
      </rPr>
      <t>=</t>
    </r>
  </si>
  <si>
    <t>Promedio Muestra R=</t>
  </si>
  <si>
    <t>SE RECHAZA</t>
  </si>
  <si>
    <t>.00,.20</t>
  </si>
  <si>
    <t>.20,.40</t>
  </si>
  <si>
    <t>.40,.60</t>
  </si>
  <si>
    <t>.60,.80</t>
  </si>
  <si>
    <t>.80,1</t>
  </si>
  <si>
    <t>.25,.50</t>
  </si>
  <si>
    <t>Nros. Pseudoaleatorios</t>
  </si>
  <si>
    <t>Pruebas estadísticas</t>
  </si>
  <si>
    <t>Prueba de Uniformidad (Prueba de Chi cuadrada)</t>
  </si>
  <si>
    <r>
      <rPr>
        <b/>
        <sz val="11"/>
        <color indexed="8"/>
        <rFont val="Calibri"/>
        <family val="2"/>
      </rPr>
      <t>Prueba de Uniformidad (</t>
    </r>
    <r>
      <rPr>
        <b/>
        <sz val="11"/>
        <color indexed="8"/>
        <rFont val="Calibri"/>
        <family val="2"/>
        <charset val="1"/>
      </rPr>
      <t>Prueba de Kolmogorov – Smirnov)</t>
    </r>
  </si>
  <si>
    <r>
      <rPr>
        <sz val="11"/>
        <color indexed="8"/>
        <rFont val="Times New Roman"/>
        <family val="1"/>
        <charset val="1"/>
      </rPr>
      <t>α</t>
    </r>
    <r>
      <rPr>
        <sz val="11"/>
        <color indexed="8"/>
        <rFont val="Calibri"/>
        <family val="2"/>
        <charset val="1"/>
      </rPr>
      <t>=</t>
    </r>
  </si>
  <si>
    <t>Conjunto ri ordenado</t>
  </si>
  <si>
    <t xml:space="preserve">ri </t>
  </si>
  <si>
    <t xml:space="preserve">i/n - ri </t>
  </si>
  <si>
    <t>ri – (i-1)/n</t>
  </si>
  <si>
    <r>
      <rPr>
        <sz val="11"/>
        <color indexed="8"/>
        <rFont val="Times New Roman"/>
        <family val="1"/>
        <charset val="1"/>
      </rPr>
      <t>1 - α/2</t>
    </r>
    <r>
      <rPr>
        <sz val="11"/>
        <color indexed="8"/>
        <rFont val="Calibri"/>
        <family val="2"/>
        <charset val="1"/>
      </rPr>
      <t>=</t>
    </r>
  </si>
  <si>
    <r>
      <rPr>
        <sz val="11"/>
        <color indexed="8"/>
        <rFont val="Times New Roman"/>
        <family val="1"/>
        <charset val="1"/>
      </rPr>
      <t>α/2</t>
    </r>
    <r>
      <rPr>
        <sz val="11"/>
        <color indexed="8"/>
        <rFont val="Calibri"/>
        <family val="2"/>
        <charset val="1"/>
      </rPr>
      <t>=</t>
    </r>
  </si>
  <si>
    <r>
      <rPr>
        <sz val="18"/>
        <color indexed="8"/>
        <rFont val="Times New Roman"/>
        <family val="1"/>
        <charset val="1"/>
      </rPr>
      <t>χ</t>
    </r>
    <r>
      <rPr>
        <sz val="8"/>
        <color indexed="8"/>
        <rFont val="Times New Roman"/>
        <family val="1"/>
        <charset val="1"/>
      </rPr>
      <t>2</t>
    </r>
    <r>
      <rPr>
        <sz val="9"/>
        <color indexed="8"/>
        <rFont val="Times New Roman"/>
        <family val="1"/>
        <charset val="1"/>
      </rPr>
      <t xml:space="preserve"> (α/2, n-1)</t>
    </r>
  </si>
  <si>
    <r>
      <rPr>
        <sz val="18"/>
        <color indexed="8"/>
        <rFont val="Times New Roman"/>
        <family val="1"/>
        <charset val="1"/>
      </rPr>
      <t>χ</t>
    </r>
    <r>
      <rPr>
        <sz val="8"/>
        <color indexed="8"/>
        <rFont val="Times New Roman"/>
        <family val="1"/>
        <charset val="1"/>
      </rPr>
      <t>2</t>
    </r>
    <r>
      <rPr>
        <sz val="9"/>
        <color indexed="8"/>
        <rFont val="Times New Roman"/>
        <family val="1"/>
        <charset val="1"/>
      </rPr>
      <t xml:space="preserve"> (1 - α/2, n-1)</t>
    </r>
  </si>
  <si>
    <r>
      <rPr>
        <sz val="18"/>
        <color indexed="8"/>
        <rFont val="Times New Roman"/>
        <family val="1"/>
        <charset val="1"/>
      </rPr>
      <t>χ</t>
    </r>
    <r>
      <rPr>
        <sz val="8"/>
        <color indexed="8"/>
        <rFont val="Times New Roman"/>
        <family val="1"/>
        <charset val="1"/>
      </rPr>
      <t>2</t>
    </r>
    <r>
      <rPr>
        <sz val="9"/>
        <color indexed="8"/>
        <rFont val="Times New Roman"/>
        <family val="1"/>
        <charset val="1"/>
      </rPr>
      <t xml:space="preserve"> (α, m-1)</t>
    </r>
  </si>
  <si>
    <t>Prueba de Independencia (Prueba de Corridas arriba y abajo)</t>
  </si>
  <si>
    <t>Orden</t>
  </si>
  <si>
    <r>
      <rPr>
        <b/>
        <sz val="10"/>
        <rFont val="Arial"/>
        <family val="2"/>
      </rPr>
      <t>Número de corridas C</t>
    </r>
    <r>
      <rPr>
        <b/>
        <vertAlign val="subscript"/>
        <sz val="10"/>
        <rFont val="Arial"/>
        <family val="2"/>
      </rPr>
      <t xml:space="preserve">0 </t>
    </r>
    <r>
      <rPr>
        <b/>
        <sz val="10"/>
        <rFont val="Arial"/>
        <family val="2"/>
      </rPr>
      <t>=</t>
    </r>
  </si>
  <si>
    <r>
      <rPr>
        <b/>
        <sz val="10"/>
        <rFont val="Arial"/>
        <family val="2"/>
      </rPr>
      <t xml:space="preserve">Valor esperado </t>
    </r>
    <r>
      <rPr>
        <b/>
        <sz val="10"/>
        <color indexed="8"/>
        <rFont val="Arial"/>
        <family val="2"/>
        <charset val="1"/>
      </rPr>
      <t>μ</t>
    </r>
    <r>
      <rPr>
        <b/>
        <vertAlign val="subscript"/>
        <sz val="10"/>
        <color indexed="8"/>
        <rFont val="Arial"/>
        <family val="2"/>
      </rPr>
      <t>C0</t>
    </r>
    <r>
      <rPr>
        <b/>
        <sz val="10"/>
        <color indexed="8"/>
        <rFont val="Arial"/>
        <family val="2"/>
        <charset val="1"/>
      </rPr>
      <t xml:space="preserve"> =</t>
    </r>
  </si>
  <si>
    <r>
      <rPr>
        <b/>
        <sz val="10"/>
        <rFont val="Arial"/>
        <family val="2"/>
      </rPr>
      <t>Varianza del número de cor</t>
    </r>
    <r>
      <rPr>
        <b/>
        <sz val="10"/>
        <rFont val="Arial"/>
        <family val="2"/>
        <charset val="1"/>
      </rPr>
      <t xml:space="preserve">ridas </t>
    </r>
    <r>
      <rPr>
        <b/>
        <sz val="10"/>
        <color indexed="8"/>
        <rFont val="Arial"/>
        <family val="2"/>
        <charset val="1"/>
      </rPr>
      <t>σ</t>
    </r>
    <r>
      <rPr>
        <b/>
        <vertAlign val="superscript"/>
        <sz val="10"/>
        <color indexed="8"/>
        <rFont val="Arial"/>
        <family val="2"/>
        <charset val="1"/>
      </rPr>
      <t>2</t>
    </r>
    <r>
      <rPr>
        <b/>
        <vertAlign val="subscript"/>
        <sz val="10"/>
        <color indexed="8"/>
        <rFont val="Arial"/>
        <family val="2"/>
      </rPr>
      <t>C0</t>
    </r>
    <r>
      <rPr>
        <b/>
        <sz val="10"/>
        <color indexed="8"/>
        <rFont val="Arial"/>
        <family val="2"/>
        <charset val="1"/>
      </rPr>
      <t>=</t>
    </r>
  </si>
  <si>
    <r>
      <rPr>
        <b/>
        <sz val="10"/>
        <rFont val="Arial"/>
        <family val="2"/>
      </rPr>
      <t>Estadístico Z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>=</t>
    </r>
  </si>
  <si>
    <t>Z (α/2)=</t>
  </si>
  <si>
    <t>Prueba de Independencia (Prueba de Corridas arriba y abajo de la media)</t>
  </si>
  <si>
    <r>
      <rPr>
        <b/>
        <sz val="10"/>
        <rFont val="Arial"/>
        <family val="2"/>
      </rPr>
      <t>Número de ceros N</t>
    </r>
    <r>
      <rPr>
        <b/>
        <vertAlign val="subscript"/>
        <sz val="10"/>
        <rFont val="Arial"/>
        <family val="2"/>
      </rPr>
      <t xml:space="preserve">0 </t>
    </r>
    <r>
      <rPr>
        <b/>
        <sz val="10"/>
        <rFont val="Arial"/>
        <family val="2"/>
      </rPr>
      <t>=</t>
    </r>
  </si>
  <si>
    <r>
      <rPr>
        <b/>
        <sz val="10"/>
        <rFont val="Arial"/>
        <family val="2"/>
      </rPr>
      <t>Número de unos N</t>
    </r>
    <r>
      <rPr>
        <b/>
        <vertAlign val="subscript"/>
        <sz val="10"/>
        <rFont val="Arial"/>
        <family val="2"/>
      </rPr>
      <t xml:space="preserve">1 </t>
    </r>
    <r>
      <rPr>
        <b/>
        <sz val="10"/>
        <rFont val="Arial"/>
        <family val="2"/>
      </rPr>
      <t>=</t>
    </r>
  </si>
  <si>
    <t>-Z (α/2)=</t>
  </si>
  <si>
    <r>
      <t>Y</t>
    </r>
    <r>
      <rPr>
        <vertAlign val="subscript"/>
        <sz val="6.6"/>
        <color rgb="FF000000"/>
        <rFont val="Arial"/>
        <family val="2"/>
      </rPr>
      <t>0</t>
    </r>
    <r>
      <rPr>
        <sz val="11"/>
        <color rgb="FF000000"/>
        <rFont val="Arial"/>
        <family val="2"/>
      </rPr>
      <t>=(5215)(5836)=30434740        X</t>
    </r>
    <r>
      <rPr>
        <vertAlign val="sub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=4347    r</t>
    </r>
    <r>
      <rPr>
        <vertAlign val="subscript"/>
        <sz val="6.6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=0,4347</t>
    </r>
  </si>
  <si>
    <r>
      <t>Y</t>
    </r>
    <r>
      <rPr>
        <vertAlign val="subscript"/>
        <sz val="6.6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=(5836)(4347)=25369092        X</t>
    </r>
    <r>
      <rPr>
        <vertAlign val="subscript"/>
        <sz val="6.6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=3690    r</t>
    </r>
    <r>
      <rPr>
        <vertAlign val="sub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=0,3690</t>
    </r>
  </si>
  <si>
    <r>
      <t>Y</t>
    </r>
    <r>
      <rPr>
        <vertAlign val="sub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=(4347)(3690)=16040430        X</t>
    </r>
    <r>
      <rPr>
        <vertAlign val="subscript"/>
        <sz val="6.6"/>
        <color rgb="FF000000"/>
        <rFont val="Arial"/>
        <family val="2"/>
      </rPr>
      <t>4</t>
    </r>
    <r>
      <rPr>
        <sz val="11"/>
        <color rgb="FF000000"/>
        <rFont val="Arial"/>
        <family val="2"/>
      </rPr>
      <t>=0404    r</t>
    </r>
    <r>
      <rPr>
        <vertAlign val="subscript"/>
        <sz val="6.6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=0,0404</t>
    </r>
  </si>
  <si>
    <r>
      <t>Y</t>
    </r>
    <r>
      <rPr>
        <vertAlign val="subscript"/>
        <sz val="6.6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=(3690)(404)=01490760        X</t>
    </r>
    <r>
      <rPr>
        <vertAlign val="subscript"/>
        <sz val="6.6"/>
        <color rgb="FF000000"/>
        <rFont val="Arial"/>
        <family val="2"/>
      </rPr>
      <t>5</t>
    </r>
    <r>
      <rPr>
        <sz val="11"/>
        <color rgb="FF000000"/>
        <rFont val="Arial"/>
        <family val="2"/>
      </rPr>
      <t>=4907    r</t>
    </r>
    <r>
      <rPr>
        <vertAlign val="subscript"/>
        <sz val="6.6"/>
        <color rgb="FF000000"/>
        <rFont val="Arial"/>
        <family val="2"/>
      </rPr>
      <t>4</t>
    </r>
    <r>
      <rPr>
        <sz val="11"/>
        <color rgb="FF000000"/>
        <rFont val="Arial"/>
        <family val="2"/>
      </rPr>
      <t>=0,4907</t>
    </r>
  </si>
  <si>
    <r>
      <t>Y</t>
    </r>
    <r>
      <rPr>
        <vertAlign val="subscript"/>
        <sz val="6.6"/>
        <color rgb="FF000000"/>
        <rFont val="Arial"/>
        <family val="2"/>
      </rPr>
      <t>4</t>
    </r>
    <r>
      <rPr>
        <sz val="11"/>
        <color rgb="FF000000"/>
        <rFont val="Arial"/>
        <family val="2"/>
      </rPr>
      <t>=(404)(4907)=01982428        X</t>
    </r>
    <r>
      <rPr>
        <vertAlign val="subscript"/>
        <sz val="6.6"/>
        <color rgb="FF000000"/>
        <rFont val="Arial"/>
        <family val="2"/>
      </rPr>
      <t>6</t>
    </r>
    <r>
      <rPr>
        <sz val="11"/>
        <color rgb="FF000000"/>
        <rFont val="Arial"/>
        <family val="2"/>
      </rPr>
      <t>=9824    r</t>
    </r>
    <r>
      <rPr>
        <vertAlign val="subscript"/>
        <sz val="6.6"/>
        <color rgb="FF000000"/>
        <rFont val="Arial"/>
        <family val="2"/>
      </rPr>
      <t>5</t>
    </r>
    <r>
      <rPr>
        <sz val="11"/>
        <color rgb="FF000000"/>
        <rFont val="Arial"/>
        <family val="2"/>
      </rPr>
      <t>=0,9824</t>
    </r>
  </si>
  <si>
    <r>
      <t>Y</t>
    </r>
    <r>
      <rPr>
        <vertAlign val="subscript"/>
        <sz val="6.6"/>
        <color rgb="FF000000"/>
        <rFont val="Arial"/>
        <family val="2"/>
      </rPr>
      <t>5</t>
    </r>
    <r>
      <rPr>
        <sz val="11"/>
        <color rgb="FF000000"/>
        <rFont val="Arial"/>
        <family val="2"/>
      </rPr>
      <t>=(4907)(9824)=48206368        X</t>
    </r>
    <r>
      <rPr>
        <vertAlign val="subscript"/>
        <sz val="6.6"/>
        <color rgb="FF000000"/>
        <rFont val="Arial"/>
        <family val="2"/>
      </rPr>
      <t>7</t>
    </r>
    <r>
      <rPr>
        <sz val="11"/>
        <color rgb="FF000000"/>
        <rFont val="Arial"/>
        <family val="2"/>
      </rPr>
      <t>=2063    r</t>
    </r>
    <r>
      <rPr>
        <vertAlign val="subscript"/>
        <sz val="6.6"/>
        <color rgb="FF000000"/>
        <rFont val="Arial"/>
        <family val="2"/>
      </rPr>
      <t>6</t>
    </r>
    <r>
      <rPr>
        <sz val="11"/>
        <color rgb="FF000000"/>
        <rFont val="Arial"/>
        <family val="2"/>
      </rPr>
      <t>=0,2063</t>
    </r>
  </si>
  <si>
    <r>
      <t>Y</t>
    </r>
    <r>
      <rPr>
        <vertAlign val="subscript"/>
        <sz val="6.6"/>
        <color rgb="FF000000"/>
        <rFont val="Arial"/>
        <family val="2"/>
      </rPr>
      <t>6</t>
    </r>
    <r>
      <rPr>
        <sz val="11"/>
        <color rgb="FF000000"/>
        <rFont val="Arial"/>
        <family val="2"/>
      </rPr>
      <t>=(9824)(2063)=20266912        X</t>
    </r>
    <r>
      <rPr>
        <vertAlign val="subscript"/>
        <sz val="6.6"/>
        <color rgb="FF000000"/>
        <rFont val="Arial"/>
        <family val="2"/>
      </rPr>
      <t>8</t>
    </r>
    <r>
      <rPr>
        <sz val="11"/>
        <color rgb="FF000000"/>
        <rFont val="Arial"/>
        <family val="2"/>
      </rPr>
      <t>=2669    r</t>
    </r>
    <r>
      <rPr>
        <vertAlign val="subscript"/>
        <sz val="6.6"/>
        <color rgb="FF000000"/>
        <rFont val="Arial"/>
        <family val="2"/>
      </rPr>
      <t>7</t>
    </r>
    <r>
      <rPr>
        <sz val="11"/>
        <color rgb="FF000000"/>
        <rFont val="Arial"/>
        <family val="2"/>
      </rPr>
      <t>=0,2669</t>
    </r>
  </si>
  <si>
    <r>
      <t>Y</t>
    </r>
    <r>
      <rPr>
        <vertAlign val="subscript"/>
        <sz val="6.6"/>
        <color rgb="FF000000"/>
        <rFont val="Arial"/>
        <family val="2"/>
      </rPr>
      <t>7</t>
    </r>
    <r>
      <rPr>
        <sz val="11"/>
        <color rgb="FF000000"/>
        <rFont val="Arial"/>
        <family val="2"/>
      </rPr>
      <t>=(2063)(2669)=05506147        X</t>
    </r>
    <r>
      <rPr>
        <vertAlign val="subscript"/>
        <sz val="6.6"/>
        <color rgb="FF000000"/>
        <rFont val="Arial"/>
        <family val="2"/>
      </rPr>
      <t>9</t>
    </r>
    <r>
      <rPr>
        <sz val="11"/>
        <color rgb="FF000000"/>
        <rFont val="Arial"/>
        <family val="2"/>
      </rPr>
      <t>=5061    r</t>
    </r>
    <r>
      <rPr>
        <vertAlign val="subscript"/>
        <sz val="6.6"/>
        <color rgb="FF000000"/>
        <rFont val="Arial"/>
        <family val="2"/>
      </rPr>
      <t>8</t>
    </r>
    <r>
      <rPr>
        <sz val="11"/>
        <color rgb="FF000000"/>
        <rFont val="Arial"/>
        <family val="2"/>
      </rPr>
      <t>=0,5061</t>
    </r>
  </si>
  <si>
    <r>
      <t>Y</t>
    </r>
    <r>
      <rPr>
        <vertAlign val="subscript"/>
        <sz val="6.6"/>
        <color rgb="FF000000"/>
        <rFont val="Arial"/>
        <family val="2"/>
      </rPr>
      <t>8</t>
    </r>
    <r>
      <rPr>
        <sz val="11"/>
        <color rgb="FF000000"/>
        <rFont val="Arial"/>
        <family val="2"/>
      </rPr>
      <t>=(2669)(5061)=13507809        X</t>
    </r>
    <r>
      <rPr>
        <vertAlign val="subscript"/>
        <sz val="6.6"/>
        <color rgb="FF000000"/>
        <rFont val="Arial"/>
        <family val="2"/>
      </rPr>
      <t>10</t>
    </r>
    <r>
      <rPr>
        <sz val="11"/>
        <color rgb="FF000000"/>
        <rFont val="Arial"/>
        <family val="2"/>
      </rPr>
      <t>=5078    r</t>
    </r>
    <r>
      <rPr>
        <vertAlign val="subscript"/>
        <sz val="6.6"/>
        <color rgb="FF000000"/>
        <rFont val="Arial"/>
        <family val="2"/>
      </rPr>
      <t>9</t>
    </r>
    <r>
      <rPr>
        <sz val="11"/>
        <color rgb="FF000000"/>
        <rFont val="Arial"/>
        <family val="2"/>
      </rPr>
      <t>=0,5078</t>
    </r>
  </si>
  <si>
    <r>
      <t>Y</t>
    </r>
    <r>
      <rPr>
        <vertAlign val="subscript"/>
        <sz val="6.6"/>
        <color rgb="FF000000"/>
        <rFont val="Arial"/>
        <family val="2"/>
      </rPr>
      <t>9</t>
    </r>
    <r>
      <rPr>
        <sz val="11"/>
        <color rgb="FF000000"/>
        <rFont val="Arial"/>
        <family val="2"/>
      </rPr>
      <t>=(5061)(5078)=25699758        X</t>
    </r>
    <r>
      <rPr>
        <vertAlign val="subscript"/>
        <sz val="6.6"/>
        <color rgb="FF000000"/>
        <rFont val="Arial"/>
        <family val="2"/>
      </rPr>
      <t>11</t>
    </r>
    <r>
      <rPr>
        <sz val="11"/>
        <color rgb="FF000000"/>
        <rFont val="Arial"/>
        <family val="2"/>
      </rPr>
      <t>=6997    r</t>
    </r>
    <r>
      <rPr>
        <vertAlign val="subscript"/>
        <sz val="6.6"/>
        <color rgb="FF000000"/>
        <rFont val="Arial"/>
        <family val="2"/>
      </rPr>
      <t>10</t>
    </r>
    <r>
      <rPr>
        <sz val="11"/>
        <color rgb="FF000000"/>
        <rFont val="Arial"/>
        <family val="2"/>
      </rPr>
      <t>=0,6997</t>
    </r>
  </si>
  <si>
    <r>
      <t>Y</t>
    </r>
    <r>
      <rPr>
        <vertAlign val="subscript"/>
        <sz val="6.6"/>
        <color rgb="FF000000"/>
        <rFont val="Arial"/>
        <family val="2"/>
      </rPr>
      <t>10</t>
    </r>
    <r>
      <rPr>
        <sz val="11"/>
        <color rgb="FF000000"/>
        <rFont val="Arial"/>
        <family val="2"/>
      </rPr>
      <t>=(5078)(6997)=35530766        X</t>
    </r>
    <r>
      <rPr>
        <vertAlign val="subscript"/>
        <sz val="6.6"/>
        <color rgb="FF000000"/>
        <rFont val="Arial"/>
        <family val="2"/>
      </rPr>
      <t>12</t>
    </r>
    <r>
      <rPr>
        <sz val="11"/>
        <color rgb="FF000000"/>
        <rFont val="Arial"/>
        <family val="2"/>
      </rPr>
      <t>=5307    r</t>
    </r>
    <r>
      <rPr>
        <vertAlign val="subscript"/>
        <sz val="6.6"/>
        <color rgb="FF000000"/>
        <rFont val="Arial"/>
        <family val="2"/>
      </rPr>
      <t>11</t>
    </r>
    <r>
      <rPr>
        <sz val="11"/>
        <color rgb="FF000000"/>
        <rFont val="Arial"/>
        <family val="2"/>
      </rPr>
      <t>=0,5307</t>
    </r>
  </si>
  <si>
    <r>
      <t>Y</t>
    </r>
    <r>
      <rPr>
        <vertAlign val="subscript"/>
        <sz val="6.6"/>
        <color rgb="FF000000"/>
        <rFont val="Arial"/>
        <family val="2"/>
      </rPr>
      <t>0</t>
    </r>
    <r>
      <rPr>
        <sz val="11"/>
        <color rgb="FF000000"/>
        <rFont val="Arial"/>
        <family val="2"/>
      </rPr>
      <t>=(5215)(3724)=19420660        X</t>
    </r>
    <r>
      <rPr>
        <vertAlign val="sub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=4206    r</t>
    </r>
    <r>
      <rPr>
        <vertAlign val="subscript"/>
        <sz val="6.6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=0,4206</t>
    </r>
  </si>
  <si>
    <r>
      <t>Y</t>
    </r>
    <r>
      <rPr>
        <vertAlign val="subscript"/>
        <sz val="6.6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=(4206)(3724)=15663144        X</t>
    </r>
    <r>
      <rPr>
        <vertAlign val="subscript"/>
        <sz val="6.6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=6631    r</t>
    </r>
    <r>
      <rPr>
        <vertAlign val="sub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=0,6631</t>
    </r>
  </si>
  <si>
    <r>
      <t>Y</t>
    </r>
    <r>
      <rPr>
        <vertAlign val="sub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=(6631)(3724)=24693844        X</t>
    </r>
    <r>
      <rPr>
        <vertAlign val="subscript"/>
        <sz val="6.6"/>
        <color rgb="FF000000"/>
        <rFont val="Arial"/>
        <family val="2"/>
      </rPr>
      <t>4</t>
    </r>
    <r>
      <rPr>
        <sz val="11"/>
        <color rgb="FF000000"/>
        <rFont val="Arial"/>
        <family val="2"/>
      </rPr>
      <t>=6938    r</t>
    </r>
    <r>
      <rPr>
        <vertAlign val="subscript"/>
        <sz val="6.6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=0,6938</t>
    </r>
  </si>
  <si>
    <r>
      <t>Y</t>
    </r>
    <r>
      <rPr>
        <vertAlign val="subscript"/>
        <sz val="6.6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=(6938)(3724)=25837112        X</t>
    </r>
    <r>
      <rPr>
        <vertAlign val="subscript"/>
        <sz val="6.6"/>
        <color rgb="FF000000"/>
        <rFont val="Arial"/>
        <family val="2"/>
      </rPr>
      <t>5</t>
    </r>
    <r>
      <rPr>
        <sz val="11"/>
        <color rgb="FF000000"/>
        <rFont val="Arial"/>
        <family val="2"/>
      </rPr>
      <t>=8371    r</t>
    </r>
    <r>
      <rPr>
        <vertAlign val="subscript"/>
        <sz val="6.6"/>
        <color rgb="FF000000"/>
        <rFont val="Arial"/>
        <family val="2"/>
      </rPr>
      <t>4</t>
    </r>
    <r>
      <rPr>
        <sz val="11"/>
        <color rgb="FF000000"/>
        <rFont val="Arial"/>
        <family val="2"/>
      </rPr>
      <t>=0,8371</t>
    </r>
  </si>
  <si>
    <r>
      <t>Y</t>
    </r>
    <r>
      <rPr>
        <vertAlign val="subscript"/>
        <sz val="6.6"/>
        <color rgb="FF000000"/>
        <rFont val="Arial"/>
        <family val="2"/>
      </rPr>
      <t>4</t>
    </r>
    <r>
      <rPr>
        <sz val="11"/>
        <color rgb="FF000000"/>
        <rFont val="Arial"/>
        <family val="2"/>
      </rPr>
      <t>=(8371)(3724)=31173604        X</t>
    </r>
    <r>
      <rPr>
        <vertAlign val="subscript"/>
        <sz val="6.6"/>
        <color rgb="FF000000"/>
        <rFont val="Arial"/>
        <family val="2"/>
      </rPr>
      <t>6</t>
    </r>
    <r>
      <rPr>
        <sz val="11"/>
        <color rgb="FF000000"/>
        <rFont val="Arial"/>
        <family val="2"/>
      </rPr>
      <t>=1736    r</t>
    </r>
    <r>
      <rPr>
        <vertAlign val="subscript"/>
        <sz val="6.6"/>
        <color rgb="FF000000"/>
        <rFont val="Arial"/>
        <family val="2"/>
      </rPr>
      <t>5</t>
    </r>
    <r>
      <rPr>
        <sz val="11"/>
        <color rgb="FF000000"/>
        <rFont val="Arial"/>
        <family val="2"/>
      </rPr>
      <t>=0,1736</t>
    </r>
  </si>
  <si>
    <r>
      <t>Y</t>
    </r>
    <r>
      <rPr>
        <vertAlign val="subscript"/>
        <sz val="6.6"/>
        <color rgb="FF000000"/>
        <rFont val="Arial"/>
        <family val="2"/>
      </rPr>
      <t>5</t>
    </r>
    <r>
      <rPr>
        <sz val="11"/>
        <color rgb="FF000000"/>
        <rFont val="Arial"/>
        <family val="2"/>
      </rPr>
      <t>=(1736)(3724)=06464864        X</t>
    </r>
    <r>
      <rPr>
        <vertAlign val="subscript"/>
        <sz val="6.6"/>
        <color rgb="FF000000"/>
        <rFont val="Arial"/>
        <family val="2"/>
      </rPr>
      <t>7</t>
    </r>
    <r>
      <rPr>
        <sz val="11"/>
        <color rgb="FF000000"/>
        <rFont val="Arial"/>
        <family val="2"/>
      </rPr>
      <t>=4648    r</t>
    </r>
    <r>
      <rPr>
        <vertAlign val="subscript"/>
        <sz val="6.6"/>
        <color rgb="FF000000"/>
        <rFont val="Arial"/>
        <family val="2"/>
      </rPr>
      <t>6</t>
    </r>
    <r>
      <rPr>
        <sz val="11"/>
        <color rgb="FF000000"/>
        <rFont val="Arial"/>
        <family val="2"/>
      </rPr>
      <t>=0,4648</t>
    </r>
  </si>
  <si>
    <r>
      <t>Y</t>
    </r>
    <r>
      <rPr>
        <vertAlign val="subscript"/>
        <sz val="6.6"/>
        <color rgb="FF000000"/>
        <rFont val="Arial"/>
        <family val="2"/>
      </rPr>
      <t>6</t>
    </r>
    <r>
      <rPr>
        <sz val="11"/>
        <color rgb="FF000000"/>
        <rFont val="Arial"/>
        <family val="2"/>
      </rPr>
      <t>=(4648)(3724)=17309152        X</t>
    </r>
    <r>
      <rPr>
        <vertAlign val="subscript"/>
        <sz val="6.6"/>
        <color rgb="FF000000"/>
        <rFont val="Arial"/>
        <family val="2"/>
      </rPr>
      <t>8</t>
    </r>
    <r>
      <rPr>
        <sz val="11"/>
        <color rgb="FF000000"/>
        <rFont val="Arial"/>
        <family val="2"/>
      </rPr>
      <t>=3091    r</t>
    </r>
    <r>
      <rPr>
        <vertAlign val="subscript"/>
        <sz val="6.6"/>
        <color rgb="FF000000"/>
        <rFont val="Arial"/>
        <family val="2"/>
      </rPr>
      <t>7</t>
    </r>
    <r>
      <rPr>
        <sz val="11"/>
        <color rgb="FF000000"/>
        <rFont val="Arial"/>
        <family val="2"/>
      </rPr>
      <t>=0,3091</t>
    </r>
  </si>
  <si>
    <r>
      <t>Y</t>
    </r>
    <r>
      <rPr>
        <vertAlign val="subscript"/>
        <sz val="6.6"/>
        <color rgb="FF000000"/>
        <rFont val="Arial"/>
        <family val="2"/>
      </rPr>
      <t>7</t>
    </r>
    <r>
      <rPr>
        <sz val="11"/>
        <color rgb="FF000000"/>
        <rFont val="Arial"/>
        <family val="2"/>
      </rPr>
      <t>=(3091)(3724)=11510884        X</t>
    </r>
    <r>
      <rPr>
        <vertAlign val="subscript"/>
        <sz val="6.6"/>
        <color rgb="FF000000"/>
        <rFont val="Arial"/>
        <family val="2"/>
      </rPr>
      <t>9</t>
    </r>
    <r>
      <rPr>
        <sz val="11"/>
        <color rgb="FF000000"/>
        <rFont val="Arial"/>
        <family val="2"/>
      </rPr>
      <t>=5108    r</t>
    </r>
    <r>
      <rPr>
        <vertAlign val="subscript"/>
        <sz val="6.6"/>
        <color rgb="FF000000"/>
        <rFont val="Arial"/>
        <family val="2"/>
      </rPr>
      <t>8</t>
    </r>
    <r>
      <rPr>
        <sz val="11"/>
        <color rgb="FF000000"/>
        <rFont val="Arial"/>
        <family val="2"/>
      </rPr>
      <t>=0,5108</t>
    </r>
  </si>
  <si>
    <r>
      <t>Y</t>
    </r>
    <r>
      <rPr>
        <vertAlign val="subscript"/>
        <sz val="6.6"/>
        <color rgb="FF000000"/>
        <rFont val="Arial"/>
        <family val="2"/>
      </rPr>
      <t>8</t>
    </r>
    <r>
      <rPr>
        <sz val="11"/>
        <color rgb="FF000000"/>
        <rFont val="Arial"/>
        <family val="2"/>
      </rPr>
      <t>=(5108)(3724)=19022192        X</t>
    </r>
    <r>
      <rPr>
        <vertAlign val="subscript"/>
        <sz val="6.6"/>
        <color rgb="FF000000"/>
        <rFont val="Arial"/>
        <family val="2"/>
      </rPr>
      <t>10</t>
    </r>
    <r>
      <rPr>
        <sz val="11"/>
        <color rgb="FF000000"/>
        <rFont val="Arial"/>
        <family val="2"/>
      </rPr>
      <t>=0221    r</t>
    </r>
    <r>
      <rPr>
        <vertAlign val="subscript"/>
        <sz val="6.6"/>
        <color rgb="FF000000"/>
        <rFont val="Arial"/>
        <family val="2"/>
      </rPr>
      <t>9</t>
    </r>
    <r>
      <rPr>
        <sz val="11"/>
        <color rgb="FF000000"/>
        <rFont val="Arial"/>
        <family val="2"/>
      </rPr>
      <t>=0,0221</t>
    </r>
  </si>
  <si>
    <r>
      <t>Y</t>
    </r>
    <r>
      <rPr>
        <vertAlign val="subscript"/>
        <sz val="6.6"/>
        <color rgb="FF000000"/>
        <rFont val="Arial"/>
        <family val="2"/>
      </rPr>
      <t>9</t>
    </r>
    <r>
      <rPr>
        <sz val="11"/>
        <color rgb="FF000000"/>
        <rFont val="Arial"/>
        <family val="2"/>
      </rPr>
      <t>=(0221)(3724)=00823004        X</t>
    </r>
    <r>
      <rPr>
        <vertAlign val="subscript"/>
        <sz val="6.6"/>
        <color rgb="FF000000"/>
        <rFont val="Arial"/>
        <family val="2"/>
      </rPr>
      <t>11</t>
    </r>
    <r>
      <rPr>
        <sz val="11"/>
        <color rgb="FF000000"/>
        <rFont val="Arial"/>
        <family val="2"/>
      </rPr>
      <t>=8230    r</t>
    </r>
    <r>
      <rPr>
        <vertAlign val="subscript"/>
        <sz val="6.6"/>
        <color rgb="FF000000"/>
        <rFont val="Arial"/>
        <family val="2"/>
      </rPr>
      <t>10</t>
    </r>
    <r>
      <rPr>
        <sz val="11"/>
        <color rgb="FF000000"/>
        <rFont val="Arial"/>
        <family val="2"/>
      </rPr>
      <t>=0,8230</t>
    </r>
  </si>
  <si>
    <r>
      <t>Y</t>
    </r>
    <r>
      <rPr>
        <vertAlign val="subscript"/>
        <sz val="6.6"/>
        <color rgb="FF000000"/>
        <rFont val="Arial"/>
        <family val="2"/>
      </rPr>
      <t>10</t>
    </r>
    <r>
      <rPr>
        <sz val="11"/>
        <color rgb="FF000000"/>
        <rFont val="Arial"/>
        <family val="2"/>
      </rPr>
      <t>=(8230)(3724)=30648520        X</t>
    </r>
    <r>
      <rPr>
        <vertAlign val="subscript"/>
        <sz val="6.6"/>
        <color rgb="FF000000"/>
        <rFont val="Arial"/>
        <family val="2"/>
      </rPr>
      <t>12</t>
    </r>
    <r>
      <rPr>
        <sz val="11"/>
        <color rgb="FF000000"/>
        <rFont val="Arial"/>
        <family val="2"/>
      </rPr>
      <t>=6485    r</t>
    </r>
    <r>
      <rPr>
        <vertAlign val="subscript"/>
        <sz val="6.6"/>
        <color rgb="FF000000"/>
        <rFont val="Arial"/>
        <family val="2"/>
      </rPr>
      <t>11</t>
    </r>
    <r>
      <rPr>
        <sz val="11"/>
        <color rgb="FF000000"/>
        <rFont val="Arial"/>
        <family val="2"/>
      </rPr>
      <t>=0,6485</t>
    </r>
  </si>
  <si>
    <r>
      <t>X</t>
    </r>
    <r>
      <rPr>
        <vertAlign val="subscript"/>
        <sz val="6.6"/>
        <color rgb="FF000000"/>
        <rFont val="Arial"/>
        <family val="2"/>
      </rPr>
      <t>0</t>
    </r>
    <r>
      <rPr>
        <sz val="11"/>
        <color rgb="FF000000"/>
        <rFont val="Arial"/>
        <family val="2"/>
      </rPr>
      <t>=5115    X</t>
    </r>
    <r>
      <rPr>
        <vertAlign val="subscript"/>
        <sz val="6.6"/>
        <color rgb="FF000000"/>
        <rFont val="Arial"/>
        <family val="2"/>
      </rPr>
      <t>0</t>
    </r>
    <r>
      <rPr>
        <vertAlign val="super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=26163225</t>
    </r>
  </si>
  <si>
    <r>
      <t>‬X</t>
    </r>
    <r>
      <rPr>
        <vertAlign val="subscript"/>
        <sz val="6.6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=1632    X</t>
    </r>
    <r>
      <rPr>
        <vertAlign val="subscript"/>
        <sz val="6.6"/>
        <color rgb="FF000000"/>
        <rFont val="Arial"/>
        <family val="2"/>
      </rPr>
      <t>1</t>
    </r>
    <r>
      <rPr>
        <vertAlign val="super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=02663424  r</t>
    </r>
    <r>
      <rPr>
        <vertAlign val="subscript"/>
        <sz val="6.6"/>
        <color rgb="FF000000"/>
        <rFont val="Arial"/>
        <family val="2"/>
      </rPr>
      <t>1</t>
    </r>
    <r>
      <rPr>
        <sz val="11"/>
        <color rgb="FF000000"/>
        <rFont val="Arial"/>
        <family val="2"/>
      </rPr>
      <t xml:space="preserve">=0,1632    </t>
    </r>
  </si>
  <si>
    <r>
      <t>X</t>
    </r>
    <r>
      <rPr>
        <vertAlign val="sub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=6634    X</t>
    </r>
    <r>
      <rPr>
        <vertAlign val="subscript"/>
        <sz val="6.6"/>
        <color rgb="FF000000"/>
        <rFont val="Arial"/>
        <family val="2"/>
      </rPr>
      <t>2</t>
    </r>
    <r>
      <rPr>
        <vertAlign val="super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=44009956  r</t>
    </r>
    <r>
      <rPr>
        <vertAlign val="sub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 xml:space="preserve">=0,6634    </t>
    </r>
  </si>
  <si>
    <r>
      <t>X</t>
    </r>
    <r>
      <rPr>
        <vertAlign val="subscript"/>
        <sz val="6.6"/>
        <color rgb="FF000000"/>
        <rFont val="Arial"/>
        <family val="2"/>
      </rPr>
      <t>4</t>
    </r>
    <r>
      <rPr>
        <sz val="11"/>
        <color rgb="FF000000"/>
        <rFont val="Arial"/>
        <family val="2"/>
      </rPr>
      <t>=9801    X</t>
    </r>
    <r>
      <rPr>
        <vertAlign val="subscript"/>
        <sz val="6.6"/>
        <color rgb="FF000000"/>
        <rFont val="Arial"/>
        <family val="2"/>
      </rPr>
      <t>4</t>
    </r>
    <r>
      <rPr>
        <vertAlign val="super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=96059601  r</t>
    </r>
    <r>
      <rPr>
        <vertAlign val="subscript"/>
        <sz val="6.6"/>
        <color rgb="FF000000"/>
        <rFont val="Arial"/>
        <family val="2"/>
      </rPr>
      <t>4</t>
    </r>
    <r>
      <rPr>
        <sz val="11"/>
        <color rgb="FF000000"/>
        <rFont val="Arial"/>
        <family val="2"/>
      </rPr>
      <t xml:space="preserve">=0,9801    </t>
    </r>
  </si>
  <si>
    <r>
      <t>X</t>
    </r>
    <r>
      <rPr>
        <vertAlign val="subscript"/>
        <sz val="6.6"/>
        <color rgb="FF000000"/>
        <rFont val="Arial"/>
        <family val="2"/>
      </rPr>
      <t>5</t>
    </r>
    <r>
      <rPr>
        <sz val="11"/>
        <color rgb="FF000000"/>
        <rFont val="Arial"/>
        <family val="2"/>
      </rPr>
      <t>=0596    X</t>
    </r>
    <r>
      <rPr>
        <vertAlign val="subscript"/>
        <sz val="6.6"/>
        <color rgb="FF000000"/>
        <rFont val="Arial"/>
        <family val="2"/>
      </rPr>
      <t>5</t>
    </r>
    <r>
      <rPr>
        <vertAlign val="super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=00355216  r</t>
    </r>
    <r>
      <rPr>
        <vertAlign val="subscript"/>
        <sz val="6.6"/>
        <color rgb="FF000000"/>
        <rFont val="Arial"/>
        <family val="2"/>
      </rPr>
      <t>5</t>
    </r>
    <r>
      <rPr>
        <sz val="11"/>
        <color rgb="FF000000"/>
        <rFont val="Arial"/>
        <family val="2"/>
      </rPr>
      <t xml:space="preserve">=0,0596    </t>
    </r>
  </si>
  <si>
    <r>
      <t>X</t>
    </r>
    <r>
      <rPr>
        <vertAlign val="subscript"/>
        <sz val="6.6"/>
        <color rgb="FF000000"/>
        <rFont val="Arial"/>
        <family val="2"/>
      </rPr>
      <t>6</t>
    </r>
    <r>
      <rPr>
        <sz val="11"/>
        <color rgb="FF000000"/>
        <rFont val="Arial"/>
        <family val="2"/>
      </rPr>
      <t>=3552    X</t>
    </r>
    <r>
      <rPr>
        <vertAlign val="subscript"/>
        <sz val="6.6"/>
        <color rgb="FF000000"/>
        <rFont val="Arial"/>
        <family val="2"/>
      </rPr>
      <t>6</t>
    </r>
    <r>
      <rPr>
        <vertAlign val="super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=12616704  r</t>
    </r>
    <r>
      <rPr>
        <vertAlign val="subscript"/>
        <sz val="6.6"/>
        <color rgb="FF000000"/>
        <rFont val="Arial"/>
        <family val="2"/>
      </rPr>
      <t>6</t>
    </r>
    <r>
      <rPr>
        <sz val="11"/>
        <color rgb="FF000000"/>
        <rFont val="Arial"/>
        <family val="2"/>
      </rPr>
      <t xml:space="preserve">=0,3552    </t>
    </r>
  </si>
  <si>
    <r>
      <t>X</t>
    </r>
    <r>
      <rPr>
        <vertAlign val="subscript"/>
        <sz val="6.6"/>
        <color rgb="FF000000"/>
        <rFont val="Arial"/>
        <family val="2"/>
      </rPr>
      <t>7</t>
    </r>
    <r>
      <rPr>
        <sz val="11"/>
        <color rgb="FF000000"/>
        <rFont val="Arial"/>
        <family val="2"/>
      </rPr>
      <t>=6167    X</t>
    </r>
    <r>
      <rPr>
        <vertAlign val="subscript"/>
        <sz val="6.6"/>
        <color rgb="FF000000"/>
        <rFont val="Arial"/>
        <family val="2"/>
      </rPr>
      <t>7</t>
    </r>
    <r>
      <rPr>
        <vertAlign val="super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=38031889  r</t>
    </r>
    <r>
      <rPr>
        <vertAlign val="subscript"/>
        <sz val="6.6"/>
        <color rgb="FF000000"/>
        <rFont val="Arial"/>
        <family val="2"/>
      </rPr>
      <t>7</t>
    </r>
    <r>
      <rPr>
        <sz val="11"/>
        <color rgb="FF000000"/>
        <rFont val="Arial"/>
        <family val="2"/>
      </rPr>
      <t xml:space="preserve">=0,6167    </t>
    </r>
  </si>
  <si>
    <r>
      <t>X</t>
    </r>
    <r>
      <rPr>
        <vertAlign val="subscript"/>
        <sz val="6.6"/>
        <color rgb="FF000000"/>
        <rFont val="Arial"/>
        <family val="2"/>
      </rPr>
      <t>8</t>
    </r>
    <r>
      <rPr>
        <sz val="11"/>
        <color rgb="FF000000"/>
        <rFont val="Arial"/>
        <family val="2"/>
      </rPr>
      <t>=0318    X</t>
    </r>
    <r>
      <rPr>
        <vertAlign val="subscript"/>
        <sz val="6.6"/>
        <color rgb="FF000000"/>
        <rFont val="Arial"/>
        <family val="2"/>
      </rPr>
      <t>8</t>
    </r>
    <r>
      <rPr>
        <vertAlign val="super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=00101124  r</t>
    </r>
    <r>
      <rPr>
        <vertAlign val="subscript"/>
        <sz val="6.6"/>
        <color rgb="FF000000"/>
        <rFont val="Arial"/>
        <family val="2"/>
      </rPr>
      <t>8</t>
    </r>
    <r>
      <rPr>
        <sz val="11"/>
        <color rgb="FF000000"/>
        <rFont val="Arial"/>
        <family val="2"/>
      </rPr>
      <t xml:space="preserve">=0,0318    </t>
    </r>
  </si>
  <si>
    <r>
      <t>X</t>
    </r>
    <r>
      <rPr>
        <vertAlign val="subscript"/>
        <sz val="6.6"/>
        <color rgb="FF000000"/>
        <rFont val="Arial"/>
        <family val="2"/>
      </rPr>
      <t>9</t>
    </r>
    <r>
      <rPr>
        <sz val="11"/>
        <color rgb="FF000000"/>
        <rFont val="Arial"/>
        <family val="2"/>
      </rPr>
      <t>=1011    X</t>
    </r>
    <r>
      <rPr>
        <vertAlign val="subscript"/>
        <sz val="6.6"/>
        <color rgb="FF000000"/>
        <rFont val="Arial"/>
        <family val="2"/>
      </rPr>
      <t>9</t>
    </r>
    <r>
      <rPr>
        <vertAlign val="super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=01022121  r</t>
    </r>
    <r>
      <rPr>
        <vertAlign val="subscript"/>
        <sz val="6.6"/>
        <color rgb="FF000000"/>
        <rFont val="Arial"/>
        <family val="2"/>
      </rPr>
      <t>9</t>
    </r>
    <r>
      <rPr>
        <sz val="11"/>
        <color rgb="FF000000"/>
        <rFont val="Arial"/>
        <family val="2"/>
      </rPr>
      <t xml:space="preserve">=0,1011    </t>
    </r>
  </si>
  <si>
    <r>
      <t>X</t>
    </r>
    <r>
      <rPr>
        <vertAlign val="subscript"/>
        <sz val="6.6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=0099    X</t>
    </r>
    <r>
      <rPr>
        <vertAlign val="subscript"/>
        <sz val="6.6"/>
        <color rgb="FF000000"/>
        <rFont val="Arial"/>
        <family val="2"/>
      </rPr>
      <t>3</t>
    </r>
    <r>
      <rPr>
        <vertAlign val="superscript"/>
        <sz val="6.6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=9801          r</t>
    </r>
    <r>
      <rPr>
        <vertAlign val="subscript"/>
        <sz val="6.6"/>
        <color rgb="FF000000"/>
        <rFont val="Arial"/>
        <family val="2"/>
      </rPr>
      <t>3</t>
    </r>
    <r>
      <rPr>
        <sz val="11"/>
        <color rgb="FF000000"/>
        <rFont val="Arial"/>
        <family val="2"/>
      </rPr>
      <t xml:space="preserve">=0,0099    </t>
    </r>
  </si>
  <si>
    <r>
      <t>X</t>
    </r>
    <r>
      <rPr>
        <vertAlign val="subscript"/>
        <sz val="6.6"/>
        <color rgb="FF000000"/>
        <rFont val="Arial"/>
        <family val="2"/>
      </rPr>
      <t>10</t>
    </r>
    <r>
      <rPr>
        <sz val="11"/>
        <color rgb="FF000000"/>
        <rFont val="Arial"/>
        <family val="2"/>
      </rPr>
      <t>=0221                           r</t>
    </r>
    <r>
      <rPr>
        <vertAlign val="subscript"/>
        <sz val="6.6"/>
        <color rgb="FF000000"/>
        <rFont val="Arial"/>
        <family val="2"/>
      </rPr>
      <t>10</t>
    </r>
    <r>
      <rPr>
        <sz val="11"/>
        <color rgb="FF000000"/>
        <rFont val="Arial"/>
        <family val="2"/>
      </rPr>
      <t>=0,0221</t>
    </r>
  </si>
  <si>
    <t>A partir de ese número calcularon mal el resto de los números aleatorios.</t>
  </si>
  <si>
    <t>RECORDATORIO: solo se agregan los 0s si la cantidad de dígitos del resultado de la potencia es impar, ya que de no ser así cuesta más tener los dígitos del medio.</t>
  </si>
  <si>
    <t>Otra cosa y solo a modo de curiosidad, no es necesario cambiar: porqué escribieron como texto en cada celda en vez de usarlo como tabla con valores.</t>
  </si>
  <si>
    <t>Ese último ya no es necesario, sólo los 10 primeros generados.</t>
  </si>
  <si>
    <t>Este valor está mal calculado por el mismo motivo que les aclaré en el ejercicio 1</t>
  </si>
  <si>
    <t>Este último no es necesario.</t>
  </si>
  <si>
    <t>Los cálculos están bien, pero la forma en que los redondean está mal, si hacen con 4 digitos decimales  deben redondearlos hasta los 4 dígitos a todos, por ejemplo el valor que da 0,6670 debería ser 0,6666 (si lo truncan) o 0,6667 (si lo redondean)</t>
  </si>
  <si>
    <t>Mismo que en el anterior ejercicio, todos los valores que terminan con un dígito mayor a 5 están mal redondeados, revisar eso.</t>
  </si>
  <si>
    <t>Mal calculado el número de intervalos m</t>
  </si>
  <si>
    <t>y el 2do intervalo sería, de 0,1000 a 0,1999; por supuesto, teniendo encuenta los valores de intervalos que usaron ustedes que están mal y deben recalcular</t>
  </si>
  <si>
    <t>Están mal hechos los intervalos, recuerden que por ejemplo para el primero es de 0,0000 (con cuatro dígitos al igual que los números dados) a 0,0999</t>
  </si>
  <si>
    <t>Rehacer esta prueba</t>
  </si>
  <si>
    <t>Mejorar conclusión, al menos indiquen que "el valor calculado es menor que el D teórico de tabla", así como está no se entiende porque pasa la prueba</t>
  </si>
  <si>
    <t>Mejoren las conclusiones, o sino no se entiende porqué los números superan la prueba.</t>
  </si>
  <si>
    <t>Además, como se trata de la última prueba deben indicar que los valores al superar todas las pruebas son aptos para un estudio de simulación.</t>
  </si>
  <si>
    <t>Mismo que en el ejercicio anterior, mal calculado m, mal los intervalos</t>
  </si>
  <si>
    <t>CONCLUSIONES!!</t>
  </si>
  <si>
    <t>Mejorar Conclusiones!!</t>
  </si>
  <si>
    <t>Se olvidaron la Raíz</t>
  </si>
  <si>
    <t>El valor de m sigue estando mal calculado, siempre se redondea para arriba</t>
  </si>
  <si>
    <t>Los intervalos están mal</t>
  </si>
  <si>
    <t>Rehacer toda la prueba</t>
  </si>
  <si>
    <t>Es así como deben escribir las conclusiones en los otros ejercicios anteriores!!!</t>
  </si>
  <si>
    <t>…pero se olvido de escribir las conclusiones para estas pruebas.</t>
  </si>
  <si>
    <t>Si, se rechaza…. Y que pasa con los números? CONCLUSIÓN!!!!</t>
  </si>
  <si>
    <t>Por lo menos acomoden un poco mejor las tablas y las imágenes.</t>
  </si>
  <si>
    <t>Mal el número m y los intervalos.</t>
  </si>
  <si>
    <t>Lo mismo que el anterior y casi todo el trabajo, la conclusión.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</si>
</sst>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rgb="FF002060"/>
      <name val="Calibri"/>
      <family val="2"/>
      <scheme val="minor"/>
    </font>
    <font>
      <sz val="10"/>
      <color theme="1"/>
      <name val="Arial"/>
      <family val="2"/>
    </font>
    <font>
      <sz val="18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Arial"/>
      <family val="2"/>
    </font>
    <font>
      <vertAlign val="subscript"/>
      <sz val="6.6"/>
      <color rgb="FF000000"/>
      <name val="Arial"/>
      <family val="2"/>
    </font>
    <font>
      <vertAlign val="superscript"/>
      <sz val="6.6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1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002060"/>
      <name val="Calibri"/>
      <family val="2"/>
    </font>
    <font>
      <b/>
      <sz val="10"/>
      <name val="Arial"/>
      <family val="2"/>
    </font>
    <font>
      <b/>
      <sz val="11"/>
      <color indexed="8"/>
      <name val="Calibri"/>
      <family val="2"/>
      <charset val="1"/>
    </font>
    <font>
      <sz val="11"/>
      <color indexed="56"/>
      <name val="Calibri"/>
      <family val="2"/>
      <charset val="1"/>
    </font>
    <font>
      <b/>
      <sz val="11"/>
      <color indexed="8"/>
      <name val="Calibri"/>
      <family val="2"/>
    </font>
    <font>
      <sz val="11"/>
      <color indexed="8"/>
      <name val="Times New Roman"/>
      <family val="1"/>
      <charset val="1"/>
    </font>
    <font>
      <sz val="11"/>
      <color indexed="8"/>
      <name val="Calibri"/>
      <family val="2"/>
      <charset val="1"/>
    </font>
    <font>
      <sz val="18"/>
      <color indexed="8"/>
      <name val="Times New Roman"/>
      <family val="1"/>
      <charset val="1"/>
    </font>
    <font>
      <sz val="8"/>
      <color indexed="8"/>
      <name val="Times New Roman"/>
      <family val="1"/>
      <charset val="1"/>
    </font>
    <font>
      <sz val="9"/>
      <color indexed="8"/>
      <name val="Times New Roman"/>
      <family val="1"/>
      <charset val="1"/>
    </font>
    <font>
      <b/>
      <i/>
      <sz val="14"/>
      <color indexed="8"/>
      <name val="Calibri"/>
      <family val="2"/>
      <charset val="1"/>
    </font>
    <font>
      <b/>
      <vertAlign val="subscript"/>
      <sz val="10"/>
      <name val="Arial"/>
      <family val="2"/>
    </font>
    <font>
      <b/>
      <sz val="10"/>
      <color indexed="8"/>
      <name val="Arial"/>
      <family val="2"/>
      <charset val="1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  <charset val="1"/>
    </font>
    <font>
      <b/>
      <vertAlign val="superscript"/>
      <sz val="10"/>
      <color indexed="8"/>
      <name val="Arial"/>
      <family val="2"/>
      <charset val="1"/>
    </font>
    <font>
      <b/>
      <sz val="9"/>
      <color indexed="8"/>
      <name val="Times New Roman"/>
      <family val="1"/>
      <charset val="1"/>
    </font>
    <font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699"/>
        <bgColor rgb="FFFFE699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10D0C"/>
        <bgColor rgb="FFF10D0C"/>
      </patternFill>
    </fill>
    <fill>
      <patternFill patternType="solid">
        <fgColor indexed="43"/>
        <bgColor indexed="47"/>
      </patternFill>
    </fill>
    <fill>
      <patternFill patternType="solid">
        <fgColor indexed="50"/>
        <bgColor indexed="22"/>
      </patternFill>
    </fill>
    <fill>
      <patternFill patternType="solid">
        <fgColor indexed="51"/>
        <bgColor indexed="52"/>
      </patternFill>
    </fill>
    <fill>
      <patternFill patternType="solid">
        <fgColor indexed="42"/>
        <bgColor indexed="22"/>
      </patternFill>
    </fill>
    <fill>
      <patternFill patternType="solid">
        <fgColor indexed="22"/>
        <bgColor indexed="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47"/>
      </patternFill>
    </fill>
    <fill>
      <patternFill patternType="solid">
        <fgColor rgb="FFFF0000"/>
        <bgColor indexed="2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6" fillId="0" borderId="2" xfId="0" applyFont="1" applyBorder="1" applyAlignment="1">
      <alignment horizontal="right" wrapText="1"/>
    </xf>
    <xf numFmtId="0" fontId="0" fillId="5" borderId="0" xfId="0" applyFill="1"/>
    <xf numFmtId="0" fontId="6" fillId="0" borderId="3" xfId="0" applyFont="1" applyFill="1" applyBorder="1" applyAlignment="1">
      <alignment horizontal="right" wrapText="1"/>
    </xf>
    <xf numFmtId="164" fontId="6" fillId="0" borderId="2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right"/>
    </xf>
    <xf numFmtId="165" fontId="5" fillId="3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10" fillId="6" borderId="1" xfId="0" applyFont="1" applyFill="1" applyBorder="1"/>
    <xf numFmtId="0" fontId="7" fillId="0" borderId="0" xfId="0" applyFont="1" applyAlignment="1">
      <alignment horizontal="right"/>
    </xf>
    <xf numFmtId="0" fontId="7" fillId="6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0" borderId="0" xfId="0" applyFont="1"/>
    <xf numFmtId="0" fontId="6" fillId="0" borderId="0" xfId="0" applyFont="1" applyBorder="1" applyAlignment="1">
      <alignment horizontal="right" wrapText="1"/>
    </xf>
    <xf numFmtId="164" fontId="6" fillId="0" borderId="0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0" fontId="0" fillId="0" borderId="0" xfId="0" applyAlignment="1">
      <alignment horizontal="center"/>
    </xf>
    <xf numFmtId="0" fontId="0" fillId="7" borderId="1" xfId="0" applyFill="1" applyBorder="1"/>
    <xf numFmtId="0" fontId="0" fillId="7" borderId="4" xfId="0" applyFill="1" applyBorder="1" applyAlignment="1">
      <alignment horizontal="right"/>
    </xf>
    <xf numFmtId="0" fontId="0" fillId="7" borderId="5" xfId="0" applyFill="1" applyBorder="1"/>
    <xf numFmtId="0" fontId="0" fillId="7" borderId="6" xfId="0" applyFill="1" applyBorder="1" applyAlignment="1">
      <alignment horizontal="right"/>
    </xf>
    <xf numFmtId="0" fontId="9" fillId="6" borderId="1" xfId="0" applyFont="1" applyFill="1" applyBorder="1" applyAlignment="1">
      <alignment horizontal="right"/>
    </xf>
    <xf numFmtId="0" fontId="0" fillId="8" borderId="0" xfId="0" applyFill="1" applyAlignment="1">
      <alignment horizontal="center"/>
    </xf>
    <xf numFmtId="0" fontId="0" fillId="6" borderId="1" xfId="0" applyFill="1" applyBorder="1"/>
    <xf numFmtId="0" fontId="0" fillId="2" borderId="1" xfId="0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9" borderId="1" xfId="0" applyFill="1" applyBorder="1"/>
    <xf numFmtId="0" fontId="13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6" fillId="0" borderId="2" xfId="0" applyFont="1" applyBorder="1" applyAlignment="1">
      <alignment horizontal="right" wrapText="1"/>
    </xf>
    <xf numFmtId="0" fontId="0" fillId="5" borderId="0" xfId="0" applyFill="1"/>
    <xf numFmtId="0" fontId="7" fillId="0" borderId="1" xfId="0" applyFont="1" applyBorder="1" applyAlignment="1">
      <alignment horizontal="right"/>
    </xf>
    <xf numFmtId="165" fontId="5" fillId="3" borderId="1" xfId="0" applyNumberFormat="1" applyFont="1" applyFill="1" applyBorder="1"/>
    <xf numFmtId="0" fontId="0" fillId="2" borderId="1" xfId="0" applyFill="1" applyBorder="1"/>
    <xf numFmtId="0" fontId="7" fillId="0" borderId="0" xfId="0" applyFont="1" applyAlignment="1">
      <alignment horizontal="right"/>
    </xf>
    <xf numFmtId="0" fontId="7" fillId="6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7" borderId="1" xfId="0" applyFill="1" applyBorder="1"/>
    <xf numFmtId="0" fontId="0" fillId="7" borderId="4" xfId="0" applyFill="1" applyBorder="1" applyAlignment="1">
      <alignment horizontal="right"/>
    </xf>
    <xf numFmtId="0" fontId="0" fillId="7" borderId="5" xfId="0" applyFill="1" applyBorder="1"/>
    <xf numFmtId="0" fontId="0" fillId="7" borderId="6" xfId="0" applyFill="1" applyBorder="1" applyAlignment="1">
      <alignment horizontal="right"/>
    </xf>
    <xf numFmtId="0" fontId="9" fillId="6" borderId="1" xfId="0" applyFont="1" applyFill="1" applyBorder="1" applyAlignment="1">
      <alignment horizontal="right"/>
    </xf>
    <xf numFmtId="0" fontId="0" fillId="8" borderId="0" xfId="0" applyFill="1" applyAlignment="1">
      <alignment horizontal="center"/>
    </xf>
    <xf numFmtId="0" fontId="0" fillId="6" borderId="1" xfId="0" applyFill="1" applyBorder="1"/>
    <xf numFmtId="0" fontId="0" fillId="2" borderId="1" xfId="0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9" borderId="1" xfId="0" applyFill="1" applyBorder="1"/>
    <xf numFmtId="0" fontId="6" fillId="0" borderId="3" xfId="0" applyFont="1" applyBorder="1" applyAlignment="1">
      <alignment horizontal="right" wrapText="1"/>
    </xf>
    <xf numFmtId="164" fontId="6" fillId="0" borderId="3" xfId="0" applyNumberFormat="1" applyFont="1" applyBorder="1" applyAlignment="1">
      <alignment horizontal="right" wrapText="1"/>
    </xf>
    <xf numFmtId="0" fontId="11" fillId="10" borderId="0" xfId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indent="1"/>
    </xf>
    <xf numFmtId="0" fontId="0" fillId="0" borderId="8" xfId="0" applyBorder="1"/>
    <xf numFmtId="164" fontId="0" fillId="0" borderId="8" xfId="0" applyNumberFormat="1" applyBorder="1"/>
    <xf numFmtId="0" fontId="17" fillId="0" borderId="8" xfId="0" applyFont="1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right"/>
    </xf>
    <xf numFmtId="0" fontId="20" fillId="13" borderId="8" xfId="0" applyFont="1" applyFill="1" applyBorder="1" applyAlignment="1">
      <alignment horizontal="right"/>
    </xf>
    <xf numFmtId="0" fontId="20" fillId="13" borderId="8" xfId="0" applyFont="1" applyFill="1" applyBorder="1"/>
    <xf numFmtId="0" fontId="16" fillId="14" borderId="8" xfId="0" applyFont="1" applyFill="1" applyBorder="1" applyAlignment="1">
      <alignment horizontal="right"/>
    </xf>
    <xf numFmtId="0" fontId="16" fillId="14" borderId="8" xfId="0" applyFont="1" applyFill="1" applyBorder="1"/>
    <xf numFmtId="0" fontId="0" fillId="15" borderId="0" xfId="0" applyFill="1"/>
    <xf numFmtId="0" fontId="0" fillId="13" borderId="8" xfId="0" applyFill="1" applyBorder="1" applyAlignment="1">
      <alignment horizontal="right"/>
    </xf>
    <xf numFmtId="0" fontId="0" fillId="13" borderId="8" xfId="0" applyFill="1" applyBorder="1"/>
    <xf numFmtId="164" fontId="1" fillId="4" borderId="1" xfId="0" applyNumberFormat="1" applyFont="1" applyFill="1" applyBorder="1"/>
    <xf numFmtId="0" fontId="12" fillId="11" borderId="0" xfId="2"/>
    <xf numFmtId="1" fontId="0" fillId="0" borderId="0" xfId="0" applyNumberFormat="1" applyAlignment="1">
      <alignment horizontal="left"/>
    </xf>
    <xf numFmtId="0" fontId="21" fillId="0" borderId="9" xfId="0" applyFont="1" applyBorder="1"/>
    <xf numFmtId="0" fontId="0" fillId="0" borderId="9" xfId="0" applyBorder="1"/>
    <xf numFmtId="0" fontId="23" fillId="17" borderId="10" xfId="0" applyFont="1" applyFill="1" applyBorder="1" applyAlignment="1">
      <alignment horizontal="right"/>
    </xf>
    <xf numFmtId="0" fontId="25" fillId="0" borderId="10" xfId="0" applyFon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right"/>
    </xf>
    <xf numFmtId="0" fontId="23" fillId="17" borderId="10" xfId="0" applyFont="1" applyFill="1" applyBorder="1"/>
    <xf numFmtId="0" fontId="22" fillId="18" borderId="10" xfId="0" applyFont="1" applyFill="1" applyBorder="1" applyAlignment="1">
      <alignment horizontal="right"/>
    </xf>
    <xf numFmtId="0" fontId="22" fillId="18" borderId="10" xfId="0" applyFont="1" applyFill="1" applyBorder="1"/>
    <xf numFmtId="0" fontId="21" fillId="0" borderId="0" xfId="0" applyFont="1"/>
    <xf numFmtId="0" fontId="27" fillId="0" borderId="10" xfId="0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19" borderId="10" xfId="0" applyFont="1" applyFill="1" applyBorder="1" applyAlignment="1">
      <alignment horizontal="right"/>
    </xf>
    <xf numFmtId="0" fontId="22" fillId="19" borderId="10" xfId="0" applyFont="1" applyFill="1" applyBorder="1"/>
    <xf numFmtId="0" fontId="21" fillId="0" borderId="0" xfId="0" applyFont="1" applyAlignment="1">
      <alignment horizontal="right"/>
    </xf>
    <xf numFmtId="0" fontId="36" fillId="19" borderId="10" xfId="0" applyFont="1" applyFill="1" applyBorder="1" applyAlignment="1">
      <alignment horizontal="right"/>
    </xf>
    <xf numFmtId="0" fontId="0" fillId="20" borderId="10" xfId="0" applyFill="1" applyBorder="1"/>
    <xf numFmtId="0" fontId="21" fillId="20" borderId="11" xfId="0" applyFont="1" applyFill="1" applyBorder="1" applyAlignment="1">
      <alignment horizontal="right"/>
    </xf>
    <xf numFmtId="0" fontId="0" fillId="20" borderId="12" xfId="0" applyFill="1" applyBorder="1"/>
    <xf numFmtId="0" fontId="21" fillId="20" borderId="13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21" fillId="0" borderId="15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1" fillId="0" borderId="0" xfId="0" applyFont="1" applyBorder="1" applyAlignment="1">
      <alignment horizontal="center" vertical="center"/>
    </xf>
    <xf numFmtId="0" fontId="22" fillId="16" borderId="10" xfId="0" applyFont="1" applyFill="1" applyBorder="1" applyAlignment="1">
      <alignment horizontal="center"/>
    </xf>
    <xf numFmtId="0" fontId="22" fillId="16" borderId="10" xfId="0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0" fontId="22" fillId="16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2" fillId="16" borderId="14" xfId="0" applyFont="1" applyFill="1" applyBorder="1" applyAlignment="1">
      <alignment horizontal="center" vertical="center"/>
    </xf>
    <xf numFmtId="0" fontId="16" fillId="12" borderId="8" xfId="0" applyFont="1" applyFill="1" applyBorder="1" applyAlignment="1">
      <alignment horizontal="center"/>
    </xf>
    <xf numFmtId="0" fontId="13" fillId="21" borderId="0" xfId="0" applyFont="1" applyFill="1"/>
    <xf numFmtId="0" fontId="37" fillId="0" borderId="0" xfId="0" applyFont="1"/>
    <xf numFmtId="0" fontId="13" fillId="21" borderId="7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right"/>
    </xf>
    <xf numFmtId="0" fontId="0" fillId="21" borderId="0" xfId="0" applyFill="1" applyAlignment="1">
      <alignment horizontal="left"/>
    </xf>
    <xf numFmtId="0" fontId="0" fillId="21" borderId="1" xfId="0" applyFill="1" applyBorder="1" applyAlignment="1">
      <alignment horizontal="center"/>
    </xf>
    <xf numFmtId="0" fontId="22" fillId="22" borderId="10" xfId="0" applyFont="1" applyFill="1" applyBorder="1" applyAlignment="1">
      <alignment horizontal="center" vertical="center"/>
    </xf>
    <xf numFmtId="0" fontId="0" fillId="21" borderId="0" xfId="0" applyFill="1"/>
    <xf numFmtId="0" fontId="0" fillId="21" borderId="10" xfId="0" applyFill="1" applyBorder="1"/>
    <xf numFmtId="0" fontId="0" fillId="22" borderId="10" xfId="0" applyFill="1" applyBorder="1" applyAlignment="1">
      <alignment horizontal="center"/>
    </xf>
    <xf numFmtId="0" fontId="0" fillId="22" borderId="10" xfId="0" applyFill="1" applyBorder="1"/>
    <xf numFmtId="0" fontId="0" fillId="21" borderId="10" xfId="0" applyFill="1" applyBorder="1" applyAlignment="1">
      <alignment horizontal="right"/>
    </xf>
    <xf numFmtId="0" fontId="0" fillId="21" borderId="10" xfId="0" applyFill="1" applyBorder="1" applyAlignment="1">
      <alignment horizontal="center"/>
    </xf>
    <xf numFmtId="0" fontId="30" fillId="23" borderId="10" xfId="0" applyFon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right"/>
    </xf>
    <xf numFmtId="0" fontId="10" fillId="21" borderId="1" xfId="0" applyFont="1" applyFill="1" applyBorder="1"/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5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514350</xdr:colOff>
      <xdr:row>38</xdr:row>
      <xdr:rowOff>29149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CDEA96-AE79-4AAE-94E7-BB8415812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0" cy="726814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33120</xdr:colOff>
      <xdr:row>14</xdr:row>
      <xdr:rowOff>56880</xdr:rowOff>
    </xdr:from>
    <xdr:ext cx="1330199" cy="894600"/>
    <xdr:pic>
      <xdr:nvPicPr>
        <xdr:cNvPr id="2" name="Imagen 2">
          <a:extLst>
            <a:ext uri="{FF2B5EF4-FFF2-40B4-BE49-F238E27FC236}">
              <a16:creationId xmlns:a16="http://schemas.microsoft.com/office/drawing/2014/main" id="{0421AC01-0B52-4C7D-9BAD-4CACEA539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6843495" y="2590530"/>
          <a:ext cx="1330199" cy="894600"/>
        </a:xfrm>
        <a:prstGeom prst="rect">
          <a:avLst/>
        </a:prstGeom>
        <a:noFill/>
        <a:ln>
          <a:noFill/>
        </a:ln>
      </xdr:spPr>
    </xdr:pic>
    <xdr:clientData/>
  </xdr:oneCellAnchor>
  <xdr:absoluteAnchor>
    <xdr:pos x="0" y="0"/>
    <xdr:ext cx="6570720" cy="1875600"/>
    <xdr:pic>
      <xdr:nvPicPr>
        <xdr:cNvPr id="3" name="Image 1">
          <a:extLst>
            <a:ext uri="{FF2B5EF4-FFF2-40B4-BE49-F238E27FC236}">
              <a16:creationId xmlns:a16="http://schemas.microsoft.com/office/drawing/2014/main" id="{2F1259F4-9A4D-483E-AF08-4571D621C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0" y="0"/>
          <a:ext cx="6570720" cy="1875600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311149</xdr:colOff>
      <xdr:row>13</xdr:row>
      <xdr:rowOff>0</xdr:rowOff>
    </xdr:from>
    <xdr:to>
      <xdr:col>7</xdr:col>
      <xdr:colOff>504482</xdr:colOff>
      <xdr:row>18</xdr:row>
      <xdr:rowOff>158192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FCFD067F-AE2C-4924-90C5-4039F6F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0099" y="2486025"/>
          <a:ext cx="1412533" cy="1110692"/>
        </a:xfrm>
        <a:prstGeom prst="rect">
          <a:avLst/>
        </a:prstGeom>
      </xdr:spPr>
    </xdr:pic>
    <xdr:clientData/>
  </xdr:twoCellAnchor>
  <xdr:twoCellAnchor editAs="oneCell">
    <xdr:from>
      <xdr:col>11</xdr:col>
      <xdr:colOff>168804</xdr:colOff>
      <xdr:row>13</xdr:row>
      <xdr:rowOff>44450</xdr:rowOff>
    </xdr:from>
    <xdr:to>
      <xdr:col>13</xdr:col>
      <xdr:colOff>517240</xdr:colOff>
      <xdr:row>22</xdr:row>
      <xdr:rowOff>63243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B5CA534A-A034-436B-A0D8-209D2A33E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7254" y="2530475"/>
          <a:ext cx="1567636" cy="1733293"/>
        </a:xfrm>
        <a:prstGeom prst="rect">
          <a:avLst/>
        </a:prstGeom>
      </xdr:spPr>
    </xdr:pic>
    <xdr:clientData/>
  </xdr:twoCellAnchor>
  <xdr:twoCellAnchor editAs="oneCell">
    <xdr:from>
      <xdr:col>19</xdr:col>
      <xdr:colOff>231775</xdr:colOff>
      <xdr:row>22</xdr:row>
      <xdr:rowOff>161587</xdr:rowOff>
    </xdr:from>
    <xdr:to>
      <xdr:col>20</xdr:col>
      <xdr:colOff>583954</xdr:colOff>
      <xdr:row>25</xdr:row>
      <xdr:rowOff>289365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D679192-CE6A-4BDC-9381-7FFE6C10D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14175" y="4657387"/>
          <a:ext cx="961779" cy="708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68036</xdr:rowOff>
    </xdr:from>
    <xdr:to>
      <xdr:col>10</xdr:col>
      <xdr:colOff>101788</xdr:colOff>
      <xdr:row>11</xdr:row>
      <xdr:rowOff>130251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B7539B26-8433-469E-B852-0FC1B209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58536"/>
          <a:ext cx="6197788" cy="1967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523276</xdr:colOff>
      <xdr:row>2</xdr:row>
      <xdr:rowOff>66619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EDF018-60ED-4BE7-BA3F-089B53A32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90476" cy="4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256457</xdr:colOff>
      <xdr:row>2</xdr:row>
      <xdr:rowOff>95190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43A682-2892-4976-8E81-99A820169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42857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484952</xdr:colOff>
      <xdr:row>2</xdr:row>
      <xdr:rowOff>47571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83A40D-8420-4385-9726-B52695DE2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80952" cy="4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380083</xdr:colOff>
      <xdr:row>5</xdr:row>
      <xdr:rowOff>18929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CC032B-8DBF-4980-A371-61DDE48A1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33333" cy="9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542017</xdr:colOff>
      <xdr:row>5</xdr:row>
      <xdr:rowOff>85595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738EB1-8C9E-449E-84E0-243B4148D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66667" cy="10380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38100</xdr:colOff>
      <xdr:row>10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5BEE6D-2152-4C99-BFE6-E64353F8C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43700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311149</xdr:colOff>
      <xdr:row>13</xdr:row>
      <xdr:rowOff>0</xdr:rowOff>
    </xdr:from>
    <xdr:to>
      <xdr:col>7</xdr:col>
      <xdr:colOff>542582</xdr:colOff>
      <xdr:row>17</xdr:row>
      <xdr:rowOff>205817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45DC5721-1E0D-42CE-87C5-5029420D6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9449" y="190500"/>
          <a:ext cx="1450633" cy="1110692"/>
        </a:xfrm>
        <a:prstGeom prst="rect">
          <a:avLst/>
        </a:prstGeom>
      </xdr:spPr>
    </xdr:pic>
    <xdr:clientData/>
  </xdr:twoCellAnchor>
  <xdr:twoCellAnchor editAs="oneCell">
    <xdr:from>
      <xdr:col>11</xdr:col>
      <xdr:colOff>168804</xdr:colOff>
      <xdr:row>13</xdr:row>
      <xdr:rowOff>44450</xdr:rowOff>
    </xdr:from>
    <xdr:to>
      <xdr:col>13</xdr:col>
      <xdr:colOff>555340</xdr:colOff>
      <xdr:row>20</xdr:row>
      <xdr:rowOff>168018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2B8DDB38-C501-449E-B2B3-D441EBD73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7104" y="2139950"/>
          <a:ext cx="1605736" cy="1523743"/>
        </a:xfrm>
        <a:prstGeom prst="rect">
          <a:avLst/>
        </a:prstGeom>
      </xdr:spPr>
    </xdr:pic>
    <xdr:clientData/>
  </xdr:twoCellAnchor>
  <xdr:twoCellAnchor editAs="oneCell">
    <xdr:from>
      <xdr:col>19</xdr:col>
      <xdr:colOff>222250</xdr:colOff>
      <xdr:row>24</xdr:row>
      <xdr:rowOff>113962</xdr:rowOff>
    </xdr:from>
    <xdr:to>
      <xdr:col>20</xdr:col>
      <xdr:colOff>593479</xdr:colOff>
      <xdr:row>27</xdr:row>
      <xdr:rowOff>41156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A1AE3A6-6E6F-4F22-8EF8-AC7CA0801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2650" y="6800512"/>
          <a:ext cx="980829" cy="498694"/>
        </a:xfrm>
        <a:prstGeom prst="rect">
          <a:avLst/>
        </a:prstGeom>
      </xdr:spPr>
    </xdr:pic>
    <xdr:clientData/>
  </xdr:twoCellAnchor>
  <xdr:twoCellAnchor editAs="oneCell">
    <xdr:from>
      <xdr:col>9</xdr:col>
      <xdr:colOff>51955</xdr:colOff>
      <xdr:row>30</xdr:row>
      <xdr:rowOff>173182</xdr:rowOff>
    </xdr:from>
    <xdr:to>
      <xdr:col>11</xdr:col>
      <xdr:colOff>68253</xdr:colOff>
      <xdr:row>38</xdr:row>
      <xdr:rowOff>115849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EF064DA-153B-4F8E-B00F-FE71B6325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01046" y="6208568"/>
          <a:ext cx="1228571" cy="1466667"/>
        </a:xfrm>
        <a:prstGeom prst="rect">
          <a:avLst/>
        </a:prstGeom>
      </xdr:spPr>
    </xdr:pic>
    <xdr:clientData/>
  </xdr:twoCellAnchor>
  <xdr:twoCellAnchor editAs="oneCell">
    <xdr:from>
      <xdr:col>16</xdr:col>
      <xdr:colOff>337704</xdr:colOff>
      <xdr:row>30</xdr:row>
      <xdr:rowOff>103909</xdr:rowOff>
    </xdr:from>
    <xdr:to>
      <xdr:col>19</xdr:col>
      <xdr:colOff>357390</xdr:colOff>
      <xdr:row>38</xdr:row>
      <xdr:rowOff>8480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860721-D38C-4CF9-B326-FE30D8DE3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35886" y="6329795"/>
          <a:ext cx="1838095" cy="14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42</xdr:row>
      <xdr:rowOff>0</xdr:rowOff>
    </xdr:from>
    <xdr:to>
      <xdr:col>15</xdr:col>
      <xdr:colOff>734893</xdr:colOff>
      <xdr:row>43</xdr:row>
      <xdr:rowOff>51955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B6368E-9996-4C8F-A070-2E054F4A9C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-1" b="9079"/>
        <a:stretch/>
      </xdr:blipFill>
      <xdr:spPr>
        <a:xfrm>
          <a:off x="8485909" y="8511886"/>
          <a:ext cx="1333333" cy="2424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31</xdr:row>
      <xdr:rowOff>276225</xdr:rowOff>
    </xdr:from>
    <xdr:to>
      <xdr:col>8</xdr:col>
      <xdr:colOff>962025</xdr:colOff>
      <xdr:row>33</xdr:row>
      <xdr:rowOff>66675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BF19B197-6A3E-44FB-844B-53179D1EA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5743575"/>
          <a:ext cx="1304925" cy="381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absolute">
    <xdr:from>
      <xdr:col>0</xdr:col>
      <xdr:colOff>0</xdr:colOff>
      <xdr:row>2</xdr:row>
      <xdr:rowOff>0</xdr:rowOff>
    </xdr:from>
    <xdr:to>
      <xdr:col>10</xdr:col>
      <xdr:colOff>342900</xdr:colOff>
      <xdr:row>13</xdr:row>
      <xdr:rowOff>114300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D0075F6D-A13C-41BC-BACE-BA86E9170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6438900" cy="2209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311149</xdr:colOff>
      <xdr:row>13</xdr:row>
      <xdr:rowOff>0</xdr:rowOff>
    </xdr:from>
    <xdr:to>
      <xdr:col>7</xdr:col>
      <xdr:colOff>504482</xdr:colOff>
      <xdr:row>18</xdr:row>
      <xdr:rowOff>158192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5AB074FF-7408-4661-ABAF-06603F9C3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0099" y="2486025"/>
          <a:ext cx="1412533" cy="1110692"/>
        </a:xfrm>
        <a:prstGeom prst="rect">
          <a:avLst/>
        </a:prstGeom>
      </xdr:spPr>
    </xdr:pic>
    <xdr:clientData/>
  </xdr:twoCellAnchor>
  <xdr:twoCellAnchor editAs="oneCell">
    <xdr:from>
      <xdr:col>11</xdr:col>
      <xdr:colOff>187854</xdr:colOff>
      <xdr:row>11</xdr:row>
      <xdr:rowOff>111125</xdr:rowOff>
    </xdr:from>
    <xdr:to>
      <xdr:col>13</xdr:col>
      <xdr:colOff>536290</xdr:colOff>
      <xdr:row>20</xdr:row>
      <xdr:rowOff>91818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165E82E-BAEB-4076-B890-8788C44DC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3454" y="2206625"/>
          <a:ext cx="1567636" cy="2028568"/>
        </a:xfrm>
        <a:prstGeom prst="rect">
          <a:avLst/>
        </a:prstGeom>
      </xdr:spPr>
    </xdr:pic>
    <xdr:clientData/>
  </xdr:twoCellAnchor>
  <xdr:twoCellAnchor editAs="oneCell">
    <xdr:from>
      <xdr:col>19</xdr:col>
      <xdr:colOff>288925</xdr:colOff>
      <xdr:row>18</xdr:row>
      <xdr:rowOff>104437</xdr:rowOff>
    </xdr:from>
    <xdr:to>
      <xdr:col>21</xdr:col>
      <xdr:colOff>31504</xdr:colOff>
      <xdr:row>21</xdr:row>
      <xdr:rowOff>175065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DAEB4A2B-6E56-44CF-B956-E065DD029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33250" y="3800137"/>
          <a:ext cx="961779" cy="718328"/>
        </a:xfrm>
        <a:prstGeom prst="rect">
          <a:avLst/>
        </a:prstGeom>
      </xdr:spPr>
    </xdr:pic>
    <xdr:clientData/>
  </xdr:twoCellAnchor>
  <xdr:twoCellAnchor editAs="oneCell">
    <xdr:from>
      <xdr:col>9</xdr:col>
      <xdr:colOff>51955</xdr:colOff>
      <xdr:row>30</xdr:row>
      <xdr:rowOff>173182</xdr:rowOff>
    </xdr:from>
    <xdr:to>
      <xdr:col>11</xdr:col>
      <xdr:colOff>39678</xdr:colOff>
      <xdr:row>38</xdr:row>
      <xdr:rowOff>115849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8E592029-0858-4580-9F9F-3C13F1CA7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43105" y="6431107"/>
          <a:ext cx="1206923" cy="1466667"/>
        </a:xfrm>
        <a:prstGeom prst="rect">
          <a:avLst/>
        </a:prstGeom>
      </xdr:spPr>
    </xdr:pic>
    <xdr:clientData/>
  </xdr:twoCellAnchor>
  <xdr:twoCellAnchor editAs="oneCell">
    <xdr:from>
      <xdr:col>16</xdr:col>
      <xdr:colOff>337704</xdr:colOff>
      <xdr:row>30</xdr:row>
      <xdr:rowOff>103909</xdr:rowOff>
    </xdr:from>
    <xdr:to>
      <xdr:col>19</xdr:col>
      <xdr:colOff>138315</xdr:colOff>
      <xdr:row>38</xdr:row>
      <xdr:rowOff>8480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76BA2B5B-6352-48EC-B65D-733CF0773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38904" y="6361834"/>
          <a:ext cx="1791336" cy="1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102424</xdr:rowOff>
    </xdr:from>
    <xdr:to>
      <xdr:col>10</xdr:col>
      <xdr:colOff>89913</xdr:colOff>
      <xdr:row>10</xdr:row>
      <xdr:rowOff>135125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C1A923AA-2DEF-4D50-8704-DE30E5BB3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92924"/>
          <a:ext cx="6185913" cy="174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M14" sqref="M14"/>
    </sheetView>
  </sheetViews>
  <sheetFormatPr baseColWidth="10" defaultColWidth="9.140625" defaultRowHeight="15"/>
  <sheetData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7" workbookViewId="0">
      <selection activeCell="F29" sqref="F29"/>
    </sheetView>
  </sheetViews>
  <sheetFormatPr baseColWidth="10" defaultColWidth="9.140625" defaultRowHeight="15"/>
  <sheetData>
    <row r="1" spans="1:9">
      <c r="A1" s="43"/>
      <c r="B1" s="43"/>
      <c r="C1" s="43"/>
      <c r="D1" s="43"/>
      <c r="E1" s="43"/>
      <c r="F1" s="43"/>
      <c r="G1" s="43"/>
      <c r="H1" s="43"/>
      <c r="I1" s="43"/>
    </row>
    <row r="2" spans="1:9">
      <c r="A2" s="43"/>
      <c r="B2" s="43"/>
      <c r="C2" s="43"/>
      <c r="D2" s="43"/>
      <c r="E2" s="43"/>
      <c r="F2" s="43"/>
      <c r="G2" s="43"/>
      <c r="H2" s="43"/>
      <c r="I2" s="43"/>
    </row>
    <row r="3" spans="1:9">
      <c r="A3" s="43"/>
      <c r="B3" s="43"/>
      <c r="C3" s="43"/>
      <c r="D3" s="43"/>
      <c r="E3" s="43"/>
      <c r="F3" s="43"/>
      <c r="G3" s="43"/>
      <c r="H3" s="43"/>
      <c r="I3" s="43"/>
    </row>
    <row r="4" spans="1:9">
      <c r="A4" s="43"/>
      <c r="B4" s="43"/>
      <c r="C4" s="43"/>
      <c r="D4" s="43"/>
      <c r="E4" s="43"/>
      <c r="F4" s="43"/>
      <c r="G4" s="43"/>
      <c r="H4" s="43"/>
      <c r="I4" s="43"/>
    </row>
    <row r="5" spans="1:9">
      <c r="A5" s="43"/>
      <c r="B5" s="43"/>
      <c r="C5" s="43"/>
      <c r="D5" s="43"/>
      <c r="E5" s="43"/>
      <c r="F5" s="43"/>
      <c r="G5" s="43"/>
      <c r="H5" s="43"/>
      <c r="I5" s="43"/>
    </row>
    <row r="6" spans="1:9">
      <c r="A6" s="43"/>
      <c r="B6" s="43"/>
      <c r="C6" s="43"/>
      <c r="D6" s="43"/>
      <c r="E6" s="43"/>
      <c r="F6" s="43"/>
      <c r="G6" s="43"/>
      <c r="H6" s="43"/>
      <c r="I6" s="43"/>
    </row>
    <row r="7" spans="1:9">
      <c r="A7" s="43"/>
      <c r="B7" s="43"/>
      <c r="C7" s="43"/>
      <c r="D7" s="43"/>
      <c r="E7" s="43"/>
      <c r="F7" s="43"/>
      <c r="G7" s="43"/>
      <c r="H7" s="43"/>
      <c r="I7" s="43"/>
    </row>
    <row r="8" spans="1:9">
      <c r="A8" s="43"/>
      <c r="B8" s="43"/>
      <c r="C8" s="43"/>
      <c r="D8" s="43"/>
      <c r="E8" s="43"/>
      <c r="F8" s="43"/>
      <c r="G8" s="43"/>
      <c r="H8" s="43"/>
      <c r="I8" s="43"/>
    </row>
    <row r="9" spans="1:9">
      <c r="A9" s="43"/>
      <c r="B9" s="43"/>
      <c r="C9" s="43"/>
      <c r="D9" s="43"/>
      <c r="E9" s="43"/>
      <c r="F9" s="43"/>
      <c r="G9" s="43"/>
      <c r="H9" s="43"/>
      <c r="I9" s="43"/>
    </row>
    <row r="10" spans="1:9">
      <c r="A10" s="43"/>
      <c r="B10" s="43"/>
      <c r="C10" s="43"/>
      <c r="D10" s="43"/>
      <c r="E10" s="43"/>
      <c r="F10" s="43"/>
      <c r="G10" s="43"/>
      <c r="H10" s="43"/>
      <c r="I10" s="43"/>
    </row>
    <row r="11" spans="1:9">
      <c r="A11" s="43"/>
      <c r="B11" s="43"/>
      <c r="C11" s="43"/>
      <c r="D11" s="43"/>
      <c r="E11" s="43"/>
      <c r="F11" s="43"/>
      <c r="G11" s="43"/>
      <c r="H11" s="43"/>
      <c r="I11" s="43"/>
    </row>
    <row r="12" spans="1:9">
      <c r="A12" s="43"/>
      <c r="B12" s="43"/>
      <c r="C12" s="43"/>
      <c r="D12" s="43"/>
      <c r="E12" s="43"/>
      <c r="F12" s="43"/>
      <c r="G12" s="43"/>
      <c r="H12" s="43"/>
      <c r="I12" s="43"/>
    </row>
    <row r="13" spans="1:9">
      <c r="A13" s="43"/>
      <c r="B13" s="81" t="s">
        <v>154</v>
      </c>
      <c r="C13" s="43"/>
      <c r="D13" s="43"/>
      <c r="E13" s="43"/>
      <c r="F13" s="43"/>
      <c r="G13" s="43"/>
      <c r="H13" s="43"/>
      <c r="I13" s="43"/>
    </row>
    <row r="14" spans="1:9">
      <c r="A14" s="43"/>
      <c r="B14" s="82">
        <v>5.28E-3</v>
      </c>
      <c r="C14" s="43"/>
      <c r="D14" s="43" t="s">
        <v>17</v>
      </c>
      <c r="E14" s="44" t="s">
        <v>0</v>
      </c>
      <c r="F14" s="45">
        <f>COUNTA(B14:B53)</f>
        <v>40</v>
      </c>
      <c r="G14" s="43"/>
      <c r="H14" s="43"/>
      <c r="I14" s="43"/>
    </row>
    <row r="15" spans="1:9">
      <c r="A15" s="43"/>
      <c r="B15" s="81">
        <v>3.0800000000000001E-2</v>
      </c>
      <c r="C15" s="43"/>
      <c r="D15" s="43"/>
      <c r="E15" s="133" t="s">
        <v>1</v>
      </c>
      <c r="F15" s="133"/>
      <c r="G15" s="43"/>
      <c r="H15" s="43"/>
      <c r="I15" s="43"/>
    </row>
    <row r="16" spans="1:9">
      <c r="A16" s="43"/>
      <c r="B16" s="82">
        <v>0.23483000000000001</v>
      </c>
      <c r="C16" s="43"/>
      <c r="D16" s="43"/>
      <c r="E16" s="83" t="s">
        <v>155</v>
      </c>
      <c r="F16" s="84">
        <v>0.05</v>
      </c>
      <c r="G16" s="43"/>
      <c r="H16" s="43"/>
      <c r="I16" s="43"/>
    </row>
    <row r="17" spans="1:9">
      <c r="A17" s="43"/>
      <c r="B17" s="82">
        <v>0.49762000000000001</v>
      </c>
      <c r="C17" s="43"/>
      <c r="D17" s="43"/>
      <c r="E17" s="83" t="s">
        <v>156</v>
      </c>
      <c r="F17" s="84">
        <f>1-F16/2</f>
        <v>0.97499999999999998</v>
      </c>
      <c r="G17" s="43"/>
      <c r="H17" s="43"/>
      <c r="I17" s="43"/>
    </row>
    <row r="18" spans="1:9">
      <c r="A18" s="43"/>
      <c r="B18" s="82">
        <v>8.7190000000000004E-2</v>
      </c>
      <c r="C18" s="43"/>
      <c r="D18" s="43"/>
      <c r="E18" s="81"/>
      <c r="F18" s="81"/>
      <c r="G18" s="43"/>
      <c r="H18" s="43"/>
      <c r="I18" s="43"/>
    </row>
    <row r="19" spans="1:9">
      <c r="A19" s="43"/>
      <c r="B19" s="82">
        <v>0.13331000000000001</v>
      </c>
      <c r="C19" s="43"/>
      <c r="D19" s="43"/>
      <c r="E19" s="85" t="s">
        <v>4</v>
      </c>
      <c r="F19" s="81">
        <f>_xlfn.NORM.S.INV(F17)</f>
        <v>1.9599639845400536</v>
      </c>
      <c r="G19" s="43"/>
      <c r="H19" s="43"/>
      <c r="I19" s="43"/>
    </row>
    <row r="20" spans="1:9">
      <c r="A20" s="43"/>
      <c r="B20" s="82">
        <v>5.5890000000000002E-2</v>
      </c>
      <c r="C20" s="43"/>
      <c r="D20" s="43"/>
      <c r="E20" s="86" t="s">
        <v>5</v>
      </c>
      <c r="F20" s="87">
        <f>(1/2)-(F19*(1/(SQRT(12*F14))))</f>
        <v>0.41054029281414217</v>
      </c>
      <c r="G20" s="43"/>
      <c r="H20" s="43"/>
      <c r="I20" s="43"/>
    </row>
    <row r="21" spans="1:9">
      <c r="A21" s="43"/>
      <c r="B21" s="82">
        <v>0.19139</v>
      </c>
      <c r="C21" s="43"/>
      <c r="D21" s="43"/>
      <c r="E21" s="88" t="s">
        <v>157</v>
      </c>
      <c r="F21" s="89">
        <f>AVERAGE(B14:B53)</f>
        <v>0.14564375000000002</v>
      </c>
      <c r="G21" s="90" t="s">
        <v>158</v>
      </c>
      <c r="H21" s="43"/>
      <c r="I21" s="43"/>
    </row>
    <row r="22" spans="1:9">
      <c r="A22" s="43"/>
      <c r="B22" s="82">
        <v>6.7000000000000002E-4</v>
      </c>
      <c r="C22" s="43"/>
      <c r="D22" s="43"/>
      <c r="E22" s="91" t="s">
        <v>7</v>
      </c>
      <c r="F22" s="92">
        <f>(1/2)+(F19*(1/(SQRT(12*F14))))</f>
        <v>0.58945970718585783</v>
      </c>
      <c r="G22" s="43"/>
      <c r="H22" s="43"/>
      <c r="I22" s="43"/>
    </row>
    <row r="23" spans="1:9">
      <c r="A23" s="43"/>
      <c r="B23" s="82">
        <v>0.21421999999999999</v>
      </c>
      <c r="C23" s="43"/>
      <c r="D23" s="43"/>
      <c r="E23" s="43"/>
      <c r="F23" s="43"/>
      <c r="G23" s="43"/>
      <c r="H23" s="43"/>
      <c r="I23" s="43"/>
    </row>
    <row r="24" spans="1:9">
      <c r="A24" s="43"/>
      <c r="B24" s="81">
        <v>0.10970000000000001</v>
      </c>
      <c r="C24" s="43"/>
      <c r="D24" s="43"/>
      <c r="E24" s="135" t="s">
        <v>247</v>
      </c>
      <c r="F24" s="43"/>
      <c r="G24" s="43"/>
      <c r="H24" s="43"/>
      <c r="I24" s="43"/>
    </row>
    <row r="25" spans="1:9">
      <c r="A25" s="43"/>
      <c r="B25" s="82">
        <v>0.11458</v>
      </c>
      <c r="C25" s="43"/>
      <c r="D25" s="43"/>
      <c r="E25" s="43"/>
      <c r="F25" s="43"/>
      <c r="G25" s="43"/>
      <c r="H25" s="43"/>
      <c r="I25" s="43"/>
    </row>
    <row r="26" spans="1:9">
      <c r="A26" s="43"/>
      <c r="B26" s="82">
        <v>8.3119999999999999E-2</v>
      </c>
      <c r="C26" s="43"/>
      <c r="D26" s="43"/>
      <c r="E26" s="43"/>
      <c r="F26" s="43"/>
      <c r="G26" s="43"/>
      <c r="H26" s="43"/>
      <c r="I26" s="43"/>
    </row>
    <row r="27" spans="1:9">
      <c r="A27" s="43"/>
      <c r="B27" s="82">
        <v>3.5319999999999997E-2</v>
      </c>
      <c r="C27" s="43"/>
      <c r="D27" s="43"/>
      <c r="E27" s="43"/>
      <c r="F27" s="43"/>
      <c r="G27" s="43"/>
      <c r="H27" s="43"/>
      <c r="I27" s="43"/>
    </row>
    <row r="28" spans="1:9">
      <c r="A28" s="43"/>
      <c r="B28" s="82">
        <v>9.4390000000000002E-2</v>
      </c>
      <c r="C28" s="43"/>
      <c r="D28" s="43"/>
      <c r="E28" s="43"/>
      <c r="F28" s="43"/>
      <c r="G28" s="43"/>
      <c r="H28" s="43"/>
      <c r="I28" s="43"/>
    </row>
    <row r="29" spans="1:9">
      <c r="A29" s="43"/>
      <c r="B29" s="81">
        <v>5.1000000000000004E-3</v>
      </c>
      <c r="C29" s="43"/>
      <c r="D29" s="43"/>
      <c r="E29" s="43"/>
      <c r="F29" s="43"/>
      <c r="G29" s="43"/>
      <c r="H29" s="43"/>
      <c r="I29" s="43"/>
    </row>
    <row r="30" spans="1:9">
      <c r="A30" s="43"/>
      <c r="B30" s="82">
        <v>2.461E-2</v>
      </c>
      <c r="C30" s="43"/>
      <c r="D30" s="43"/>
      <c r="E30" s="43"/>
      <c r="F30" s="43"/>
      <c r="G30" s="43"/>
      <c r="H30" s="43"/>
      <c r="I30" s="43"/>
    </row>
    <row r="31" spans="1:9">
      <c r="A31" s="43"/>
      <c r="B31" s="82">
        <v>5.398E-2</v>
      </c>
      <c r="C31" s="43"/>
      <c r="D31" s="43"/>
      <c r="E31" s="43"/>
      <c r="F31" s="43"/>
      <c r="G31" s="43"/>
      <c r="H31" s="43"/>
      <c r="I31" s="43"/>
    </row>
    <row r="32" spans="1:9">
      <c r="A32" s="43"/>
      <c r="B32" s="82">
        <v>0.31562000000000001</v>
      </c>
      <c r="C32" s="43"/>
      <c r="D32" s="43"/>
      <c r="E32" s="43"/>
      <c r="F32" s="43"/>
      <c r="G32" s="43"/>
      <c r="H32" s="43"/>
      <c r="I32" s="43"/>
    </row>
    <row r="33" spans="1:9">
      <c r="A33" s="43"/>
      <c r="B33" s="82">
        <v>0.18295</v>
      </c>
      <c r="C33" s="43"/>
      <c r="D33" s="43"/>
      <c r="E33" s="43"/>
      <c r="F33" s="43"/>
      <c r="G33" s="43"/>
      <c r="H33" s="43"/>
      <c r="I33" s="43"/>
    </row>
    <row r="34" spans="1:9">
      <c r="A34" s="43"/>
      <c r="B34" s="82">
        <v>0.19581999999999999</v>
      </c>
      <c r="C34" s="43"/>
      <c r="D34" s="43"/>
      <c r="E34" s="43"/>
      <c r="F34" s="43"/>
      <c r="G34" s="43"/>
      <c r="H34" s="43"/>
      <c r="I34" s="43"/>
    </row>
    <row r="35" spans="1:9">
      <c r="A35" s="43"/>
      <c r="B35" s="82">
        <v>0.17168</v>
      </c>
      <c r="C35" s="43"/>
      <c r="D35" s="43"/>
      <c r="E35" s="43"/>
      <c r="F35" s="43"/>
      <c r="G35" s="43"/>
      <c r="H35" s="43"/>
      <c r="I35" s="43"/>
    </row>
    <row r="36" spans="1:9">
      <c r="A36" s="43"/>
      <c r="B36" s="82">
        <v>0.46994000000000002</v>
      </c>
      <c r="C36" s="43"/>
      <c r="D36" s="43"/>
      <c r="E36" s="43"/>
      <c r="F36" s="43"/>
      <c r="G36" s="43"/>
      <c r="H36" s="43"/>
      <c r="I36" s="43"/>
    </row>
    <row r="37" spans="1:9">
      <c r="A37" s="43"/>
      <c r="B37" s="81">
        <v>4.7899999999999998E-2</v>
      </c>
      <c r="C37" s="43"/>
      <c r="D37" s="43"/>
      <c r="E37" s="43"/>
      <c r="F37" s="43"/>
      <c r="G37" s="43"/>
      <c r="H37" s="43"/>
      <c r="I37" s="43"/>
    </row>
    <row r="38" spans="1:9">
      <c r="A38" s="43"/>
      <c r="B38" s="81">
        <v>0.3836</v>
      </c>
      <c r="C38" s="43"/>
      <c r="D38" s="43"/>
      <c r="E38" s="43"/>
      <c r="F38" s="43"/>
      <c r="G38" s="43"/>
      <c r="H38" s="43"/>
      <c r="I38" s="43"/>
    </row>
    <row r="39" spans="1:9">
      <c r="A39" s="43"/>
      <c r="B39" s="82">
        <v>0.20996999999999999</v>
      </c>
      <c r="C39" s="43"/>
      <c r="D39" s="43"/>
      <c r="E39" s="43"/>
      <c r="F39" s="43"/>
      <c r="G39" s="43"/>
      <c r="H39" s="43"/>
      <c r="I39" s="43"/>
    </row>
    <row r="40" spans="1:9">
      <c r="A40" s="43"/>
      <c r="B40" s="82">
        <v>0.17186999999999999</v>
      </c>
      <c r="C40" s="43"/>
      <c r="D40" s="43"/>
      <c r="E40" s="43"/>
      <c r="F40" s="43"/>
      <c r="G40" s="43"/>
      <c r="H40" s="43"/>
      <c r="I40" s="43"/>
    </row>
    <row r="41" spans="1:9">
      <c r="A41" s="43"/>
      <c r="B41" s="81">
        <v>7.6700000000000004E-2</v>
      </c>
      <c r="C41" s="43"/>
      <c r="D41" s="43"/>
      <c r="E41" s="43"/>
      <c r="F41" s="43"/>
      <c r="G41" s="43"/>
      <c r="H41" s="43"/>
      <c r="I41" s="43"/>
    </row>
    <row r="42" spans="1:9">
      <c r="A42" s="43"/>
      <c r="B42" s="82">
        <v>0.49762000000000001</v>
      </c>
      <c r="C42" s="43"/>
      <c r="D42" s="43"/>
      <c r="E42" s="43"/>
      <c r="F42" s="43"/>
      <c r="G42" s="43"/>
      <c r="H42" s="43"/>
      <c r="I42" s="43"/>
    </row>
    <row r="43" spans="1:9">
      <c r="A43" s="43"/>
      <c r="B43" s="82">
        <v>0.19139</v>
      </c>
      <c r="C43" s="43"/>
      <c r="D43" s="43"/>
      <c r="E43" s="43"/>
      <c r="F43" s="43"/>
      <c r="G43" s="43"/>
      <c r="H43" s="43"/>
      <c r="I43" s="43"/>
    </row>
    <row r="44" spans="1:9">
      <c r="A44" s="43"/>
      <c r="B44" s="82">
        <v>0.13331000000000001</v>
      </c>
      <c r="C44" s="43"/>
      <c r="D44" s="43"/>
      <c r="E44" s="43"/>
      <c r="F44" s="43"/>
      <c r="G44" s="43"/>
      <c r="H44" s="43"/>
      <c r="I44" s="43"/>
    </row>
    <row r="45" spans="1:9">
      <c r="A45" s="43"/>
      <c r="B45" s="81">
        <v>0.10970000000000001</v>
      </c>
      <c r="C45" s="43"/>
      <c r="D45" s="43"/>
      <c r="E45" s="43"/>
      <c r="F45" s="43"/>
      <c r="G45" s="43"/>
      <c r="H45" s="43"/>
      <c r="I45" s="43"/>
    </row>
    <row r="46" spans="1:9">
      <c r="A46" s="43"/>
      <c r="B46" s="82">
        <v>0.11458</v>
      </c>
      <c r="C46" s="43"/>
      <c r="D46" s="43"/>
      <c r="E46" s="43"/>
      <c r="F46" s="43"/>
      <c r="G46" s="43"/>
      <c r="H46" s="43"/>
      <c r="I46" s="43"/>
    </row>
    <row r="47" spans="1:9">
      <c r="A47" s="43"/>
      <c r="B47" s="82">
        <v>6.7000000000000002E-4</v>
      </c>
      <c r="C47" s="43"/>
      <c r="D47" s="43"/>
      <c r="E47" s="43"/>
      <c r="F47" s="43"/>
      <c r="G47" s="43"/>
      <c r="H47" s="43"/>
      <c r="I47" s="43"/>
    </row>
    <row r="48" spans="1:9">
      <c r="A48" s="43"/>
      <c r="B48" s="82">
        <v>5.398E-2</v>
      </c>
      <c r="C48" s="43"/>
      <c r="D48" s="43"/>
      <c r="E48" s="43"/>
      <c r="F48" s="43"/>
      <c r="G48" s="43"/>
      <c r="H48" s="43"/>
      <c r="I48" s="43"/>
    </row>
    <row r="49" spans="1:9">
      <c r="A49" s="43"/>
      <c r="B49" s="82">
        <v>6.6909999999999997E-2</v>
      </c>
      <c r="C49" s="43"/>
      <c r="D49" s="43"/>
      <c r="E49" s="43"/>
      <c r="F49" s="43"/>
      <c r="G49" s="43"/>
      <c r="H49" s="43"/>
      <c r="I49" s="43"/>
    </row>
    <row r="50" spans="1:9">
      <c r="A50" s="43"/>
      <c r="B50" s="82">
        <v>2.461E-2</v>
      </c>
      <c r="C50" s="43"/>
      <c r="D50" s="43"/>
      <c r="E50" s="43"/>
      <c r="F50" s="43"/>
      <c r="G50" s="43"/>
      <c r="H50" s="43"/>
      <c r="I50" s="43"/>
    </row>
    <row r="51" spans="1:9">
      <c r="A51" s="43"/>
      <c r="B51" s="82">
        <v>6.4089999999999994E-2</v>
      </c>
      <c r="C51" s="43"/>
      <c r="D51" s="43"/>
      <c r="E51" s="43"/>
      <c r="F51" s="43"/>
      <c r="G51" s="43"/>
      <c r="H51" s="43"/>
      <c r="I51" s="43"/>
    </row>
    <row r="52" spans="1:9">
      <c r="A52" s="43"/>
      <c r="B52" s="82">
        <v>0.31562000000000001</v>
      </c>
      <c r="C52" s="43"/>
      <c r="D52" s="43"/>
      <c r="E52" s="43"/>
      <c r="F52" s="43"/>
      <c r="G52" s="43"/>
      <c r="H52" s="43"/>
      <c r="I52" s="43"/>
    </row>
    <row r="53" spans="1:9">
      <c r="A53" s="43"/>
      <c r="B53" s="82">
        <v>5.5219999999999998E-2</v>
      </c>
      <c r="C53" s="43"/>
      <c r="D53" s="43"/>
      <c r="E53" s="43"/>
      <c r="F53" s="43"/>
      <c r="G53" s="43"/>
      <c r="H53" s="43"/>
      <c r="I53" s="43"/>
    </row>
    <row r="54" spans="1:9">
      <c r="A54" s="43"/>
      <c r="B54" s="43"/>
      <c r="C54" s="43"/>
      <c r="D54" s="43"/>
      <c r="E54" s="43"/>
      <c r="F54" s="43"/>
      <c r="G54" s="43"/>
      <c r="H54" s="43"/>
      <c r="I54" s="43"/>
    </row>
  </sheetData>
  <mergeCells count="1">
    <mergeCell ref="E15:F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workbookViewId="0">
      <selection activeCell="L28" sqref="L28"/>
    </sheetView>
  </sheetViews>
  <sheetFormatPr baseColWidth="10" defaultColWidth="9.140625" defaultRowHeight="15"/>
  <sheetData>
    <row r="1" spans="1:2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spans="1:2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spans="1:22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1:2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spans="1:2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spans="1:2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spans="1:2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spans="1:2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135" t="s">
        <v>249</v>
      </c>
      <c r="Q11" s="43"/>
      <c r="R11" s="43"/>
      <c r="S11" s="43"/>
      <c r="T11" s="43"/>
      <c r="U11" s="43"/>
      <c r="V11" s="43"/>
    </row>
    <row r="12" spans="1:2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spans="1:22" ht="15.75" thickBot="1">
      <c r="A13" s="57" t="s">
        <v>10</v>
      </c>
      <c r="B13" s="43"/>
      <c r="C13" s="43" t="s">
        <v>17</v>
      </c>
      <c r="D13" s="44" t="s">
        <v>0</v>
      </c>
      <c r="E13" s="45">
        <f>COUNTA(A14:A43)</f>
        <v>30</v>
      </c>
      <c r="F13" s="43"/>
      <c r="G13" s="43"/>
      <c r="H13" s="43"/>
      <c r="I13" s="43" t="s">
        <v>18</v>
      </c>
      <c r="J13" s="43"/>
      <c r="K13" s="43"/>
      <c r="L13" s="43"/>
      <c r="M13" s="43"/>
      <c r="N13" s="43"/>
      <c r="O13" s="43" t="s">
        <v>19</v>
      </c>
      <c r="P13" s="124" t="s">
        <v>38</v>
      </c>
      <c r="Q13" s="124"/>
      <c r="R13" s="124"/>
      <c r="S13" s="124"/>
      <c r="T13" s="43"/>
      <c r="U13" s="43"/>
      <c r="V13" s="43"/>
    </row>
    <row r="14" spans="1:22" ht="15.75" thickBot="1">
      <c r="A14" s="16">
        <v>5.28E-3</v>
      </c>
      <c r="B14" s="43"/>
      <c r="C14" s="43"/>
      <c r="D14" s="123" t="s">
        <v>1</v>
      </c>
      <c r="E14" s="123"/>
      <c r="F14" s="43"/>
      <c r="G14" s="43"/>
      <c r="H14" s="43"/>
      <c r="I14" s="43"/>
      <c r="J14" s="123" t="s">
        <v>11</v>
      </c>
      <c r="K14" s="123"/>
      <c r="L14" s="43"/>
      <c r="M14" s="43"/>
      <c r="N14" s="43"/>
      <c r="O14" s="43"/>
      <c r="P14" s="137" t="s">
        <v>20</v>
      </c>
      <c r="Q14" s="138">
        <f>ROUND(SQRT(E13),0)</f>
        <v>5</v>
      </c>
      <c r="R14" s="141"/>
      <c r="S14" s="141"/>
      <c r="T14" s="43"/>
      <c r="U14" s="43"/>
      <c r="V14" s="43"/>
    </row>
    <row r="15" spans="1:22" ht="15.75" thickBot="1">
      <c r="A15" s="16">
        <v>0.63331000000000004</v>
      </c>
      <c r="B15" s="43"/>
      <c r="C15" s="43"/>
      <c r="D15" s="46" t="s">
        <v>2</v>
      </c>
      <c r="E15" s="47">
        <v>0.05</v>
      </c>
      <c r="F15" s="43"/>
      <c r="G15" s="43"/>
      <c r="H15" s="43"/>
      <c r="I15" s="43"/>
      <c r="J15" s="46" t="s">
        <v>12</v>
      </c>
      <c r="K15" s="47">
        <f>0.05/2</f>
        <v>2.5000000000000001E-2</v>
      </c>
      <c r="L15" s="43"/>
      <c r="M15" s="43"/>
      <c r="N15" s="43"/>
      <c r="O15" s="43"/>
      <c r="P15" s="148" t="s">
        <v>21</v>
      </c>
      <c r="Q15" s="148" t="s">
        <v>22</v>
      </c>
      <c r="R15" s="148" t="s">
        <v>23</v>
      </c>
      <c r="S15" s="148" t="s">
        <v>24</v>
      </c>
      <c r="T15" s="43"/>
      <c r="U15" s="43"/>
      <c r="V15" s="43"/>
    </row>
    <row r="16" spans="1:22" ht="15.75" thickBot="1">
      <c r="A16" s="16">
        <v>0.71081000000000005</v>
      </c>
      <c r="B16" s="43"/>
      <c r="C16" s="43"/>
      <c r="D16" s="46" t="s">
        <v>3</v>
      </c>
      <c r="E16" s="47">
        <f>1-E15/2</f>
        <v>0.97499999999999998</v>
      </c>
      <c r="F16" s="43"/>
      <c r="G16" s="43"/>
      <c r="H16" s="43"/>
      <c r="I16" s="43"/>
      <c r="J16" s="46" t="s">
        <v>3</v>
      </c>
      <c r="K16" s="47">
        <f>1-K15</f>
        <v>0.97499999999999998</v>
      </c>
      <c r="L16" s="43"/>
      <c r="M16" s="43"/>
      <c r="N16" s="43"/>
      <c r="O16" s="43"/>
      <c r="P16" s="139" t="s">
        <v>159</v>
      </c>
      <c r="Q16" s="139">
        <f>COUNTIFS($A$14:$A$33,"&gt;0,0",$A$14:$A$33,"&lt;0,2")</f>
        <v>5</v>
      </c>
      <c r="R16" s="139">
        <f>$E$13/$Q$14</f>
        <v>6</v>
      </c>
      <c r="S16" s="148">
        <f>+(R16-Q16)^2/R16</f>
        <v>0.16666666666666666</v>
      </c>
      <c r="T16" s="43"/>
      <c r="U16" s="43"/>
      <c r="V16" s="43"/>
    </row>
    <row r="17" spans="1:22" ht="24" thickBot="1">
      <c r="A17" s="16">
        <v>4.8999999999999998E-3</v>
      </c>
      <c r="B17" s="43"/>
      <c r="C17" s="43"/>
      <c r="D17" s="48"/>
      <c r="E17" s="48"/>
      <c r="F17" s="43"/>
      <c r="G17" s="43"/>
      <c r="H17" s="43"/>
      <c r="I17" s="43"/>
      <c r="J17" s="58" t="s">
        <v>13</v>
      </c>
      <c r="K17" s="48">
        <f>_xlfn.CHISQ.INV.RT(K15,E13-1)</f>
        <v>45.722285804174533</v>
      </c>
      <c r="L17" s="43"/>
      <c r="M17" s="43"/>
      <c r="N17" s="43"/>
      <c r="O17" s="43"/>
      <c r="P17" s="139"/>
      <c r="Q17" s="139"/>
      <c r="R17" s="139"/>
      <c r="S17" s="139"/>
      <c r="T17" s="43"/>
      <c r="U17" s="43"/>
      <c r="V17" s="43"/>
    </row>
    <row r="18" spans="1:22" ht="24" thickBot="1">
      <c r="A18" s="16">
        <v>0.70362999999999998</v>
      </c>
      <c r="B18" s="43"/>
      <c r="C18" s="43"/>
      <c r="D18" s="49" t="s">
        <v>4</v>
      </c>
      <c r="E18" s="48">
        <f>NORMSINV(E16)</f>
        <v>1.9599639845400536</v>
      </c>
      <c r="F18" s="43"/>
      <c r="G18" s="43"/>
      <c r="H18" s="43"/>
      <c r="I18" s="43"/>
      <c r="J18" s="58" t="s">
        <v>14</v>
      </c>
      <c r="K18" s="48">
        <f>_xlfn.CHISQ.INV.RT(K16,E13-1)</f>
        <v>16.047071695364892</v>
      </c>
      <c r="L18" s="43"/>
      <c r="M18" s="43"/>
      <c r="N18" s="43"/>
      <c r="O18" s="43"/>
      <c r="P18" s="139" t="s">
        <v>160</v>
      </c>
      <c r="Q18" s="139">
        <f>COUNTIFS($A$14:$A$43,"&gt;0,2",$A$14:$A$43,"&lt;0,4")</f>
        <v>0</v>
      </c>
      <c r="R18" s="139">
        <f t="shared" ref="R18:R24" si="0">$E$13/$Q$14</f>
        <v>6</v>
      </c>
      <c r="S18" s="148">
        <f t="shared" ref="S18:S24" si="1">+(R18-Q18)^2/R18</f>
        <v>6</v>
      </c>
      <c r="T18" s="43"/>
      <c r="U18" s="43"/>
      <c r="V18" s="43"/>
    </row>
    <row r="19" spans="1:22" ht="15.75" thickBot="1">
      <c r="A19" s="16">
        <v>0.66005999999999998</v>
      </c>
      <c r="B19" s="43"/>
      <c r="C19" s="43"/>
      <c r="D19" s="50" t="s">
        <v>5</v>
      </c>
      <c r="E19" s="51">
        <f>1/2-(E18*(1/(SQRT(12*E13))))</f>
        <v>0.39670082794923978</v>
      </c>
      <c r="F19" s="43"/>
      <c r="G19" s="43"/>
      <c r="H19" s="43"/>
      <c r="I19" s="43"/>
      <c r="J19" s="48"/>
      <c r="K19" s="48"/>
      <c r="L19" s="43"/>
      <c r="M19" s="43"/>
      <c r="N19" s="43"/>
      <c r="O19" s="43"/>
      <c r="P19" s="139"/>
      <c r="Q19" s="139"/>
      <c r="R19" s="139"/>
      <c r="S19" s="148"/>
      <c r="T19" s="43"/>
      <c r="U19" s="43"/>
      <c r="V19" s="43"/>
    </row>
    <row r="20" spans="1:22" ht="15.75" thickBot="1">
      <c r="A20" s="16">
        <v>0.53080000000000005</v>
      </c>
      <c r="B20" s="43"/>
      <c r="C20" s="43"/>
      <c r="D20" s="52" t="s">
        <v>6</v>
      </c>
      <c r="E20" s="93">
        <f>AVERAGE(A14:A43)</f>
        <v>0.55774233333333334</v>
      </c>
      <c r="F20" s="43"/>
      <c r="G20" s="43"/>
      <c r="H20" s="43"/>
      <c r="I20" s="43"/>
      <c r="J20" s="50" t="s">
        <v>16</v>
      </c>
      <c r="K20" s="59">
        <f>+K17/(12*(E13-1))</f>
        <v>0.13138587874762797</v>
      </c>
      <c r="L20" s="43"/>
      <c r="M20" s="43"/>
      <c r="N20" s="43"/>
      <c r="O20" s="43"/>
      <c r="P20" s="139" t="s">
        <v>161</v>
      </c>
      <c r="Q20" s="139">
        <f>COUNTIFS($A$14:$A$43,"&gt;0,4",$A$14:$A$43,"&lt;0,6")</f>
        <v>9</v>
      </c>
      <c r="R20" s="139">
        <f t="shared" si="0"/>
        <v>6</v>
      </c>
      <c r="S20" s="148">
        <f t="shared" si="1"/>
        <v>1.5</v>
      </c>
      <c r="T20" s="43"/>
      <c r="U20" s="43"/>
      <c r="V20" s="43"/>
    </row>
    <row r="21" spans="1:22" ht="15.75" thickBot="1">
      <c r="A21" s="16">
        <v>0.55589</v>
      </c>
      <c r="B21" s="43"/>
      <c r="C21" s="43"/>
      <c r="D21" s="54" t="s">
        <v>7</v>
      </c>
      <c r="E21" s="55">
        <f>1/2+(E18*(1/(SQRT(12*E13))))</f>
        <v>0.60329917205076022</v>
      </c>
      <c r="F21" s="43" t="s">
        <v>8</v>
      </c>
      <c r="G21" s="43"/>
      <c r="H21" s="43"/>
      <c r="I21" s="43"/>
      <c r="J21" s="52" t="s">
        <v>15</v>
      </c>
      <c r="K21" s="53">
        <f>_xlfn.VAR.S(A14:A43)</f>
        <v>7.1282470128850556E-2</v>
      </c>
      <c r="L21" s="43"/>
      <c r="M21" s="43"/>
      <c r="N21" s="43"/>
      <c r="O21" s="43"/>
      <c r="P21" s="139"/>
      <c r="Q21" s="139"/>
      <c r="R21" s="139"/>
      <c r="S21" s="148"/>
      <c r="T21" s="43"/>
      <c r="U21" s="43"/>
      <c r="V21" s="43"/>
    </row>
    <row r="22" spans="1:22" ht="15.75" thickBot="1">
      <c r="A22" s="16">
        <v>0.61458000000000002</v>
      </c>
      <c r="B22" s="43"/>
      <c r="C22" s="43"/>
      <c r="D22" s="43"/>
      <c r="E22" s="43"/>
      <c r="F22" s="43"/>
      <c r="G22" s="43"/>
      <c r="H22" s="43"/>
      <c r="I22" s="43"/>
      <c r="J22" s="50" t="s">
        <v>5</v>
      </c>
      <c r="K22" s="51">
        <f>+K18/(12*(E13-1))</f>
        <v>4.6112274986680725E-2</v>
      </c>
      <c r="L22" s="43" t="s">
        <v>8</v>
      </c>
      <c r="M22" s="43"/>
      <c r="N22" s="43"/>
      <c r="O22" s="43"/>
      <c r="P22" s="139" t="s">
        <v>162</v>
      </c>
      <c r="Q22" s="139">
        <f>COUNTIFS($A$14:$A$43,"&gt;0,6",$A$14:$A$43,"&lt;0,8")</f>
        <v>14</v>
      </c>
      <c r="R22" s="139">
        <f t="shared" si="0"/>
        <v>6</v>
      </c>
      <c r="S22" s="148">
        <f t="shared" si="1"/>
        <v>10.666666666666666</v>
      </c>
      <c r="T22" s="43"/>
      <c r="U22" s="43"/>
      <c r="V22" s="43"/>
    </row>
    <row r="23" spans="1:22" ht="15.75" thickBot="1">
      <c r="A23" s="16">
        <v>2.461E-2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139"/>
      <c r="Q23" s="139"/>
      <c r="R23" s="139"/>
      <c r="S23" s="148"/>
      <c r="T23" s="43"/>
      <c r="U23" s="43"/>
      <c r="V23" s="43"/>
    </row>
    <row r="24" spans="1:22">
      <c r="A24" s="77">
        <v>0.67168000000000005</v>
      </c>
      <c r="B24" s="43"/>
      <c r="C24" s="43"/>
      <c r="D24" s="43"/>
      <c r="E24" s="43"/>
      <c r="F24" s="43"/>
      <c r="G24" s="43"/>
      <c r="H24" s="43"/>
      <c r="I24" s="43"/>
      <c r="J24" s="135" t="s">
        <v>248</v>
      </c>
      <c r="K24" s="43"/>
      <c r="L24" s="43"/>
      <c r="M24" s="43"/>
      <c r="N24" s="43"/>
      <c r="O24" s="43"/>
      <c r="P24" s="139" t="s">
        <v>163</v>
      </c>
      <c r="Q24" s="139">
        <f>COUNTIFS($A$14:$A$43,"&gt;0,8",$A$14:$A$43,"&lt;1")</f>
        <v>2</v>
      </c>
      <c r="R24" s="139">
        <f t="shared" si="0"/>
        <v>6</v>
      </c>
      <c r="S24" s="148">
        <f t="shared" si="1"/>
        <v>2.6666666666666665</v>
      </c>
      <c r="T24" s="43"/>
      <c r="U24" s="43"/>
      <c r="V24" s="43"/>
    </row>
    <row r="25" spans="1:22">
      <c r="A25" s="77">
        <v>0.70996999999999999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139"/>
      <c r="Q25" s="139"/>
      <c r="R25" s="139"/>
      <c r="S25" s="148"/>
      <c r="T25" s="43"/>
      <c r="U25" s="43"/>
      <c r="V25" s="43"/>
    </row>
    <row r="26" spans="1:22" ht="23.25">
      <c r="A26" s="77">
        <v>0.73482999999999998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149" t="s">
        <v>35</v>
      </c>
      <c r="Q26" s="139">
        <f>SUM(Q16:Q25)</f>
        <v>30</v>
      </c>
      <c r="R26" s="139">
        <f>SUM(R16:R25)</f>
        <v>30</v>
      </c>
      <c r="S26" s="150">
        <f>SUM(S16:S25)</f>
        <v>21</v>
      </c>
      <c r="T26" s="61"/>
      <c r="U26" s="43"/>
      <c r="V26" s="43"/>
    </row>
    <row r="27" spans="1:22">
      <c r="A27" s="77">
        <v>0.69138999999999995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4" t="s">
        <v>9</v>
      </c>
      <c r="R27" s="47">
        <v>0.05</v>
      </c>
      <c r="S27" s="43"/>
      <c r="T27" s="43"/>
      <c r="U27" s="43"/>
      <c r="V27" s="43"/>
    </row>
    <row r="28" spans="1:22" ht="23.25">
      <c r="A28" s="77">
        <v>0.58311999999999997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62" t="s">
        <v>36</v>
      </c>
      <c r="R28" s="63">
        <f>_xlfn.CHISQ.INV.RT(R27,Q14-1)</f>
        <v>9.4877290367811575</v>
      </c>
      <c r="S28" s="43"/>
      <c r="T28" s="94" t="s">
        <v>61</v>
      </c>
      <c r="U28" s="43"/>
      <c r="V28" s="43"/>
    </row>
    <row r="29" spans="1:22">
      <c r="A29" s="77">
        <v>5.398E-2</v>
      </c>
      <c r="B29" s="43"/>
      <c r="C29" s="43"/>
      <c r="D29" s="43"/>
      <c r="E29" s="43"/>
    </row>
    <row r="30" spans="1:22">
      <c r="A30" s="77">
        <v>0.46994000000000002</v>
      </c>
      <c r="B30" s="43"/>
      <c r="C30" s="43"/>
      <c r="D30" s="43"/>
      <c r="E30" s="43"/>
      <c r="Q30" s="135" t="s">
        <v>250</v>
      </c>
    </row>
    <row r="31" spans="1:22">
      <c r="A31" s="77">
        <v>0.78298000000000001</v>
      </c>
      <c r="B31" s="43"/>
      <c r="C31" s="43"/>
      <c r="D31" s="43"/>
      <c r="E31" s="43"/>
    </row>
    <row r="32" spans="1:22">
      <c r="A32" s="77">
        <v>0.99761999999999995</v>
      </c>
      <c r="B32" s="43"/>
      <c r="C32" s="43"/>
      <c r="D32" s="43"/>
      <c r="E32" s="43"/>
    </row>
    <row r="33" spans="1:5">
      <c r="A33" s="77">
        <v>6.7000000000000002E-4</v>
      </c>
      <c r="B33" s="43"/>
      <c r="C33" s="43"/>
      <c r="D33" s="43"/>
      <c r="E33" s="43"/>
    </row>
    <row r="34" spans="1:5">
      <c r="A34" s="77">
        <v>0.53532000000000002</v>
      </c>
      <c r="B34" s="43"/>
      <c r="C34" s="43"/>
      <c r="D34" s="43"/>
      <c r="E34" s="43"/>
    </row>
    <row r="35" spans="1:5">
      <c r="A35" s="77">
        <v>0.81562000000000001</v>
      </c>
      <c r="B35" s="43"/>
      <c r="C35" s="43"/>
      <c r="D35" s="43"/>
      <c r="E35" s="43"/>
    </row>
    <row r="36" spans="1:5">
      <c r="A36" s="77">
        <v>0.54790000000000005</v>
      </c>
      <c r="B36" s="43"/>
      <c r="C36" s="43"/>
      <c r="D36" s="43"/>
      <c r="E36" s="43"/>
    </row>
    <row r="37" spans="1:5">
      <c r="A37" s="77">
        <v>0.57669999999999999</v>
      </c>
      <c r="B37" s="43"/>
      <c r="C37" s="43"/>
      <c r="D37" s="43"/>
      <c r="E37" s="43"/>
    </row>
    <row r="38" spans="1:5">
      <c r="A38" s="77">
        <v>0.58718999999999999</v>
      </c>
      <c r="B38" s="43"/>
      <c r="C38" s="43"/>
      <c r="D38" s="43"/>
      <c r="E38" s="43"/>
    </row>
    <row r="39" spans="1:5">
      <c r="A39" s="77">
        <v>0.71421999999999997</v>
      </c>
      <c r="B39" s="43"/>
      <c r="C39" s="43"/>
      <c r="D39" s="43"/>
      <c r="E39" s="43"/>
    </row>
    <row r="40" spans="1:5">
      <c r="A40" s="77">
        <v>0.59438999999999997</v>
      </c>
      <c r="B40" s="43"/>
      <c r="C40" s="43"/>
      <c r="D40" s="43"/>
      <c r="E40" s="43"/>
    </row>
    <row r="41" spans="1:5">
      <c r="A41" s="77">
        <v>0.79315999999999998</v>
      </c>
      <c r="B41" s="43"/>
      <c r="C41" s="43"/>
      <c r="D41" s="43"/>
      <c r="E41" s="43"/>
    </row>
    <row r="42" spans="1:5">
      <c r="A42" s="77">
        <v>0.77249999999999996</v>
      </c>
      <c r="B42" s="43"/>
      <c r="C42" s="43"/>
      <c r="D42" s="43"/>
      <c r="E42" s="43"/>
    </row>
    <row r="43" spans="1:5">
      <c r="A43" s="77">
        <v>0.65522000000000002</v>
      </c>
      <c r="B43" s="43"/>
      <c r="C43" s="43"/>
      <c r="D43" s="43"/>
      <c r="E43" s="43"/>
    </row>
    <row r="44" spans="1:5">
      <c r="A44" s="43"/>
      <c r="B44" s="43"/>
      <c r="C44" s="43"/>
      <c r="D44" s="43"/>
      <c r="E44" s="43"/>
    </row>
    <row r="45" spans="1:5">
      <c r="A45" s="43"/>
      <c r="B45" s="43"/>
      <c r="C45" s="43"/>
      <c r="D45" s="43"/>
      <c r="E45" s="43"/>
    </row>
    <row r="46" spans="1:5">
      <c r="A46" s="43"/>
      <c r="B46" s="43"/>
      <c r="C46" s="43"/>
      <c r="D46" s="43"/>
      <c r="E46" s="43"/>
    </row>
    <row r="47" spans="1:5">
      <c r="A47" s="43"/>
      <c r="B47" s="43"/>
      <c r="C47" s="43"/>
      <c r="D47" s="43"/>
      <c r="E47" s="43"/>
    </row>
    <row r="48" spans="1:5">
      <c r="A48" s="43"/>
      <c r="B48" s="43"/>
      <c r="C48" s="43"/>
      <c r="D48" s="43"/>
      <c r="E48" s="43"/>
    </row>
    <row r="49" spans="1:22">
      <c r="A49" s="43"/>
      <c r="B49" s="43"/>
      <c r="C49" s="43"/>
      <c r="D49" s="43"/>
      <c r="E49" s="43"/>
    </row>
    <row r="50" spans="1:22">
      <c r="A50" s="43"/>
      <c r="B50" s="43"/>
      <c r="C50" s="43"/>
      <c r="D50" s="43"/>
      <c r="E50" s="43"/>
    </row>
    <row r="51" spans="1:22">
      <c r="A51" s="43"/>
      <c r="B51" s="43"/>
      <c r="C51" s="43"/>
      <c r="D51" s="43"/>
      <c r="E51" s="43"/>
    </row>
    <row r="52" spans="1:22">
      <c r="A52" s="43"/>
      <c r="B52" s="43"/>
      <c r="C52" s="43"/>
      <c r="D52" s="43"/>
      <c r="E52" s="43"/>
    </row>
    <row r="53" spans="1:22">
      <c r="A53" s="43"/>
      <c r="B53" s="43"/>
      <c r="C53" s="43"/>
      <c r="D53" s="43"/>
      <c r="E53" s="43"/>
    </row>
    <row r="54" spans="1:22">
      <c r="A54" s="43"/>
      <c r="B54" s="43"/>
      <c r="C54" s="43"/>
      <c r="D54" s="43"/>
      <c r="E54" s="43"/>
    </row>
    <row r="55" spans="1:22">
      <c r="A55" s="43"/>
      <c r="B55" s="43"/>
      <c r="C55" s="43"/>
      <c r="D55" s="43"/>
      <c r="E55" s="43"/>
    </row>
    <row r="56" spans="1:22">
      <c r="A56" s="43"/>
      <c r="B56" s="43"/>
      <c r="C56" s="43"/>
      <c r="D56" s="43"/>
      <c r="E56" s="43"/>
    </row>
    <row r="57" spans="1:22">
      <c r="A57" s="43"/>
      <c r="B57" s="43"/>
      <c r="C57" s="43"/>
      <c r="D57" s="43"/>
      <c r="E57" s="43"/>
    </row>
    <row r="58" spans="1:22">
      <c r="A58" s="43"/>
      <c r="B58" s="43"/>
      <c r="C58" s="43"/>
      <c r="D58" s="43"/>
      <c r="E58" s="43"/>
    </row>
    <row r="59" spans="1:22">
      <c r="A59" s="43"/>
      <c r="B59" s="43"/>
      <c r="C59" s="43"/>
      <c r="D59" s="43"/>
      <c r="E59" s="43"/>
    </row>
    <row r="60" spans="1:22">
      <c r="A60" s="43"/>
      <c r="B60" s="43"/>
      <c r="C60" s="43"/>
      <c r="D60" s="43"/>
      <c r="E60" s="43"/>
    </row>
    <row r="61" spans="1:22">
      <c r="A61" s="43"/>
      <c r="B61" s="43"/>
      <c r="C61" s="43"/>
      <c r="D61" s="43"/>
      <c r="E61" s="43"/>
    </row>
    <row r="62" spans="1:2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</row>
  </sheetData>
  <mergeCells count="3">
    <mergeCell ref="P13:S13"/>
    <mergeCell ref="D14:E14"/>
    <mergeCell ref="J14:K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8"/>
  <sheetViews>
    <sheetView workbookViewId="0">
      <selection activeCell="B20" sqref="B20"/>
    </sheetView>
  </sheetViews>
  <sheetFormatPr baseColWidth="10" defaultColWidth="9.140625" defaultRowHeight="15"/>
  <sheetData>
    <row r="4" spans="1:1">
      <c r="A4" s="42" t="s">
        <v>212</v>
      </c>
    </row>
    <row r="5" spans="1:1">
      <c r="A5" s="42" t="s">
        <v>213</v>
      </c>
    </row>
    <row r="6" spans="1:1">
      <c r="A6" s="42" t="s">
        <v>214</v>
      </c>
    </row>
    <row r="7" spans="1:1">
      <c r="A7" s="42" t="s">
        <v>221</v>
      </c>
    </row>
    <row r="8" spans="1:1">
      <c r="A8" s="42" t="s">
        <v>215</v>
      </c>
    </row>
    <row r="9" spans="1:1">
      <c r="A9" s="42" t="s">
        <v>216</v>
      </c>
    </row>
    <row r="10" spans="1:1">
      <c r="A10" s="134" t="s">
        <v>217</v>
      </c>
    </row>
    <row r="11" spans="1:1">
      <c r="A11" s="134" t="s">
        <v>218</v>
      </c>
    </row>
    <row r="12" spans="1:1">
      <c r="A12" s="134" t="s">
        <v>219</v>
      </c>
    </row>
    <row r="13" spans="1:1">
      <c r="A13" s="134" t="s">
        <v>220</v>
      </c>
    </row>
    <row r="14" spans="1:1">
      <c r="A14" s="134" t="s">
        <v>222</v>
      </c>
    </row>
    <row r="16" spans="1:1">
      <c r="A16" s="135" t="s">
        <v>223</v>
      </c>
    </row>
    <row r="17" spans="1:1">
      <c r="A17" s="135" t="s">
        <v>224</v>
      </c>
    </row>
    <row r="18" spans="1:1">
      <c r="A18" s="135" t="s">
        <v>225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6"/>
  <sheetViews>
    <sheetView workbookViewId="0">
      <selection activeCell="F19" sqref="F19"/>
    </sheetView>
  </sheetViews>
  <sheetFormatPr baseColWidth="10" defaultColWidth="9.140625" defaultRowHeight="15"/>
  <sheetData>
    <row r="4" spans="1:1">
      <c r="A4" s="42" t="s">
        <v>190</v>
      </c>
    </row>
    <row r="5" spans="1:1">
      <c r="A5" s="42" t="s">
        <v>191</v>
      </c>
    </row>
    <row r="6" spans="1:1">
      <c r="A6" s="42" t="s">
        <v>192</v>
      </c>
    </row>
    <row r="7" spans="1:1">
      <c r="A7" s="42" t="s">
        <v>193</v>
      </c>
    </row>
    <row r="8" spans="1:1">
      <c r="A8" s="42" t="s">
        <v>194</v>
      </c>
    </row>
    <row r="9" spans="1:1">
      <c r="A9" s="42" t="s">
        <v>195</v>
      </c>
    </row>
    <row r="10" spans="1:1">
      <c r="A10" s="42" t="s">
        <v>196</v>
      </c>
    </row>
    <row r="11" spans="1:1">
      <c r="A11" s="42" t="s">
        <v>197</v>
      </c>
    </row>
    <row r="12" spans="1:1">
      <c r="A12" s="42" t="s">
        <v>198</v>
      </c>
    </row>
    <row r="13" spans="1:1">
      <c r="A13" s="42" t="s">
        <v>199</v>
      </c>
    </row>
    <row r="14" spans="1:1">
      <c r="A14" s="134" t="s">
        <v>200</v>
      </c>
    </row>
    <row r="16" spans="1:1">
      <c r="A16" s="135" t="s">
        <v>226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4"/>
  <sheetViews>
    <sheetView workbookViewId="0">
      <selection activeCell="I16" sqref="I16"/>
    </sheetView>
  </sheetViews>
  <sheetFormatPr baseColWidth="10" defaultColWidth="9.140625" defaultRowHeight="15"/>
  <sheetData>
    <row r="4" spans="1:7">
      <c r="A4" s="42" t="s">
        <v>201</v>
      </c>
    </row>
    <row r="5" spans="1:7">
      <c r="A5" s="42" t="s">
        <v>202</v>
      </c>
    </row>
    <row r="6" spans="1:7">
      <c r="A6" s="42" t="s">
        <v>203</v>
      </c>
    </row>
    <row r="7" spans="1:7">
      <c r="A7" s="42" t="s">
        <v>204</v>
      </c>
    </row>
    <row r="8" spans="1:7">
      <c r="A8" s="42" t="s">
        <v>205</v>
      </c>
    </row>
    <row r="9" spans="1:7">
      <c r="A9" s="42" t="s">
        <v>206</v>
      </c>
    </row>
    <row r="10" spans="1:7">
      <c r="A10" s="42" t="s">
        <v>207</v>
      </c>
    </row>
    <row r="11" spans="1:7">
      <c r="A11" s="42" t="s">
        <v>208</v>
      </c>
    </row>
    <row r="12" spans="1:7">
      <c r="A12" s="42" t="s">
        <v>209</v>
      </c>
    </row>
    <row r="13" spans="1:7">
      <c r="A13" s="134" t="s">
        <v>210</v>
      </c>
      <c r="G13" s="135" t="s">
        <v>227</v>
      </c>
    </row>
    <row r="14" spans="1:7">
      <c r="A14" s="134" t="s">
        <v>211</v>
      </c>
      <c r="G14" s="135" t="s">
        <v>228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28"/>
  <sheetViews>
    <sheetView topLeftCell="A7" workbookViewId="0">
      <selection activeCell="B13" sqref="B13"/>
    </sheetView>
  </sheetViews>
  <sheetFormatPr baseColWidth="10" defaultColWidth="9.140625" defaultRowHeight="15"/>
  <cols>
    <col min="1" max="1" width="34.85546875" customWidth="1"/>
    <col min="2" max="2" width="14.5703125" customWidth="1"/>
  </cols>
  <sheetData>
    <row r="7" spans="1:3">
      <c r="A7" s="42" t="s">
        <v>65</v>
      </c>
      <c r="B7">
        <v>13</v>
      </c>
    </row>
    <row r="8" spans="1:3">
      <c r="A8" s="42" t="s">
        <v>66</v>
      </c>
      <c r="B8">
        <v>16</v>
      </c>
    </row>
    <row r="9" spans="1:3" ht="15.75" thickBot="1"/>
    <row r="10" spans="1:3" ht="15.75" thickBot="1">
      <c r="A10" s="79" t="s">
        <v>67</v>
      </c>
      <c r="B10" s="79" t="s">
        <v>68</v>
      </c>
    </row>
    <row r="11" spans="1:3" ht="15.75" thickBot="1">
      <c r="A11" s="79" t="s">
        <v>69</v>
      </c>
      <c r="B11" s="79" t="s">
        <v>70</v>
      </c>
    </row>
    <row r="12" spans="1:3" ht="15.75" thickBot="1">
      <c r="A12" s="79" t="s">
        <v>71</v>
      </c>
      <c r="B12" s="79" t="s">
        <v>72</v>
      </c>
    </row>
    <row r="13" spans="1:3" ht="15.75" thickBot="1">
      <c r="A13" s="79" t="s">
        <v>73</v>
      </c>
      <c r="B13" s="79" t="s">
        <v>74</v>
      </c>
    </row>
    <row r="14" spans="1:3" ht="15.75" thickBot="1">
      <c r="A14" s="79" t="s">
        <v>75</v>
      </c>
      <c r="B14" s="136" t="s">
        <v>76</v>
      </c>
      <c r="C14" s="135" t="s">
        <v>229</v>
      </c>
    </row>
    <row r="15" spans="1:3" ht="15.75" thickBot="1">
      <c r="A15" s="79" t="s">
        <v>77</v>
      </c>
      <c r="B15" s="79" t="s">
        <v>78</v>
      </c>
    </row>
    <row r="16" spans="1:3" ht="15.75" thickBot="1">
      <c r="A16" s="79" t="s">
        <v>79</v>
      </c>
      <c r="B16" s="79" t="s">
        <v>80</v>
      </c>
    </row>
    <row r="17" spans="1:4" ht="15.75" thickBot="1">
      <c r="A17" s="79" t="s">
        <v>81</v>
      </c>
      <c r="B17" s="79" t="s">
        <v>82</v>
      </c>
    </row>
    <row r="18" spans="1:4" ht="15.75" thickBot="1">
      <c r="A18" s="79" t="s">
        <v>83</v>
      </c>
      <c r="B18" s="79" t="s">
        <v>84</v>
      </c>
    </row>
    <row r="19" spans="1:4" ht="15.75" thickBot="1">
      <c r="A19" s="79" t="s">
        <v>85</v>
      </c>
      <c r="B19" s="136" t="s">
        <v>86</v>
      </c>
    </row>
    <row r="20" spans="1:4" ht="15.75" thickBot="1">
      <c r="A20" s="79" t="s">
        <v>87</v>
      </c>
      <c r="B20" s="79" t="s">
        <v>88</v>
      </c>
    </row>
    <row r="21" spans="1:4" ht="15.75" thickBot="1">
      <c r="A21" s="79" t="s">
        <v>89</v>
      </c>
      <c r="B21" s="136" t="s">
        <v>90</v>
      </c>
    </row>
    <row r="22" spans="1:4" ht="15.75" thickBot="1">
      <c r="A22" s="79" t="s">
        <v>91</v>
      </c>
      <c r="B22" s="79" t="s">
        <v>92</v>
      </c>
    </row>
    <row r="23" spans="1:4" ht="15.75" thickBot="1">
      <c r="A23" s="79" t="s">
        <v>93</v>
      </c>
      <c r="B23" s="136" t="s">
        <v>94</v>
      </c>
    </row>
    <row r="24" spans="1:4" ht="15.75" thickBot="1">
      <c r="A24" s="79" t="s">
        <v>95</v>
      </c>
      <c r="B24" s="136" t="s">
        <v>96</v>
      </c>
      <c r="D24" s="42" t="s">
        <v>101</v>
      </c>
    </row>
    <row r="25" spans="1:4" ht="15.75" thickBot="1">
      <c r="A25" s="79" t="s">
        <v>97</v>
      </c>
      <c r="B25" s="79" t="s">
        <v>98</v>
      </c>
      <c r="D25" s="80" t="s">
        <v>105</v>
      </c>
    </row>
    <row r="26" spans="1:4" ht="15.75" thickBot="1">
      <c r="A26" s="79" t="s">
        <v>99</v>
      </c>
      <c r="B26" s="79" t="s">
        <v>100</v>
      </c>
      <c r="D26" s="80" t="s">
        <v>102</v>
      </c>
    </row>
    <row r="27" spans="1:4">
      <c r="D27" s="80" t="s">
        <v>103</v>
      </c>
    </row>
    <row r="28" spans="1:4">
      <c r="D28" s="42" t="s">
        <v>104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D31"/>
  <sheetViews>
    <sheetView workbookViewId="0">
      <selection activeCell="E17" sqref="E17"/>
    </sheetView>
  </sheetViews>
  <sheetFormatPr baseColWidth="10" defaultColWidth="9.140625" defaultRowHeight="15"/>
  <cols>
    <col min="1" max="1" width="24.5703125" customWidth="1"/>
    <col min="2" max="2" width="12.28515625" customWidth="1"/>
  </cols>
  <sheetData>
    <row r="8" spans="1:3">
      <c r="A8" s="42" t="s">
        <v>106</v>
      </c>
      <c r="B8">
        <v>13</v>
      </c>
    </row>
    <row r="9" spans="1:3">
      <c r="A9" s="42" t="s">
        <v>107</v>
      </c>
      <c r="B9">
        <v>25</v>
      </c>
    </row>
    <row r="10" spans="1:3" ht="15.75" thickBot="1">
      <c r="C10" s="135" t="s">
        <v>230</v>
      </c>
    </row>
    <row r="11" spans="1:3" ht="15.75" thickBot="1">
      <c r="A11" s="79" t="s">
        <v>67</v>
      </c>
      <c r="B11" s="79" t="s">
        <v>68</v>
      </c>
    </row>
    <row r="12" spans="1:3" ht="15.75" thickBot="1">
      <c r="A12" s="79" t="s">
        <v>108</v>
      </c>
      <c r="B12" s="79" t="s">
        <v>109</v>
      </c>
    </row>
    <row r="13" spans="1:3" ht="15.75" thickBot="1">
      <c r="A13" s="79" t="s">
        <v>110</v>
      </c>
      <c r="B13" s="79" t="s">
        <v>111</v>
      </c>
    </row>
    <row r="14" spans="1:3" ht="15.75" thickBot="1">
      <c r="A14" s="79" t="s">
        <v>112</v>
      </c>
      <c r="B14" s="79" t="s">
        <v>113</v>
      </c>
    </row>
    <row r="15" spans="1:3" ht="15.75" thickBot="1">
      <c r="A15" s="79" t="s">
        <v>114</v>
      </c>
      <c r="B15" s="79" t="s">
        <v>115</v>
      </c>
    </row>
    <row r="16" spans="1:3" ht="15.75" thickBot="1">
      <c r="A16" s="79" t="s">
        <v>116</v>
      </c>
      <c r="B16" s="79" t="s">
        <v>117</v>
      </c>
    </row>
    <row r="17" spans="1:4" ht="15.75" thickBot="1">
      <c r="A17" s="79" t="s">
        <v>118</v>
      </c>
      <c r="B17" s="79" t="s">
        <v>119</v>
      </c>
    </row>
    <row r="18" spans="1:4" ht="15.75" thickBot="1">
      <c r="A18" s="79" t="s">
        <v>120</v>
      </c>
      <c r="B18" s="79" t="s">
        <v>121</v>
      </c>
    </row>
    <row r="19" spans="1:4" ht="15.75" thickBot="1">
      <c r="A19" s="79" t="s">
        <v>122</v>
      </c>
      <c r="B19" s="79" t="s">
        <v>123</v>
      </c>
    </row>
    <row r="20" spans="1:4" ht="15.75" thickBot="1">
      <c r="A20" s="79" t="s">
        <v>124</v>
      </c>
      <c r="B20" s="79" t="s">
        <v>125</v>
      </c>
    </row>
    <row r="21" spans="1:4" ht="29.25" thickBot="1">
      <c r="A21" s="79" t="s">
        <v>126</v>
      </c>
      <c r="B21" s="79" t="s">
        <v>127</v>
      </c>
    </row>
    <row r="22" spans="1:4" ht="29.25" thickBot="1">
      <c r="A22" s="79" t="s">
        <v>128</v>
      </c>
      <c r="B22" s="79" t="s">
        <v>129</v>
      </c>
    </row>
    <row r="23" spans="1:4" ht="29.25" thickBot="1">
      <c r="A23" s="79" t="s">
        <v>130</v>
      </c>
      <c r="B23" s="79" t="s">
        <v>131</v>
      </c>
    </row>
    <row r="24" spans="1:4" ht="29.25" thickBot="1">
      <c r="A24" s="79" t="s">
        <v>132</v>
      </c>
      <c r="B24" s="79" t="s">
        <v>133</v>
      </c>
    </row>
    <row r="25" spans="1:4" ht="29.25" thickBot="1">
      <c r="A25" s="79" t="s">
        <v>134</v>
      </c>
      <c r="B25" s="79" t="s">
        <v>135</v>
      </c>
    </row>
    <row r="26" spans="1:4" ht="29.25" thickBot="1">
      <c r="A26" s="79" t="s">
        <v>136</v>
      </c>
      <c r="B26" s="79" t="s">
        <v>137</v>
      </c>
    </row>
    <row r="27" spans="1:4" ht="29.25" thickBot="1">
      <c r="A27" s="79" t="s">
        <v>138</v>
      </c>
      <c r="B27" s="79" t="s">
        <v>139</v>
      </c>
    </row>
    <row r="28" spans="1:4" ht="29.25" thickBot="1">
      <c r="A28" s="79" t="s">
        <v>140</v>
      </c>
      <c r="B28" s="79" t="s">
        <v>141</v>
      </c>
    </row>
    <row r="29" spans="1:4" ht="29.25" thickBot="1">
      <c r="A29" s="79" t="s">
        <v>142</v>
      </c>
      <c r="B29" s="79" t="s">
        <v>143</v>
      </c>
      <c r="D29" s="42" t="s">
        <v>148</v>
      </c>
    </row>
    <row r="30" spans="1:4" ht="29.25" thickBot="1">
      <c r="A30" s="79" t="s">
        <v>144</v>
      </c>
      <c r="B30" s="79" t="s">
        <v>145</v>
      </c>
      <c r="D30" s="80" t="s">
        <v>149</v>
      </c>
    </row>
    <row r="31" spans="1:4" ht="29.25" thickBot="1">
      <c r="A31" s="79" t="s">
        <v>146</v>
      </c>
      <c r="B31" s="79" t="s">
        <v>147</v>
      </c>
      <c r="D31" s="42" t="s">
        <v>150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I47"/>
  <sheetViews>
    <sheetView zoomScale="90" zoomScaleNormal="90" workbookViewId="0">
      <selection activeCell="T44" sqref="T44"/>
    </sheetView>
  </sheetViews>
  <sheetFormatPr baseColWidth="10" defaultColWidth="9.140625" defaultRowHeight="15"/>
  <cols>
    <col min="1" max="4" width="9.140625" customWidth="1"/>
    <col min="16" max="16" width="14" bestFit="1" customWidth="1"/>
  </cols>
  <sheetData>
    <row r="10" spans="1:35">
      <c r="P10" s="135" t="s">
        <v>231</v>
      </c>
    </row>
    <row r="11" spans="1:35">
      <c r="P11" s="135" t="s">
        <v>233</v>
      </c>
    </row>
    <row r="12" spans="1:35">
      <c r="P12" s="135" t="s">
        <v>232</v>
      </c>
    </row>
    <row r="13" spans="1:35" ht="15.75" thickBot="1">
      <c r="A13" s="14" t="s">
        <v>10</v>
      </c>
      <c r="C13" t="s">
        <v>17</v>
      </c>
      <c r="D13" s="1" t="s">
        <v>0</v>
      </c>
      <c r="E13" s="2">
        <f>10</f>
        <v>10</v>
      </c>
      <c r="I13" t="s">
        <v>18</v>
      </c>
      <c r="O13" t="s">
        <v>19</v>
      </c>
      <c r="P13" s="124" t="s">
        <v>38</v>
      </c>
      <c r="Q13" s="124"/>
      <c r="R13" s="124"/>
      <c r="S13" s="124"/>
      <c r="W13" s="26" t="s">
        <v>37</v>
      </c>
    </row>
    <row r="14" spans="1:35" ht="15.75" thickBot="1">
      <c r="A14" s="13">
        <v>0.14280000000000001</v>
      </c>
      <c r="D14" s="123" t="s">
        <v>1</v>
      </c>
      <c r="E14" s="123"/>
      <c r="J14" s="123" t="s">
        <v>11</v>
      </c>
      <c r="K14" s="123"/>
      <c r="P14" s="137" t="s">
        <v>20</v>
      </c>
      <c r="Q14" s="138">
        <v>10</v>
      </c>
    </row>
    <row r="15" spans="1:35" ht="15.75" thickBot="1">
      <c r="A15" s="16">
        <v>0.23799999999999999</v>
      </c>
      <c r="D15" s="3" t="s">
        <v>2</v>
      </c>
      <c r="E15" s="4">
        <v>0.01</v>
      </c>
      <c r="J15" s="3" t="s">
        <v>12</v>
      </c>
      <c r="K15" s="4">
        <f>+E15/2</f>
        <v>5.0000000000000001E-3</v>
      </c>
      <c r="P15" s="5" t="s">
        <v>21</v>
      </c>
      <c r="Q15" s="5" t="s">
        <v>22</v>
      </c>
      <c r="R15" s="5" t="s">
        <v>23</v>
      </c>
      <c r="S15" s="5" t="s">
        <v>24</v>
      </c>
      <c r="W15" s="14" t="s">
        <v>10</v>
      </c>
      <c r="Y15" s="20" t="s">
        <v>39</v>
      </c>
      <c r="Z15" s="5">
        <v>1</v>
      </c>
      <c r="AA15" s="5">
        <v>2</v>
      </c>
      <c r="AB15" s="5">
        <v>3</v>
      </c>
      <c r="AC15" s="5">
        <v>4</v>
      </c>
      <c r="AD15" s="5">
        <v>5</v>
      </c>
      <c r="AE15" s="5">
        <v>6</v>
      </c>
      <c r="AF15" s="5">
        <v>7</v>
      </c>
      <c r="AG15" s="5">
        <v>8</v>
      </c>
      <c r="AH15" s="5">
        <v>9</v>
      </c>
      <c r="AI15" s="5">
        <v>10</v>
      </c>
    </row>
    <row r="16" spans="1:35" ht="15.75" thickBot="1">
      <c r="A16" s="13">
        <v>0.15870000000000001</v>
      </c>
      <c r="D16" s="3" t="s">
        <v>3</v>
      </c>
      <c r="E16" s="4">
        <f>1-E15/2</f>
        <v>0.995</v>
      </c>
      <c r="J16" s="3" t="s">
        <v>3</v>
      </c>
      <c r="K16" s="4">
        <f>1-K15</f>
        <v>0.995</v>
      </c>
      <c r="P16" s="139" t="s">
        <v>25</v>
      </c>
      <c r="Q16" s="139">
        <f>COUNTIFS($A$14:$A$23,"&gt;0,0",$A$14:$A$23,"&lt;0,1")</f>
        <v>0</v>
      </c>
      <c r="R16" s="19">
        <f>$E$13/$Q$14</f>
        <v>1</v>
      </c>
      <c r="S16" s="20">
        <f>+(R16-Q16)^2/R16</f>
        <v>1</v>
      </c>
      <c r="W16">
        <v>0.14280000000000001</v>
      </c>
      <c r="Y16" s="20" t="s">
        <v>40</v>
      </c>
      <c r="Z16" s="5">
        <f>Z15/$Z$21</f>
        <v>0.1</v>
      </c>
      <c r="AA16" s="5">
        <f t="shared" ref="AA16:AI16" si="0">AA15/$Z$21</f>
        <v>0.2</v>
      </c>
      <c r="AB16" s="5">
        <f t="shared" si="0"/>
        <v>0.3</v>
      </c>
      <c r="AC16" s="5">
        <f t="shared" si="0"/>
        <v>0.4</v>
      </c>
      <c r="AD16" s="5">
        <f t="shared" si="0"/>
        <v>0.5</v>
      </c>
      <c r="AE16" s="5">
        <f t="shared" si="0"/>
        <v>0.6</v>
      </c>
      <c r="AF16" s="5">
        <f t="shared" si="0"/>
        <v>0.7</v>
      </c>
      <c r="AG16" s="5">
        <f t="shared" si="0"/>
        <v>0.8</v>
      </c>
      <c r="AH16" s="5">
        <f t="shared" si="0"/>
        <v>0.9</v>
      </c>
      <c r="AI16" s="5">
        <f t="shared" si="0"/>
        <v>1</v>
      </c>
    </row>
    <row r="17" spans="1:35" ht="24" thickBot="1">
      <c r="A17" s="13">
        <v>0.63490000000000002</v>
      </c>
      <c r="D17" s="5"/>
      <c r="E17" s="5"/>
      <c r="J17" s="17" t="s">
        <v>13</v>
      </c>
      <c r="K17" s="5">
        <f>_xlfn.CHISQ.INV.RT(K15,E13-1)</f>
        <v>23.589350781257387</v>
      </c>
      <c r="P17" s="139" t="s">
        <v>26</v>
      </c>
      <c r="Q17" s="139">
        <f>COUNTIFS($A$14:$A$23,"&gt;0,1",$A$14:$A$23,"&lt;0,2")</f>
        <v>2</v>
      </c>
      <c r="R17" s="19">
        <f t="shared" ref="R17:R25" si="1">$E$13/$Q$14</f>
        <v>1</v>
      </c>
      <c r="S17" s="20">
        <f t="shared" ref="S17:S25" si="2">+(R17-Q17)^2/R17</f>
        <v>1</v>
      </c>
      <c r="W17" s="27">
        <v>0.15870000000000001</v>
      </c>
      <c r="Y17" s="20" t="s">
        <v>41</v>
      </c>
      <c r="Z17" s="5">
        <v>0.14280000000000001</v>
      </c>
      <c r="AA17" s="29">
        <v>0.15870000000000001</v>
      </c>
      <c r="AB17" s="30">
        <v>0.23799999999999999</v>
      </c>
      <c r="AC17" s="29">
        <v>0.25390000000000001</v>
      </c>
      <c r="AD17" s="29">
        <v>0.30149999999999999</v>
      </c>
      <c r="AE17" s="29">
        <v>0.36509999999999998</v>
      </c>
      <c r="AF17" s="29">
        <v>0.63490000000000002</v>
      </c>
      <c r="AG17" s="29">
        <v>0.71419999999999995</v>
      </c>
      <c r="AH17" s="29">
        <v>0.95230000000000004</v>
      </c>
      <c r="AI17" s="29">
        <v>0.98409999999999997</v>
      </c>
    </row>
    <row r="18" spans="1:35" ht="24" thickBot="1">
      <c r="A18" s="13">
        <v>0.95230000000000004</v>
      </c>
      <c r="D18" s="6" t="s">
        <v>4</v>
      </c>
      <c r="E18" s="5">
        <f>NORMSINV(E16)</f>
        <v>2.5758293035488999</v>
      </c>
      <c r="J18" s="17" t="s">
        <v>14</v>
      </c>
      <c r="K18" s="5">
        <f>_xlfn.CHISQ.INV.RT(K16,E13-1)</f>
        <v>1.7349329049966573</v>
      </c>
      <c r="P18" s="139" t="s">
        <v>27</v>
      </c>
      <c r="Q18" s="139">
        <f>COUNTIFS($A$14:$A$23,"&gt;0,2",$A$14:$A$23,"&lt;0,3")</f>
        <v>2</v>
      </c>
      <c r="R18" s="19">
        <f>$E$13/$Q$14</f>
        <v>1</v>
      </c>
      <c r="S18" s="20">
        <f t="shared" si="2"/>
        <v>1</v>
      </c>
      <c r="W18" s="28">
        <v>0.23799999999999999</v>
      </c>
      <c r="Y18" s="20" t="s">
        <v>42</v>
      </c>
      <c r="Z18" s="5">
        <f>(Z15-1)/$Z$21</f>
        <v>0</v>
      </c>
      <c r="AA18" s="5">
        <f t="shared" ref="AA18:AI18" si="3">(AA15-1)/$Z$21</f>
        <v>0.1</v>
      </c>
      <c r="AB18" s="5">
        <f t="shared" si="3"/>
        <v>0.2</v>
      </c>
      <c r="AC18" s="5">
        <f t="shared" si="3"/>
        <v>0.3</v>
      </c>
      <c r="AD18" s="5">
        <f t="shared" si="3"/>
        <v>0.4</v>
      </c>
      <c r="AE18" s="5">
        <f t="shared" si="3"/>
        <v>0.5</v>
      </c>
      <c r="AF18" s="5">
        <f t="shared" si="3"/>
        <v>0.6</v>
      </c>
      <c r="AG18" s="5">
        <f t="shared" si="3"/>
        <v>0.7</v>
      </c>
      <c r="AH18" s="5">
        <f t="shared" si="3"/>
        <v>0.8</v>
      </c>
      <c r="AI18" s="5">
        <f t="shared" si="3"/>
        <v>0.9</v>
      </c>
    </row>
    <row r="19" spans="1:35" ht="15.75" thickBot="1">
      <c r="A19" s="13">
        <v>0.25390000000000001</v>
      </c>
      <c r="D19" s="7" t="s">
        <v>5</v>
      </c>
      <c r="E19" s="8">
        <f>1/2-(E18*(1/(SQRT(12*E13))))</f>
        <v>0.26486003102724098</v>
      </c>
      <c r="J19" s="5"/>
      <c r="K19" s="5"/>
      <c r="P19" s="139" t="s">
        <v>28</v>
      </c>
      <c r="Q19" s="139">
        <f>COUNTIFS($A$14:$A$23,"&gt;0,3",$A$14:$A$23,"&lt;0,4")</f>
        <v>2</v>
      </c>
      <c r="R19" s="19">
        <f t="shared" si="1"/>
        <v>1</v>
      </c>
      <c r="S19" s="20">
        <f t="shared" si="2"/>
        <v>1</v>
      </c>
      <c r="W19" s="27">
        <v>0.25390000000000001</v>
      </c>
      <c r="Y19" s="20" t="s">
        <v>43</v>
      </c>
      <c r="Z19" s="5">
        <f>Z16-Z17</f>
        <v>-4.2800000000000005E-2</v>
      </c>
      <c r="AA19" s="5">
        <f t="shared" ref="AA19:AI19" si="4">AA16-AA17</f>
        <v>4.1300000000000003E-2</v>
      </c>
      <c r="AB19" s="5">
        <f t="shared" si="4"/>
        <v>6.2E-2</v>
      </c>
      <c r="AC19" s="5">
        <f t="shared" si="4"/>
        <v>0.14610000000000001</v>
      </c>
      <c r="AD19" s="5">
        <f t="shared" si="4"/>
        <v>0.19850000000000001</v>
      </c>
      <c r="AE19" s="5">
        <f t="shared" si="4"/>
        <v>0.2349</v>
      </c>
      <c r="AF19" s="5">
        <f t="shared" si="4"/>
        <v>6.5099999999999936E-2</v>
      </c>
      <c r="AG19" s="5">
        <f t="shared" si="4"/>
        <v>8.5800000000000098E-2</v>
      </c>
      <c r="AH19" s="5">
        <f t="shared" si="4"/>
        <v>-5.2300000000000013E-2</v>
      </c>
      <c r="AI19" s="5">
        <f t="shared" si="4"/>
        <v>1.5900000000000025E-2</v>
      </c>
    </row>
    <row r="20" spans="1:35" ht="15.75" thickBot="1">
      <c r="A20" s="13">
        <v>0.98409999999999997</v>
      </c>
      <c r="D20" s="9" t="s">
        <v>6</v>
      </c>
      <c r="E20" s="10">
        <f>AVERAGE(A14:A23)</f>
        <v>0.47454999999999997</v>
      </c>
      <c r="J20" s="7" t="s">
        <v>16</v>
      </c>
      <c r="K20" s="18">
        <f>+K17/(12*(E13-1))</f>
        <v>0.21841991464127211</v>
      </c>
      <c r="P20" s="139" t="s">
        <v>29</v>
      </c>
      <c r="Q20" s="139">
        <f>COUNTIFS($A$14:$A$23,"&gt;0,4",$A$14:$A$23,"&lt;0,5")</f>
        <v>0</v>
      </c>
      <c r="R20" s="19">
        <f t="shared" si="1"/>
        <v>1</v>
      </c>
      <c r="S20" s="20">
        <f t="shared" si="2"/>
        <v>1</v>
      </c>
      <c r="W20" s="27">
        <v>0.30149999999999999</v>
      </c>
      <c r="Y20" s="20" t="s">
        <v>44</v>
      </c>
      <c r="Z20" s="5">
        <f>Z17-Z18</f>
        <v>0.14280000000000001</v>
      </c>
      <c r="AA20" s="5">
        <f t="shared" ref="AA20:AI20" si="5">AA17-AA18</f>
        <v>5.8700000000000002E-2</v>
      </c>
      <c r="AB20" s="5">
        <f t="shared" si="5"/>
        <v>3.7999999999999978E-2</v>
      </c>
      <c r="AC20" s="5">
        <f t="shared" si="5"/>
        <v>-4.6099999999999974E-2</v>
      </c>
      <c r="AD20" s="5">
        <f t="shared" si="5"/>
        <v>-9.8500000000000032E-2</v>
      </c>
      <c r="AE20" s="5">
        <f t="shared" si="5"/>
        <v>-0.13490000000000002</v>
      </c>
      <c r="AF20" s="5">
        <f t="shared" si="5"/>
        <v>3.4900000000000042E-2</v>
      </c>
      <c r="AG20" s="5">
        <f t="shared" si="5"/>
        <v>1.419999999999999E-2</v>
      </c>
      <c r="AH20" s="5">
        <f t="shared" si="5"/>
        <v>0.15229999999999999</v>
      </c>
      <c r="AI20" s="5">
        <f t="shared" si="5"/>
        <v>8.4099999999999953E-2</v>
      </c>
    </row>
    <row r="21" spans="1:35" ht="15.75" thickBot="1">
      <c r="A21" s="13">
        <v>0.71419999999999995</v>
      </c>
      <c r="D21" s="11" t="s">
        <v>7</v>
      </c>
      <c r="E21" s="12">
        <f>1/2+(E18*(1/(SQRT(12*E13))))</f>
        <v>0.73513996897275902</v>
      </c>
      <c r="F21" t="s">
        <v>8</v>
      </c>
      <c r="J21" s="9" t="s">
        <v>15</v>
      </c>
      <c r="K21" s="10">
        <f>_xlfn.VAR.S(A14:A23)</f>
        <v>0.10304641388888897</v>
      </c>
      <c r="P21" s="139" t="s">
        <v>30</v>
      </c>
      <c r="Q21" s="139">
        <f>COUNTIFS($A$14:$A$23,"&gt;0,5",$A$14:$A$23,"&lt;0,6")</f>
        <v>0</v>
      </c>
      <c r="R21" s="19">
        <f t="shared" si="1"/>
        <v>1</v>
      </c>
      <c r="S21" s="20">
        <f t="shared" si="2"/>
        <v>1</v>
      </c>
      <c r="W21" s="27">
        <v>0.36509999999999998</v>
      </c>
      <c r="Y21" s="1" t="s">
        <v>46</v>
      </c>
      <c r="Z21">
        <f>E13</f>
        <v>10</v>
      </c>
    </row>
    <row r="22" spans="1:35" ht="15.75" thickBot="1">
      <c r="A22" s="13">
        <v>0.30149999999999999</v>
      </c>
      <c r="J22" s="7" t="s">
        <v>5</v>
      </c>
      <c r="K22" s="8">
        <f>+K18/(12*(E13-1))</f>
        <v>1.6064193564783863E-2</v>
      </c>
      <c r="L22" t="s">
        <v>8</v>
      </c>
      <c r="P22" s="139" t="s">
        <v>31</v>
      </c>
      <c r="Q22" s="139">
        <f>COUNTIFS($A$14:$A$23,"&gt;0,6",$A$14:$A$23,"&lt;0,7")</f>
        <v>1</v>
      </c>
      <c r="R22" s="19">
        <f t="shared" si="1"/>
        <v>1</v>
      </c>
      <c r="S22" s="20">
        <f t="shared" si="2"/>
        <v>0</v>
      </c>
      <c r="W22" s="27">
        <v>0.63490000000000002</v>
      </c>
      <c r="Y22" s="33" t="s">
        <v>45</v>
      </c>
      <c r="Z22" s="34">
        <f>MAX(Z19:AI19)</f>
        <v>0.2349</v>
      </c>
      <c r="AA22" s="35" t="s">
        <v>47</v>
      </c>
      <c r="AB22" s="34">
        <f>MAX(Z20:AI20)</f>
        <v>0.15229999999999999</v>
      </c>
      <c r="AC22" s="33" t="s">
        <v>48</v>
      </c>
      <c r="AD22" s="34">
        <f>Z22</f>
        <v>0.2349</v>
      </c>
    </row>
    <row r="23" spans="1:35" ht="15.75" thickBot="1">
      <c r="A23" s="13">
        <v>0.36509999999999998</v>
      </c>
      <c r="P23" s="139" t="s">
        <v>32</v>
      </c>
      <c r="Q23" s="139">
        <f>COUNTIFS($A$14:$A$23,"&gt;0,7",$A$14:$A$23,"&lt;0,8")</f>
        <v>1</v>
      </c>
      <c r="R23" s="19">
        <f t="shared" si="1"/>
        <v>1</v>
      </c>
      <c r="S23" s="20">
        <f t="shared" si="2"/>
        <v>0</v>
      </c>
      <c r="W23" s="27">
        <v>0.71419999999999995</v>
      </c>
    </row>
    <row r="24" spans="1:35">
      <c r="A24" s="15"/>
      <c r="P24" s="139" t="s">
        <v>33</v>
      </c>
      <c r="Q24" s="139">
        <f>COUNTIFS($A$14:$A$23,"&gt;0,8",$A$14:$A$23,"&lt;0,9")</f>
        <v>0</v>
      </c>
      <c r="R24" s="19">
        <f t="shared" si="1"/>
        <v>1</v>
      </c>
      <c r="S24" s="20">
        <f t="shared" si="2"/>
        <v>1</v>
      </c>
      <c r="W24" s="27">
        <v>0.95230000000000004</v>
      </c>
      <c r="Y24" s="36" t="s">
        <v>49</v>
      </c>
      <c r="Z24" s="32">
        <v>0.49</v>
      </c>
      <c r="AB24" t="s">
        <v>8</v>
      </c>
    </row>
    <row r="25" spans="1:35">
      <c r="P25" s="139" t="s">
        <v>34</v>
      </c>
      <c r="Q25" s="139">
        <f>COUNTIFS($A$14:$A$23,"&gt;0,9",$A$14:$A$23,"&lt;1")</f>
        <v>2</v>
      </c>
      <c r="R25" s="19">
        <f t="shared" si="1"/>
        <v>1</v>
      </c>
      <c r="S25" s="20">
        <f t="shared" si="2"/>
        <v>1</v>
      </c>
      <c r="W25" s="27">
        <v>0.98409999999999997</v>
      </c>
      <c r="Y25" s="135" t="s">
        <v>235</v>
      </c>
    </row>
    <row r="26" spans="1:35" ht="23.25">
      <c r="P26" s="6" t="s">
        <v>35</v>
      </c>
      <c r="Q26" s="21">
        <f>SUM(Q16:Q25)</f>
        <v>10</v>
      </c>
      <c r="R26" s="21">
        <f>SUM(R16:R25)</f>
        <v>10</v>
      </c>
      <c r="S26" s="22">
        <f>SUM(S16:S25)</f>
        <v>8</v>
      </c>
      <c r="T26" s="23"/>
    </row>
    <row r="27" spans="1:35">
      <c r="Q27" s="1" t="s">
        <v>9</v>
      </c>
      <c r="R27" s="2">
        <v>0.01</v>
      </c>
    </row>
    <row r="28" spans="1:35" ht="23.25">
      <c r="Q28" s="24" t="s">
        <v>36</v>
      </c>
      <c r="R28" s="25">
        <f>_xlfn.CHISQ.INV.RT(R27,Q14-1)</f>
        <v>21.665994333461931</v>
      </c>
      <c r="T28" t="s">
        <v>8</v>
      </c>
    </row>
    <row r="29" spans="1:35">
      <c r="P29" s="135" t="s">
        <v>234</v>
      </c>
    </row>
    <row r="30" spans="1:35">
      <c r="D30" t="s">
        <v>50</v>
      </c>
      <c r="E30" s="26" t="s">
        <v>56</v>
      </c>
      <c r="M30" s="26" t="s">
        <v>58</v>
      </c>
    </row>
    <row r="31" spans="1:35">
      <c r="E31" s="37" t="s">
        <v>51</v>
      </c>
      <c r="G31" s="39" t="s">
        <v>52</v>
      </c>
      <c r="H31" s="5">
        <v>7</v>
      </c>
      <c r="M31" s="37" t="s">
        <v>51</v>
      </c>
      <c r="O31" s="39" t="s">
        <v>52</v>
      </c>
      <c r="P31" s="5">
        <v>5</v>
      </c>
    </row>
    <row r="32" spans="1:35">
      <c r="E32" s="31">
        <v>1</v>
      </c>
      <c r="G32" s="39" t="s">
        <v>9</v>
      </c>
      <c r="H32" s="6">
        <v>0.01</v>
      </c>
      <c r="M32" s="31">
        <v>0</v>
      </c>
      <c r="O32" s="39" t="s">
        <v>9</v>
      </c>
      <c r="P32" s="6">
        <v>0.01</v>
      </c>
    </row>
    <row r="33" spans="5:18">
      <c r="E33" s="31">
        <v>0</v>
      </c>
      <c r="G33" s="20"/>
      <c r="H33" s="5"/>
      <c r="M33" s="31">
        <v>0</v>
      </c>
      <c r="O33" s="20"/>
      <c r="P33" s="5"/>
    </row>
    <row r="34" spans="5:18">
      <c r="E34" s="31">
        <v>1</v>
      </c>
      <c r="G34" s="40" t="s">
        <v>53</v>
      </c>
      <c r="H34" s="5">
        <f>(2*E13-1)/3</f>
        <v>6.333333333333333</v>
      </c>
      <c r="M34" s="31">
        <v>0</v>
      </c>
      <c r="O34" s="39" t="s">
        <v>59</v>
      </c>
      <c r="P34" s="41">
        <v>6</v>
      </c>
    </row>
    <row r="35" spans="5:18">
      <c r="E35" s="31">
        <v>1</v>
      </c>
      <c r="G35" s="40" t="s">
        <v>54</v>
      </c>
      <c r="H35" s="5">
        <f>(16*E13-29)/90</f>
        <v>1.4555555555555555</v>
      </c>
      <c r="M35" s="31">
        <v>1</v>
      </c>
      <c r="O35" s="39" t="s">
        <v>60</v>
      </c>
      <c r="P35" s="41">
        <v>4</v>
      </c>
    </row>
    <row r="36" spans="5:18">
      <c r="E36" s="31">
        <v>0</v>
      </c>
      <c r="G36" s="40" t="s">
        <v>55</v>
      </c>
      <c r="H36" s="5">
        <f>ABS((H31-H34)/SQRT(H35))</f>
        <v>0.55257896399553785</v>
      </c>
      <c r="M36" s="31">
        <v>1</v>
      </c>
      <c r="O36" s="20"/>
      <c r="P36" s="41"/>
    </row>
    <row r="37" spans="5:18">
      <c r="E37" s="31">
        <v>1</v>
      </c>
      <c r="M37" s="31">
        <v>0</v>
      </c>
      <c r="O37" s="40" t="s">
        <v>53</v>
      </c>
      <c r="P37" s="5">
        <f>(2*P34*P35)/E13 + 1/2</f>
        <v>5.3</v>
      </c>
    </row>
    <row r="38" spans="5:18">
      <c r="E38" s="31">
        <v>0</v>
      </c>
      <c r="G38" s="36" t="s">
        <v>57</v>
      </c>
      <c r="H38" s="38">
        <f>_xlfn.NORM.S.INV(E16)</f>
        <v>2.5758293035488999</v>
      </c>
      <c r="M38" s="31">
        <v>1</v>
      </c>
      <c r="O38" s="40" t="s">
        <v>54</v>
      </c>
      <c r="P38" s="5">
        <f>(2*P34*P35*(2*P34*P35-E13))/((E13-1)*E13^2)</f>
        <v>2.0266666666666668</v>
      </c>
    </row>
    <row r="39" spans="5:18">
      <c r="E39" s="31">
        <v>0</v>
      </c>
      <c r="M39" s="31">
        <v>1</v>
      </c>
      <c r="O39" s="40" t="s">
        <v>55</v>
      </c>
      <c r="P39" s="5">
        <f>(P31-P37)/SQRT(P38)</f>
        <v>-0.21073180760588101</v>
      </c>
    </row>
    <row r="40" spans="5:18">
      <c r="E40" s="31">
        <v>1</v>
      </c>
      <c r="G40" t="s">
        <v>62</v>
      </c>
      <c r="M40" s="31">
        <v>0</v>
      </c>
    </row>
    <row r="41" spans="5:18">
      <c r="M41" s="31">
        <v>0</v>
      </c>
      <c r="O41" s="36" t="s">
        <v>57</v>
      </c>
      <c r="P41" s="38">
        <f>_xlfn.NORM.S.INV(E16)</f>
        <v>2.5758293035488999</v>
      </c>
      <c r="R41" t="s">
        <v>62</v>
      </c>
    </row>
    <row r="46" spans="5:18">
      <c r="E46" s="135" t="s">
        <v>236</v>
      </c>
    </row>
    <row r="47" spans="5:18">
      <c r="E47" s="135" t="s">
        <v>237</v>
      </c>
    </row>
  </sheetData>
  <mergeCells count="3">
    <mergeCell ref="D14:E14"/>
    <mergeCell ref="J14:K14"/>
    <mergeCell ref="P13:S1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"/>
  <sheetViews>
    <sheetView topLeftCell="A64" workbookViewId="0">
      <selection activeCell="K80" sqref="K80"/>
    </sheetView>
  </sheetViews>
  <sheetFormatPr baseColWidth="10" defaultColWidth="9.140625" defaultRowHeight="15"/>
  <sheetData>
    <row r="1" spans="1:29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</row>
    <row r="2" spans="1:29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</row>
    <row r="3" spans="1:29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</row>
    <row r="4" spans="1:29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</row>
    <row r="5" spans="1:29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</row>
    <row r="6" spans="1:29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</row>
    <row r="7" spans="1:29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</row>
    <row r="8" spans="1:29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</row>
    <row r="9" spans="1:29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</row>
    <row r="10" spans="1:29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</row>
    <row r="11" spans="1:29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</row>
    <row r="12" spans="1:29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</row>
    <row r="13" spans="1:29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</row>
    <row r="14" spans="1:29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</row>
    <row r="15" spans="1:29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</row>
    <row r="16" spans="1:29">
      <c r="A16" s="96" t="s">
        <v>165</v>
      </c>
      <c r="B16" s="43"/>
      <c r="C16" s="126" t="s">
        <v>166</v>
      </c>
      <c r="D16" s="126"/>
      <c r="E16" s="43"/>
      <c r="F16" s="135" t="s">
        <v>238</v>
      </c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</row>
    <row r="17" spans="1:29">
      <c r="A17" s="97">
        <v>0.60199999999999998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</row>
    <row r="18" spans="1:29">
      <c r="A18" s="97">
        <v>0.34600000000000003</v>
      </c>
      <c r="B18" s="43"/>
      <c r="C18" s="98" t="s">
        <v>0</v>
      </c>
      <c r="D18" s="98">
        <f>COUNT(A17:A36)</f>
        <v>20</v>
      </c>
      <c r="E18" s="43"/>
      <c r="F18" s="140" t="s">
        <v>167</v>
      </c>
      <c r="G18" s="140"/>
      <c r="H18" s="140"/>
      <c r="I18" s="140"/>
      <c r="J18" s="43"/>
      <c r="K18" s="128" t="s">
        <v>168</v>
      </c>
      <c r="L18" s="128"/>
      <c r="M18" s="128"/>
      <c r="N18" s="128"/>
      <c r="O18" s="128"/>
      <c r="P18" s="128"/>
      <c r="Q18" s="128"/>
      <c r="R18" s="128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</row>
    <row r="19" spans="1:29">
      <c r="A19" s="97">
        <v>0.6169</v>
      </c>
      <c r="B19" s="43"/>
      <c r="C19" s="126" t="s">
        <v>1</v>
      </c>
      <c r="D19" s="126"/>
      <c r="E19" s="43"/>
      <c r="F19" s="137" t="s">
        <v>20</v>
      </c>
      <c r="G19" s="138">
        <v>10</v>
      </c>
      <c r="H19" s="141"/>
      <c r="I19" s="141"/>
      <c r="J19" s="43"/>
      <c r="K19" s="48"/>
      <c r="L19" s="48"/>
      <c r="M19" s="48"/>
      <c r="N19" s="48"/>
      <c r="O19" s="48"/>
      <c r="P19" s="48"/>
      <c r="Q19" s="48"/>
      <c r="R19" s="48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</row>
    <row r="20" spans="1:29">
      <c r="A20" s="97">
        <v>0.63260000000000005</v>
      </c>
      <c r="B20" s="43"/>
      <c r="C20" s="99" t="s">
        <v>169</v>
      </c>
      <c r="D20" s="100">
        <v>0.05</v>
      </c>
      <c r="E20" s="43"/>
      <c r="F20" s="142" t="s">
        <v>21</v>
      </c>
      <c r="G20" s="142" t="s">
        <v>22</v>
      </c>
      <c r="H20" s="142" t="s">
        <v>23</v>
      </c>
      <c r="I20" s="142" t="s">
        <v>24</v>
      </c>
      <c r="J20" s="43"/>
      <c r="K20" s="118" t="s">
        <v>170</v>
      </c>
      <c r="L20" s="48"/>
      <c r="M20" s="118" t="s">
        <v>39</v>
      </c>
      <c r="N20" s="118" t="s">
        <v>40</v>
      </c>
      <c r="O20" s="118" t="s">
        <v>171</v>
      </c>
      <c r="P20" s="118" t="s">
        <v>42</v>
      </c>
      <c r="Q20" s="118" t="s">
        <v>172</v>
      </c>
      <c r="R20" s="118" t="s">
        <v>173</v>
      </c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</row>
    <row r="21" spans="1:29">
      <c r="A21" s="97">
        <v>0.44210000000000005</v>
      </c>
      <c r="B21" s="43"/>
      <c r="C21" s="99" t="s">
        <v>174</v>
      </c>
      <c r="D21" s="100">
        <f>1-D20/2</f>
        <v>0.97499999999999998</v>
      </c>
      <c r="E21" s="43"/>
      <c r="F21" s="143" t="s">
        <v>25</v>
      </c>
      <c r="G21" s="143">
        <f>COUNTIFS($A$17:$A$36,"&gt;0,0",$A$17:$A$36,"&lt;0,1")</f>
        <v>1</v>
      </c>
      <c r="H21" s="143">
        <f t="shared" ref="H21:H30" si="0">$D$18/$G$19</f>
        <v>2</v>
      </c>
      <c r="I21" s="144">
        <f t="shared" ref="I21:I30" si="1">+(H21-G21)^2/H21</f>
        <v>0.5</v>
      </c>
      <c r="J21" s="43"/>
      <c r="K21" s="48">
        <v>4.0300000000000002E-2</v>
      </c>
      <c r="L21" s="48"/>
      <c r="M21" s="48">
        <v>1</v>
      </c>
      <c r="N21" s="48">
        <f t="shared" ref="N21:N40" si="2">+M21/$M$41</f>
        <v>0.05</v>
      </c>
      <c r="O21" s="48">
        <f t="shared" ref="O21:O40" si="3">+K21</f>
        <v>4.0300000000000002E-2</v>
      </c>
      <c r="P21" s="48">
        <f t="shared" ref="P21:P40" si="4">+(M21-1)/$M$41</f>
        <v>0</v>
      </c>
      <c r="Q21" s="48">
        <f t="shared" ref="Q21:R40" si="5">+N21-O21</f>
        <v>9.7000000000000003E-3</v>
      </c>
      <c r="R21" s="48">
        <f t="shared" si="5"/>
        <v>4.0300000000000002E-2</v>
      </c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</row>
    <row r="22" spans="1:29">
      <c r="A22" s="97">
        <v>0.14960000000000001</v>
      </c>
      <c r="B22" s="43"/>
      <c r="C22" s="102" t="s">
        <v>4</v>
      </c>
      <c r="D22" s="101">
        <f>NORMSINV(D21)</f>
        <v>1.9599639845400536</v>
      </c>
      <c r="E22" s="43"/>
      <c r="F22" s="143" t="s">
        <v>26</v>
      </c>
      <c r="G22" s="143">
        <f>COUNTIFS($A$17:$A$36,"&gt;0,1",$A$17:$A$36,"&lt;0,2")</f>
        <v>2</v>
      </c>
      <c r="H22" s="143">
        <f t="shared" si="0"/>
        <v>2</v>
      </c>
      <c r="I22" s="144">
        <f t="shared" si="1"/>
        <v>0</v>
      </c>
      <c r="J22" s="43"/>
      <c r="K22" s="48">
        <v>0.14860000000000001</v>
      </c>
      <c r="L22" s="48"/>
      <c r="M22" s="48">
        <v>2</v>
      </c>
      <c r="N22" s="48">
        <f t="shared" si="2"/>
        <v>0.1</v>
      </c>
      <c r="O22" s="48">
        <f t="shared" si="3"/>
        <v>0.14860000000000001</v>
      </c>
      <c r="P22" s="48">
        <f t="shared" si="4"/>
        <v>0.05</v>
      </c>
      <c r="Q22" s="48">
        <f t="shared" si="5"/>
        <v>-4.8600000000000004E-2</v>
      </c>
      <c r="R22" s="48">
        <f t="shared" si="5"/>
        <v>9.8600000000000007E-2</v>
      </c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</row>
    <row r="23" spans="1:29">
      <c r="A23" s="97">
        <v>0.20180000000000001</v>
      </c>
      <c r="B23" s="43"/>
      <c r="C23" s="98" t="s">
        <v>5</v>
      </c>
      <c r="D23" s="103">
        <f>1/2-(D22*(1/(SQRT(12*D18))))</f>
        <v>0.37348486881183407</v>
      </c>
      <c r="E23" s="43"/>
      <c r="F23" s="143" t="s">
        <v>27</v>
      </c>
      <c r="G23" s="143">
        <f>COUNTIFS($A$17:$A$36,"&gt;0,2",$A$17:$A$36,"&lt;0,3")</f>
        <v>3</v>
      </c>
      <c r="H23" s="143">
        <f t="shared" si="0"/>
        <v>2</v>
      </c>
      <c r="I23" s="144">
        <f t="shared" si="1"/>
        <v>0.5</v>
      </c>
      <c r="J23" s="43"/>
      <c r="K23" s="48">
        <v>0.14960000000000001</v>
      </c>
      <c r="L23" s="48"/>
      <c r="M23" s="48">
        <v>3</v>
      </c>
      <c r="N23" s="48">
        <f t="shared" si="2"/>
        <v>0.15</v>
      </c>
      <c r="O23" s="48">
        <f t="shared" si="3"/>
        <v>0.14960000000000001</v>
      </c>
      <c r="P23" s="48">
        <f t="shared" si="4"/>
        <v>0.1</v>
      </c>
      <c r="Q23" s="48">
        <f t="shared" si="5"/>
        <v>3.999999999999837E-4</v>
      </c>
      <c r="R23" s="48">
        <f t="shared" si="5"/>
        <v>4.9600000000000005E-2</v>
      </c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</row>
    <row r="24" spans="1:29">
      <c r="A24" s="97">
        <v>0.14860000000000001</v>
      </c>
      <c r="B24" s="43"/>
      <c r="C24" s="104" t="s">
        <v>6</v>
      </c>
      <c r="D24" s="105">
        <f>AVERAGE($A$17:$A$36)</f>
        <v>0.48988999999999994</v>
      </c>
      <c r="E24" s="43"/>
      <c r="F24" s="143" t="s">
        <v>28</v>
      </c>
      <c r="G24" s="143">
        <f>COUNTIFS($A$17:$A$36,"&gt;0,3",$A$17:$A$36,"&lt;0,4")</f>
        <v>2</v>
      </c>
      <c r="H24" s="143">
        <f t="shared" si="0"/>
        <v>2</v>
      </c>
      <c r="I24" s="144">
        <f t="shared" si="1"/>
        <v>0</v>
      </c>
      <c r="J24" s="43"/>
      <c r="K24" s="48">
        <v>0.20180000000000001</v>
      </c>
      <c r="L24" s="48"/>
      <c r="M24" s="48">
        <v>4</v>
      </c>
      <c r="N24" s="48">
        <f t="shared" si="2"/>
        <v>0.2</v>
      </c>
      <c r="O24" s="48">
        <f t="shared" si="3"/>
        <v>0.20180000000000001</v>
      </c>
      <c r="P24" s="48">
        <f t="shared" si="4"/>
        <v>0.15</v>
      </c>
      <c r="Q24" s="48">
        <f t="shared" si="5"/>
        <v>-1.799999999999996E-3</v>
      </c>
      <c r="R24" s="48">
        <f t="shared" si="5"/>
        <v>5.1800000000000013E-2</v>
      </c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</row>
    <row r="25" spans="1:29">
      <c r="A25" s="97">
        <v>0.56640000000000001</v>
      </c>
      <c r="B25" s="43"/>
      <c r="C25" s="98" t="s">
        <v>7</v>
      </c>
      <c r="D25" s="103">
        <f>1/2+(D22*(1/(SQRT(12*D18))))</f>
        <v>0.62651513118816593</v>
      </c>
      <c r="E25" s="43"/>
      <c r="F25" s="143" t="s">
        <v>29</v>
      </c>
      <c r="G25" s="143">
        <f>COUNTIFS($A$17:$A$36,"&gt;0,4",$A$17:$A$36,"&lt;0,5")</f>
        <v>2</v>
      </c>
      <c r="H25" s="143">
        <f t="shared" si="0"/>
        <v>2</v>
      </c>
      <c r="I25" s="144">
        <f t="shared" si="1"/>
        <v>0</v>
      </c>
      <c r="J25" s="43"/>
      <c r="K25" s="48">
        <v>0.26880000000000004</v>
      </c>
      <c r="L25" s="48"/>
      <c r="M25" s="48">
        <v>5</v>
      </c>
      <c r="N25" s="48">
        <f t="shared" si="2"/>
        <v>0.25</v>
      </c>
      <c r="O25" s="48">
        <f t="shared" si="3"/>
        <v>0.26880000000000004</v>
      </c>
      <c r="P25" s="48">
        <f t="shared" si="4"/>
        <v>0.2</v>
      </c>
      <c r="Q25" s="48">
        <f t="shared" si="5"/>
        <v>-1.8800000000000039E-2</v>
      </c>
      <c r="R25" s="48">
        <f t="shared" si="5"/>
        <v>6.8800000000000028E-2</v>
      </c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</row>
    <row r="26" spans="1:29">
      <c r="A26" s="97">
        <v>0.29400000000000004</v>
      </c>
      <c r="B26" s="43"/>
      <c r="C26" s="106" t="s">
        <v>8</v>
      </c>
      <c r="D26" s="43"/>
      <c r="E26" s="43"/>
      <c r="F26" s="143" t="s">
        <v>30</v>
      </c>
      <c r="G26" s="143">
        <f>COUNTIFS($A$17:$A$36,"&gt;0,5",$A$17:$A$36,"&lt;0,6")</f>
        <v>1</v>
      </c>
      <c r="H26" s="143">
        <f t="shared" si="0"/>
        <v>2</v>
      </c>
      <c r="I26" s="144">
        <f t="shared" si="1"/>
        <v>0.5</v>
      </c>
      <c r="J26" s="43"/>
      <c r="K26" s="48">
        <v>0.29400000000000004</v>
      </c>
      <c r="L26" s="48"/>
      <c r="M26" s="48">
        <v>6</v>
      </c>
      <c r="N26" s="48">
        <f t="shared" si="2"/>
        <v>0.3</v>
      </c>
      <c r="O26" s="48">
        <f t="shared" si="3"/>
        <v>0.29400000000000004</v>
      </c>
      <c r="P26" s="48">
        <f t="shared" si="4"/>
        <v>0.25</v>
      </c>
      <c r="Q26" s="48">
        <f t="shared" si="5"/>
        <v>5.9999999999999498E-3</v>
      </c>
      <c r="R26" s="48">
        <f t="shared" si="5"/>
        <v>4.4000000000000039E-2</v>
      </c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</row>
    <row r="27" spans="1:29">
      <c r="A27" s="97">
        <v>4.0300000000000002E-2</v>
      </c>
      <c r="B27" s="43"/>
      <c r="C27" s="43"/>
      <c r="D27" s="43"/>
      <c r="E27" s="43"/>
      <c r="F27" s="143" t="s">
        <v>31</v>
      </c>
      <c r="G27" s="143">
        <f>COUNTIFS($A$17:$A$36,"&gt;0,6",$A$17:$A$36,"&lt;0,7")</f>
        <v>5</v>
      </c>
      <c r="H27" s="143">
        <f t="shared" si="0"/>
        <v>2</v>
      </c>
      <c r="I27" s="144">
        <f t="shared" si="1"/>
        <v>4.5</v>
      </c>
      <c r="J27" s="43"/>
      <c r="K27" s="48">
        <v>0.32919999999999999</v>
      </c>
      <c r="L27" s="48"/>
      <c r="M27" s="48">
        <v>7</v>
      </c>
      <c r="N27" s="48">
        <f t="shared" si="2"/>
        <v>0.35</v>
      </c>
      <c r="O27" s="48">
        <f t="shared" si="3"/>
        <v>0.32919999999999999</v>
      </c>
      <c r="P27" s="48">
        <f t="shared" si="4"/>
        <v>0.3</v>
      </c>
      <c r="Q27" s="48">
        <f t="shared" si="5"/>
        <v>2.0799999999999985E-2</v>
      </c>
      <c r="R27" s="48">
        <f t="shared" si="5"/>
        <v>2.9200000000000004E-2</v>
      </c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</row>
    <row r="28" spans="1:29">
      <c r="A28" s="97">
        <v>0.9224</v>
      </c>
      <c r="B28" s="43"/>
      <c r="C28" s="126" t="s">
        <v>11</v>
      </c>
      <c r="D28" s="126"/>
      <c r="E28" s="43"/>
      <c r="F28" s="143" t="s">
        <v>32</v>
      </c>
      <c r="G28" s="143">
        <f>COUNTIFS($A$17:$A$36,"&gt;0,7",$A$17:$A$36,"&lt;0,8")</f>
        <v>1</v>
      </c>
      <c r="H28" s="143">
        <f t="shared" si="0"/>
        <v>2</v>
      </c>
      <c r="I28" s="144">
        <f t="shared" si="1"/>
        <v>0.5</v>
      </c>
      <c r="J28" s="43"/>
      <c r="K28" s="48">
        <v>0.34600000000000003</v>
      </c>
      <c r="L28" s="48"/>
      <c r="M28" s="48">
        <v>8</v>
      </c>
      <c r="N28" s="48">
        <f t="shared" si="2"/>
        <v>0.4</v>
      </c>
      <c r="O28" s="48">
        <f t="shared" si="3"/>
        <v>0.34600000000000003</v>
      </c>
      <c r="P28" s="48">
        <f t="shared" si="4"/>
        <v>0.35</v>
      </c>
      <c r="Q28" s="48">
        <f t="shared" si="5"/>
        <v>5.3999999999999992E-2</v>
      </c>
      <c r="R28" s="48">
        <f t="shared" si="5"/>
        <v>-3.999999999999948E-3</v>
      </c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</row>
    <row r="29" spans="1:29">
      <c r="A29" s="97">
        <v>0.60070000000000001</v>
      </c>
      <c r="B29" s="43"/>
      <c r="C29" s="99" t="s">
        <v>175</v>
      </c>
      <c r="D29" s="100">
        <f>+D20/2</f>
        <v>2.5000000000000001E-2</v>
      </c>
      <c r="E29" s="43"/>
      <c r="F29" s="143" t="s">
        <v>33</v>
      </c>
      <c r="G29" s="143">
        <f>COUNTIFS($A$17:$A$36,"&gt;0,8",$A$17:$A$36,"&lt;0,9")</f>
        <v>1</v>
      </c>
      <c r="H29" s="143">
        <f t="shared" si="0"/>
        <v>2</v>
      </c>
      <c r="I29" s="144">
        <f t="shared" si="1"/>
        <v>0.5</v>
      </c>
      <c r="J29" s="43"/>
      <c r="K29" s="48">
        <v>0.40050000000000002</v>
      </c>
      <c r="L29" s="48"/>
      <c r="M29" s="48">
        <v>9</v>
      </c>
      <c r="N29" s="48">
        <f t="shared" si="2"/>
        <v>0.45</v>
      </c>
      <c r="O29" s="48">
        <f t="shared" si="3"/>
        <v>0.40050000000000002</v>
      </c>
      <c r="P29" s="48">
        <f t="shared" si="4"/>
        <v>0.4</v>
      </c>
      <c r="Q29" s="48">
        <f t="shared" si="5"/>
        <v>4.9499999999999988E-2</v>
      </c>
      <c r="R29" s="48">
        <f t="shared" si="5"/>
        <v>5.0000000000000044E-4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</row>
    <row r="30" spans="1:29">
      <c r="A30" s="97">
        <v>0.26880000000000004</v>
      </c>
      <c r="B30" s="43"/>
      <c r="C30" s="99" t="s">
        <v>174</v>
      </c>
      <c r="D30" s="100">
        <f>1-D29</f>
        <v>0.97499999999999998</v>
      </c>
      <c r="E30" s="43"/>
      <c r="F30" s="143" t="s">
        <v>34</v>
      </c>
      <c r="G30" s="143">
        <f>COUNTIFS($A$17:$A$36,"&gt;0,9",$A$17:$A$36,"&lt;1")</f>
        <v>2</v>
      </c>
      <c r="H30" s="143">
        <f t="shared" si="0"/>
        <v>2</v>
      </c>
      <c r="I30" s="144">
        <f t="shared" si="1"/>
        <v>0</v>
      </c>
      <c r="J30" s="43"/>
      <c r="K30" s="48">
        <v>0.44210000000000005</v>
      </c>
      <c r="L30" s="48"/>
      <c r="M30" s="48">
        <v>10</v>
      </c>
      <c r="N30" s="48">
        <f t="shared" si="2"/>
        <v>0.5</v>
      </c>
      <c r="O30" s="48">
        <f t="shared" si="3"/>
        <v>0.44210000000000005</v>
      </c>
      <c r="P30" s="48">
        <f t="shared" si="4"/>
        <v>0.45</v>
      </c>
      <c r="Q30" s="48">
        <f t="shared" si="5"/>
        <v>5.7899999999999952E-2</v>
      </c>
      <c r="R30" s="48">
        <f t="shared" si="5"/>
        <v>-7.8999999999999626E-3</v>
      </c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</row>
    <row r="31" spans="1:29" ht="23.25">
      <c r="A31" s="97">
        <v>0.32919999999999999</v>
      </c>
      <c r="B31" s="43"/>
      <c r="C31" s="107" t="s">
        <v>176</v>
      </c>
      <c r="D31" s="101">
        <f>_xlfn.CHISQ.INV.RT(D29,D18-1)</f>
        <v>32.852326861729708</v>
      </c>
      <c r="E31" s="43"/>
      <c r="F31" s="145" t="s">
        <v>35</v>
      </c>
      <c r="G31" s="146">
        <f>SUM(G21:G30)</f>
        <v>20</v>
      </c>
      <c r="H31" s="146">
        <f>SUM(H21:H30)</f>
        <v>20</v>
      </c>
      <c r="I31" s="147">
        <f>SUM(I21:I30)</f>
        <v>7</v>
      </c>
      <c r="J31" s="108"/>
      <c r="K31" s="48">
        <v>0.56640000000000001</v>
      </c>
      <c r="L31" s="48"/>
      <c r="M31" s="48">
        <v>11</v>
      </c>
      <c r="N31" s="48">
        <f t="shared" si="2"/>
        <v>0.55000000000000004</v>
      </c>
      <c r="O31" s="48">
        <f t="shared" si="3"/>
        <v>0.56640000000000001</v>
      </c>
      <c r="P31" s="48">
        <f t="shared" si="4"/>
        <v>0.5</v>
      </c>
      <c r="Q31" s="48">
        <f t="shared" si="5"/>
        <v>-1.639999999999997E-2</v>
      </c>
      <c r="R31" s="48">
        <f t="shared" si="5"/>
        <v>6.6400000000000015E-2</v>
      </c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</row>
    <row r="32" spans="1:29" ht="23.25">
      <c r="A32" s="97">
        <v>0.90170000000000006</v>
      </c>
      <c r="B32" s="43"/>
      <c r="C32" s="107" t="s">
        <v>177</v>
      </c>
      <c r="D32" s="101">
        <f>_xlfn.CHISQ.INV.RT(D30,D18-1)</f>
        <v>8.9065164819879747</v>
      </c>
      <c r="E32" s="43"/>
      <c r="F32" s="44" t="s">
        <v>9</v>
      </c>
      <c r="G32" s="45">
        <v>0.05</v>
      </c>
      <c r="H32" s="43"/>
      <c r="I32" s="43"/>
      <c r="J32" s="43"/>
      <c r="K32" s="48">
        <v>0.60070000000000001</v>
      </c>
      <c r="L32" s="48"/>
      <c r="M32" s="48">
        <v>12</v>
      </c>
      <c r="N32" s="48">
        <f t="shared" si="2"/>
        <v>0.6</v>
      </c>
      <c r="O32" s="48">
        <f t="shared" si="3"/>
        <v>0.60070000000000001</v>
      </c>
      <c r="P32" s="48">
        <f t="shared" si="4"/>
        <v>0.55000000000000004</v>
      </c>
      <c r="Q32" s="48">
        <f t="shared" si="5"/>
        <v>-7.0000000000003393E-4</v>
      </c>
      <c r="R32" s="48">
        <f t="shared" si="5"/>
        <v>5.0699999999999967E-2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</row>
    <row r="33" spans="1:29" ht="23.25">
      <c r="A33" s="97">
        <v>0.65980000000000005</v>
      </c>
      <c r="B33" s="43"/>
      <c r="C33" s="98" t="s">
        <v>5</v>
      </c>
      <c r="D33" s="103">
        <f>+D31/(12*(D18-1))</f>
        <v>0.14408915290232327</v>
      </c>
      <c r="E33" s="43"/>
      <c r="F33" s="109" t="s">
        <v>178</v>
      </c>
      <c r="G33" s="110">
        <f>_xlfn.CHISQ.INV.RT(G32,G19-1)</f>
        <v>16.918977604620451</v>
      </c>
      <c r="H33" s="43"/>
      <c r="I33" s="43"/>
      <c r="J33" s="43"/>
      <c r="K33" s="48">
        <v>0.60199999999999998</v>
      </c>
      <c r="L33" s="48"/>
      <c r="M33" s="48">
        <v>13</v>
      </c>
      <c r="N33" s="48">
        <f t="shared" si="2"/>
        <v>0.65</v>
      </c>
      <c r="O33" s="48">
        <f t="shared" si="3"/>
        <v>0.60199999999999998</v>
      </c>
      <c r="P33" s="48">
        <f t="shared" si="4"/>
        <v>0.6</v>
      </c>
      <c r="Q33" s="48">
        <f t="shared" si="5"/>
        <v>4.8000000000000043E-2</v>
      </c>
      <c r="R33" s="48">
        <f t="shared" si="5"/>
        <v>2.0000000000000018E-3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</row>
    <row r="34" spans="1:29">
      <c r="A34" s="97">
        <v>0.40050000000000002</v>
      </c>
      <c r="B34" s="43"/>
      <c r="C34" s="104" t="s">
        <v>15</v>
      </c>
      <c r="D34" s="105">
        <f t="shared" ref="D34" si="6">_xlfn.VAR.S($A$17:$A$36)</f>
        <v>7.149343463157902E-2</v>
      </c>
      <c r="E34" s="43"/>
      <c r="F34" s="106" t="s">
        <v>8</v>
      </c>
      <c r="G34" s="43"/>
      <c r="H34" s="43"/>
      <c r="I34" s="43"/>
      <c r="J34" s="43"/>
      <c r="K34" s="48">
        <v>0.6169</v>
      </c>
      <c r="L34" s="48"/>
      <c r="M34" s="48">
        <v>14</v>
      </c>
      <c r="N34" s="48">
        <f t="shared" si="2"/>
        <v>0.7</v>
      </c>
      <c r="O34" s="48">
        <f t="shared" si="3"/>
        <v>0.6169</v>
      </c>
      <c r="P34" s="48">
        <f t="shared" si="4"/>
        <v>0.65</v>
      </c>
      <c r="Q34" s="48">
        <f t="shared" si="5"/>
        <v>8.3099999999999952E-2</v>
      </c>
      <c r="R34" s="48">
        <f t="shared" si="5"/>
        <v>-3.3100000000000018E-2</v>
      </c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</row>
    <row r="35" spans="1:29">
      <c r="A35" s="97">
        <v>0.79880000000000007</v>
      </c>
      <c r="B35" s="43"/>
      <c r="C35" s="98" t="s">
        <v>16</v>
      </c>
      <c r="D35" s="103">
        <f>+D32/(12*(D18-1))</f>
        <v>3.9063668780649013E-2</v>
      </c>
      <c r="E35" s="43"/>
      <c r="F35" s="43"/>
      <c r="G35" s="43"/>
      <c r="H35" s="43"/>
      <c r="I35" s="43"/>
      <c r="J35" s="43"/>
      <c r="K35" s="48">
        <v>0.63260000000000005</v>
      </c>
      <c r="L35" s="48"/>
      <c r="M35" s="48">
        <v>15</v>
      </c>
      <c r="N35" s="48">
        <f t="shared" si="2"/>
        <v>0.75</v>
      </c>
      <c r="O35" s="48">
        <f t="shared" si="3"/>
        <v>0.63260000000000005</v>
      </c>
      <c r="P35" s="48">
        <f t="shared" si="4"/>
        <v>0.7</v>
      </c>
      <c r="Q35" s="48">
        <f t="shared" si="5"/>
        <v>0.11739999999999995</v>
      </c>
      <c r="R35" s="48">
        <f t="shared" si="5"/>
        <v>-6.7399999999999904E-2</v>
      </c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</row>
    <row r="36" spans="1:29">
      <c r="A36" s="97">
        <v>0.87560000000000004</v>
      </c>
      <c r="B36" s="43"/>
      <c r="C36" s="106" t="s">
        <v>8</v>
      </c>
      <c r="D36" s="43"/>
      <c r="E36" s="43"/>
      <c r="F36" s="43"/>
      <c r="G36" s="43"/>
      <c r="H36" s="43"/>
      <c r="I36" s="43"/>
      <c r="J36" s="43"/>
      <c r="K36" s="48">
        <v>0.65980000000000005</v>
      </c>
      <c r="L36" s="48"/>
      <c r="M36" s="48">
        <v>16</v>
      </c>
      <c r="N36" s="48">
        <f t="shared" si="2"/>
        <v>0.8</v>
      </c>
      <c r="O36" s="48">
        <f t="shared" si="3"/>
        <v>0.65980000000000005</v>
      </c>
      <c r="P36" s="48">
        <f t="shared" si="4"/>
        <v>0.75</v>
      </c>
      <c r="Q36" s="48">
        <f t="shared" si="5"/>
        <v>0.14019999999999999</v>
      </c>
      <c r="R36" s="48">
        <f t="shared" si="5"/>
        <v>-9.0199999999999947E-2</v>
      </c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8">
        <v>0.79880000000000007</v>
      </c>
      <c r="L37" s="48"/>
      <c r="M37" s="48">
        <v>17</v>
      </c>
      <c r="N37" s="48">
        <f t="shared" si="2"/>
        <v>0.85</v>
      </c>
      <c r="O37" s="48">
        <f t="shared" si="3"/>
        <v>0.79880000000000007</v>
      </c>
      <c r="P37" s="48">
        <f t="shared" si="4"/>
        <v>0.8</v>
      </c>
      <c r="Q37" s="48">
        <f t="shared" si="5"/>
        <v>5.1199999999999912E-2</v>
      </c>
      <c r="R37" s="48">
        <f t="shared" si="5"/>
        <v>-1.1999999999999789E-3</v>
      </c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</row>
    <row r="38" spans="1:29">
      <c r="A38" s="43"/>
      <c r="B38" s="43"/>
      <c r="C38" s="129" t="s">
        <v>179</v>
      </c>
      <c r="D38" s="129"/>
      <c r="E38" s="129"/>
      <c r="F38" s="129"/>
      <c r="G38" s="129"/>
      <c r="H38" s="129"/>
      <c r="I38" s="43"/>
      <c r="J38" s="43"/>
      <c r="K38" s="48">
        <v>0.87560000000000004</v>
      </c>
      <c r="L38" s="48"/>
      <c r="M38" s="48">
        <v>18</v>
      </c>
      <c r="N38" s="48">
        <f t="shared" si="2"/>
        <v>0.9</v>
      </c>
      <c r="O38" s="48">
        <f t="shared" si="3"/>
        <v>0.87560000000000004</v>
      </c>
      <c r="P38" s="48">
        <f t="shared" si="4"/>
        <v>0.85</v>
      </c>
      <c r="Q38" s="48">
        <f t="shared" si="5"/>
        <v>2.4399999999999977E-2</v>
      </c>
      <c r="R38" s="48">
        <f t="shared" si="5"/>
        <v>2.5600000000000067E-2</v>
      </c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</row>
    <row r="39" spans="1:29">
      <c r="A39" s="43"/>
      <c r="B39" s="43"/>
      <c r="C39" s="48"/>
      <c r="D39" s="48"/>
      <c r="E39" s="48"/>
      <c r="F39" s="48"/>
      <c r="G39" s="48"/>
      <c r="H39" s="48"/>
      <c r="I39" s="43"/>
      <c r="J39" s="43"/>
      <c r="K39" s="48">
        <v>0.90170000000000006</v>
      </c>
      <c r="L39" s="48"/>
      <c r="M39" s="48">
        <v>19</v>
      </c>
      <c r="N39" s="48">
        <f t="shared" si="2"/>
        <v>0.95</v>
      </c>
      <c r="O39" s="48">
        <f t="shared" si="3"/>
        <v>0.90170000000000006</v>
      </c>
      <c r="P39" s="48">
        <f t="shared" si="4"/>
        <v>0.9</v>
      </c>
      <c r="Q39" s="48">
        <f t="shared" si="5"/>
        <v>4.8299999999999899E-2</v>
      </c>
      <c r="R39" s="48">
        <f t="shared" si="5"/>
        <v>1.7000000000000348E-3</v>
      </c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>
      <c r="A40" s="43"/>
      <c r="B40" s="43"/>
      <c r="C40" s="117" t="s">
        <v>180</v>
      </c>
      <c r="D40" s="117" t="s">
        <v>51</v>
      </c>
      <c r="E40" s="130" t="s">
        <v>181</v>
      </c>
      <c r="F40" s="130"/>
      <c r="G40" s="130"/>
      <c r="H40" s="48">
        <v>12</v>
      </c>
      <c r="I40" s="43"/>
      <c r="J40" s="43"/>
      <c r="K40" s="48">
        <v>0.9224</v>
      </c>
      <c r="L40" s="48"/>
      <c r="M40" s="48">
        <v>20</v>
      </c>
      <c r="N40" s="48">
        <f t="shared" si="2"/>
        <v>1</v>
      </c>
      <c r="O40" s="48">
        <f t="shared" si="3"/>
        <v>0.9224</v>
      </c>
      <c r="P40" s="48">
        <f t="shared" si="4"/>
        <v>0.95</v>
      </c>
      <c r="Q40" s="48">
        <f t="shared" si="5"/>
        <v>7.7600000000000002E-2</v>
      </c>
      <c r="R40" s="48">
        <f t="shared" si="5"/>
        <v>-2.7599999999999958E-2</v>
      </c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</row>
    <row r="41" spans="1:29">
      <c r="A41" s="43"/>
      <c r="B41" s="43"/>
      <c r="C41" s="48">
        <v>1</v>
      </c>
      <c r="D41" s="118">
        <f t="shared" ref="D41:D59" si="7">_xlfn.IFS(A18&lt;=A17,0,A18&gt;A17,1)</f>
        <v>0</v>
      </c>
      <c r="E41" s="49"/>
      <c r="F41" s="49"/>
      <c r="G41" s="49"/>
      <c r="H41" s="48"/>
      <c r="I41" s="43"/>
      <c r="J41" s="43"/>
      <c r="K41" s="43"/>
      <c r="L41" s="111" t="s">
        <v>0</v>
      </c>
      <c r="M41" s="106">
        <f>COUNT(M21:M40)</f>
        <v>20</v>
      </c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</row>
    <row r="42" spans="1:29">
      <c r="A42" s="43"/>
      <c r="B42" s="43"/>
      <c r="C42" s="48">
        <v>2</v>
      </c>
      <c r="D42" s="48">
        <f t="shared" si="7"/>
        <v>1</v>
      </c>
      <c r="E42" s="130" t="s">
        <v>182</v>
      </c>
      <c r="F42" s="130"/>
      <c r="G42" s="130"/>
      <c r="H42" s="48">
        <f>+(2*D18-1)/3</f>
        <v>13</v>
      </c>
      <c r="I42" s="43"/>
      <c r="J42" s="43"/>
      <c r="K42" s="43"/>
      <c r="L42" s="111" t="s">
        <v>9</v>
      </c>
      <c r="M42" s="111">
        <v>0.05</v>
      </c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</row>
    <row r="43" spans="1:29">
      <c r="A43" s="43"/>
      <c r="B43" s="43"/>
      <c r="C43" s="48">
        <v>3</v>
      </c>
      <c r="D43" s="48">
        <f t="shared" si="7"/>
        <v>1</v>
      </c>
      <c r="E43" s="49"/>
      <c r="F43" s="49"/>
      <c r="G43" s="49"/>
      <c r="H43" s="48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</row>
    <row r="44" spans="1:29">
      <c r="A44" s="43"/>
      <c r="B44" s="43"/>
      <c r="C44" s="48">
        <v>4</v>
      </c>
      <c r="D44" s="118">
        <f t="shared" si="7"/>
        <v>0</v>
      </c>
      <c r="E44" s="130" t="s">
        <v>183</v>
      </c>
      <c r="F44" s="130"/>
      <c r="G44" s="130"/>
      <c r="H44" s="48">
        <f>(16*D18-29)/90</f>
        <v>3.2333333333333334</v>
      </c>
      <c r="I44" s="43"/>
      <c r="J44" s="43"/>
      <c r="K44" s="112" t="s">
        <v>49</v>
      </c>
      <c r="L44" s="113">
        <v>0.29399999999999998</v>
      </c>
      <c r="M44" s="114" t="s">
        <v>45</v>
      </c>
      <c r="N44" s="115">
        <f>MAX(Q21:Q40)</f>
        <v>0.14019999999999999</v>
      </c>
      <c r="O44" s="116" t="s">
        <v>47</v>
      </c>
      <c r="P44" s="115">
        <f>MAX(R21:R40)</f>
        <v>9.8600000000000007E-2</v>
      </c>
      <c r="Q44" s="114" t="s">
        <v>48</v>
      </c>
      <c r="R44" s="115">
        <f>MAX(N44,P44)</f>
        <v>0.14019999999999999</v>
      </c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</row>
    <row r="45" spans="1:29">
      <c r="A45" s="43"/>
      <c r="B45" s="43"/>
      <c r="C45" s="48">
        <v>5</v>
      </c>
      <c r="D45" s="118">
        <f t="shared" si="7"/>
        <v>0</v>
      </c>
      <c r="E45" s="49"/>
      <c r="F45" s="49"/>
      <c r="G45" s="49"/>
      <c r="H45" s="48"/>
      <c r="I45" s="43"/>
      <c r="J45" s="43"/>
      <c r="K45" s="106" t="s">
        <v>8</v>
      </c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</row>
    <row r="46" spans="1:29">
      <c r="A46" s="43"/>
      <c r="B46" s="43"/>
      <c r="C46" s="48">
        <v>6</v>
      </c>
      <c r="D46" s="48">
        <f t="shared" si="7"/>
        <v>1</v>
      </c>
      <c r="E46" s="130" t="s">
        <v>184</v>
      </c>
      <c r="F46" s="130"/>
      <c r="G46" s="130"/>
      <c r="H46" s="48">
        <f>ABS((H40-H42)/SQRT(H44))</f>
        <v>0.55612799832004856</v>
      </c>
      <c r="I46" s="43"/>
      <c r="J46" s="43"/>
      <c r="K46" s="135" t="s">
        <v>239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</row>
    <row r="47" spans="1:29">
      <c r="A47" s="43"/>
      <c r="B47" s="43"/>
      <c r="C47" s="48">
        <v>7</v>
      </c>
      <c r="D47" s="122">
        <f t="shared" si="7"/>
        <v>0</v>
      </c>
      <c r="E47" s="49"/>
      <c r="F47" s="49"/>
      <c r="G47" s="49"/>
      <c r="H47" s="48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</row>
    <row r="48" spans="1:29">
      <c r="A48" s="43"/>
      <c r="B48" s="43"/>
      <c r="C48" s="119">
        <v>8</v>
      </c>
      <c r="D48" s="48">
        <f t="shared" si="7"/>
        <v>1</v>
      </c>
      <c r="E48" s="130" t="s">
        <v>185</v>
      </c>
      <c r="F48" s="130"/>
      <c r="G48" s="130"/>
      <c r="H48" s="48">
        <f>_xlfn.NORM.S.INV(D21)</f>
        <v>1.9599639845400536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</row>
    <row r="49" spans="1:29">
      <c r="A49" s="43"/>
      <c r="B49" s="43"/>
      <c r="C49" s="119">
        <v>9</v>
      </c>
      <c r="D49" s="118">
        <f t="shared" si="7"/>
        <v>0</v>
      </c>
      <c r="E49" s="121"/>
      <c r="F49" s="121"/>
      <c r="G49" s="121"/>
      <c r="H49" s="120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</row>
    <row r="50" spans="1:29">
      <c r="A50" s="43"/>
      <c r="B50" s="43"/>
      <c r="C50" s="119">
        <v>10</v>
      </c>
      <c r="D50" s="118">
        <f t="shared" si="7"/>
        <v>0</v>
      </c>
      <c r="E50" s="125" t="s">
        <v>8</v>
      </c>
      <c r="F50" s="125"/>
      <c r="G50" s="125"/>
      <c r="H50" s="125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</row>
    <row r="51" spans="1:29">
      <c r="A51" s="43"/>
      <c r="B51" s="43"/>
      <c r="C51" s="119">
        <v>11</v>
      </c>
      <c r="D51" s="48">
        <f t="shared" si="7"/>
        <v>1</v>
      </c>
      <c r="E51" s="120"/>
      <c r="F51" s="120"/>
      <c r="G51" s="120"/>
      <c r="H51" s="120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</row>
    <row r="52" spans="1:29">
      <c r="A52" s="43"/>
      <c r="B52" s="43"/>
      <c r="C52" s="119">
        <v>12</v>
      </c>
      <c r="D52" s="118">
        <f t="shared" si="7"/>
        <v>0</v>
      </c>
      <c r="E52" s="120"/>
      <c r="F52" s="120"/>
      <c r="G52" s="120"/>
      <c r="H52" s="120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</row>
    <row r="53" spans="1:29">
      <c r="A53" s="43"/>
      <c r="B53" s="43"/>
      <c r="C53" s="119">
        <v>13</v>
      </c>
      <c r="D53" s="118">
        <f t="shared" si="7"/>
        <v>0</v>
      </c>
      <c r="E53" s="120"/>
      <c r="F53" s="120"/>
      <c r="G53" s="120"/>
      <c r="H53" s="120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</row>
    <row r="54" spans="1:29">
      <c r="A54" s="43"/>
      <c r="B54" s="43"/>
      <c r="C54" s="119">
        <v>14</v>
      </c>
      <c r="D54" s="48">
        <f t="shared" si="7"/>
        <v>1</v>
      </c>
      <c r="E54" s="120"/>
      <c r="F54" s="120"/>
      <c r="G54" s="120"/>
      <c r="H54" s="120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</row>
    <row r="55" spans="1:29">
      <c r="A55" s="43"/>
      <c r="B55" s="43"/>
      <c r="C55" s="119">
        <v>15</v>
      </c>
      <c r="D55" s="48">
        <f t="shared" si="7"/>
        <v>1</v>
      </c>
      <c r="E55" s="120"/>
      <c r="F55" s="120"/>
      <c r="G55" s="120"/>
      <c r="H55" s="120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29">
      <c r="A56" s="43"/>
      <c r="B56" s="43"/>
      <c r="C56" s="119">
        <v>16</v>
      </c>
      <c r="D56" s="118">
        <f t="shared" si="7"/>
        <v>0</v>
      </c>
      <c r="E56" s="120"/>
      <c r="F56" s="120"/>
      <c r="G56" s="120"/>
      <c r="H56" s="120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 spans="1:29">
      <c r="A57" s="43"/>
      <c r="B57" s="43"/>
      <c r="C57" s="119">
        <v>17</v>
      </c>
      <c r="D57" s="118">
        <f t="shared" si="7"/>
        <v>0</v>
      </c>
      <c r="E57" s="120"/>
      <c r="F57" s="120"/>
      <c r="G57" s="120"/>
      <c r="H57" s="120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29">
      <c r="A58" s="43"/>
      <c r="B58" s="43"/>
      <c r="C58" s="119">
        <v>18</v>
      </c>
      <c r="D58" s="48">
        <f t="shared" si="7"/>
        <v>1</v>
      </c>
      <c r="E58" s="120"/>
      <c r="F58" s="120"/>
      <c r="G58" s="120"/>
      <c r="H58" s="120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29">
      <c r="A59" s="43"/>
      <c r="B59" s="43"/>
      <c r="C59" s="119">
        <v>19</v>
      </c>
      <c r="D59" s="48">
        <f t="shared" si="7"/>
        <v>1</v>
      </c>
      <c r="E59" s="120"/>
      <c r="F59" s="120"/>
      <c r="G59" s="120"/>
      <c r="H59" s="120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29">
      <c r="A60" s="43"/>
      <c r="B60" s="111"/>
      <c r="C60" s="111"/>
      <c r="D60" s="111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29">
      <c r="A61" s="43"/>
      <c r="B61" s="43"/>
      <c r="C61" s="132" t="s">
        <v>186</v>
      </c>
      <c r="D61" s="132"/>
      <c r="E61" s="127"/>
      <c r="F61" s="127"/>
      <c r="G61" s="127"/>
      <c r="H61" s="127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29">
      <c r="A62" s="43"/>
      <c r="B62" s="43"/>
      <c r="C62" s="48"/>
      <c r="D62" s="48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29">
      <c r="A63" s="43"/>
      <c r="B63" s="43"/>
      <c r="C63" s="117" t="s">
        <v>180</v>
      </c>
      <c r="D63" s="117" t="s">
        <v>51</v>
      </c>
      <c r="E63" s="130" t="s">
        <v>187</v>
      </c>
      <c r="F63" s="130"/>
      <c r="G63" s="130"/>
      <c r="H63" s="48">
        <f>COUNTIF(D64:D83,0)</f>
        <v>10</v>
      </c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29">
      <c r="A64" s="43"/>
      <c r="B64" s="43"/>
      <c r="C64" s="48">
        <v>1</v>
      </c>
      <c r="D64" s="48">
        <f t="shared" ref="D64:D83" si="8">+_xlfn.IFS(A17&gt;=0.5,1,A17&lt;0.5,0)</f>
        <v>1</v>
      </c>
      <c r="E64" s="48"/>
      <c r="F64" s="48"/>
      <c r="G64" s="48"/>
      <c r="H64" s="48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1:29">
      <c r="A65" s="43"/>
      <c r="B65" s="43"/>
      <c r="C65" s="48">
        <v>2</v>
      </c>
      <c r="D65" s="118">
        <f t="shared" si="8"/>
        <v>0</v>
      </c>
      <c r="E65" s="130" t="s">
        <v>188</v>
      </c>
      <c r="F65" s="130"/>
      <c r="G65" s="130"/>
      <c r="H65" s="48">
        <f>COUNTIF(D64:D83,1)</f>
        <v>10</v>
      </c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1:29">
      <c r="A66" s="43"/>
      <c r="B66" s="43"/>
      <c r="C66" s="48">
        <v>3</v>
      </c>
      <c r="D66" s="48">
        <f t="shared" si="8"/>
        <v>1</v>
      </c>
      <c r="E66" s="48"/>
      <c r="F66" s="48"/>
      <c r="G66" s="48"/>
      <c r="H66" s="48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  <row r="67" spans="1:29">
      <c r="A67" s="43"/>
      <c r="B67" s="43"/>
      <c r="C67" s="48">
        <v>4</v>
      </c>
      <c r="D67" s="48">
        <f t="shared" si="8"/>
        <v>1</v>
      </c>
      <c r="E67" s="130" t="s">
        <v>181</v>
      </c>
      <c r="F67" s="130"/>
      <c r="G67" s="130"/>
      <c r="H67" s="48">
        <v>11</v>
      </c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</row>
    <row r="68" spans="1:29">
      <c r="A68" s="43"/>
      <c r="B68" s="43"/>
      <c r="C68" s="48">
        <v>5</v>
      </c>
      <c r="D68" s="118">
        <f t="shared" si="8"/>
        <v>0</v>
      </c>
      <c r="E68" s="48"/>
      <c r="F68" s="48"/>
      <c r="G68" s="48"/>
      <c r="H68" s="48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</row>
    <row r="69" spans="1:29">
      <c r="A69" s="43"/>
      <c r="B69" s="43"/>
      <c r="C69" s="48">
        <v>6</v>
      </c>
      <c r="D69" s="118">
        <f t="shared" si="8"/>
        <v>0</v>
      </c>
      <c r="E69" s="130" t="s">
        <v>182</v>
      </c>
      <c r="F69" s="130"/>
      <c r="G69" s="130"/>
      <c r="H69" s="48">
        <f>+((2*H63*H65)/D18)+(1/2)</f>
        <v>10.5</v>
      </c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</row>
    <row r="70" spans="1:29">
      <c r="A70" s="43"/>
      <c r="B70" s="43"/>
      <c r="C70" s="48">
        <v>7</v>
      </c>
      <c r="D70" s="118">
        <f t="shared" si="8"/>
        <v>0</v>
      </c>
      <c r="E70" s="48"/>
      <c r="F70" s="48"/>
      <c r="G70" s="48"/>
      <c r="H70" s="48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</row>
    <row r="71" spans="1:29">
      <c r="A71" s="43"/>
      <c r="B71" s="43"/>
      <c r="C71" s="48">
        <v>8</v>
      </c>
      <c r="D71" s="118">
        <f t="shared" si="8"/>
        <v>0</v>
      </c>
      <c r="E71" s="130" t="s">
        <v>183</v>
      </c>
      <c r="F71" s="130"/>
      <c r="G71" s="130"/>
      <c r="H71" s="48">
        <f>+(2*H63*H65*(2*H63*H65-D18))/((D18^2)*(D18-1))</f>
        <v>4.7368421052631575</v>
      </c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</row>
    <row r="72" spans="1:29">
      <c r="A72" s="43"/>
      <c r="B72" s="43"/>
      <c r="C72" s="48">
        <v>9</v>
      </c>
      <c r="D72" s="48">
        <f t="shared" si="8"/>
        <v>1</v>
      </c>
      <c r="E72" s="48"/>
      <c r="F72" s="48"/>
      <c r="G72" s="48"/>
      <c r="H72" s="48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</row>
    <row r="73" spans="1:29">
      <c r="A73" s="43"/>
      <c r="B73" s="43"/>
      <c r="C73" s="48">
        <v>10</v>
      </c>
      <c r="D73" s="118">
        <f t="shared" si="8"/>
        <v>0</v>
      </c>
      <c r="E73" s="130" t="s">
        <v>185</v>
      </c>
      <c r="F73" s="130"/>
      <c r="G73" s="130"/>
      <c r="H73" s="48">
        <f>_xlfn.NORM.S.INV(D21)</f>
        <v>1.9599639845400536</v>
      </c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</row>
    <row r="74" spans="1:29">
      <c r="A74" s="43"/>
      <c r="B74" s="43"/>
      <c r="C74" s="48">
        <v>11</v>
      </c>
      <c r="D74" s="118">
        <f t="shared" si="8"/>
        <v>0</v>
      </c>
      <c r="E74" s="48"/>
      <c r="F74" s="48"/>
      <c r="G74" s="48"/>
      <c r="H74" s="48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</row>
    <row r="75" spans="1:29">
      <c r="A75" s="43"/>
      <c r="B75" s="43"/>
      <c r="C75" s="48">
        <v>12</v>
      </c>
      <c r="D75" s="48">
        <f t="shared" si="8"/>
        <v>1</v>
      </c>
      <c r="E75" s="130" t="s">
        <v>184</v>
      </c>
      <c r="F75" s="130"/>
      <c r="G75" s="130"/>
      <c r="H75" s="148">
        <f>+(H67-H69)/H71</f>
        <v>0.10555555555555557</v>
      </c>
      <c r="I75" s="135" t="s">
        <v>241</v>
      </c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</row>
    <row r="76" spans="1:29">
      <c r="A76" s="43"/>
      <c r="B76" s="43"/>
      <c r="C76" s="48">
        <v>13</v>
      </c>
      <c r="D76" s="48">
        <f t="shared" si="8"/>
        <v>1</v>
      </c>
      <c r="E76" s="48"/>
      <c r="F76" s="48"/>
      <c r="G76" s="48"/>
      <c r="H76" s="48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</row>
    <row r="77" spans="1:29">
      <c r="A77" s="43"/>
      <c r="B77" s="43"/>
      <c r="C77" s="48">
        <v>14</v>
      </c>
      <c r="D77" s="118">
        <f t="shared" si="8"/>
        <v>0</v>
      </c>
      <c r="E77" s="130" t="s">
        <v>189</v>
      </c>
      <c r="F77" s="130"/>
      <c r="G77" s="130"/>
      <c r="H77" s="48">
        <f>+-H73</f>
        <v>-1.9599639845400536</v>
      </c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</row>
    <row r="78" spans="1:29">
      <c r="A78" s="43"/>
      <c r="B78" s="43"/>
      <c r="C78" s="48">
        <v>15</v>
      </c>
      <c r="D78" s="118">
        <f t="shared" si="8"/>
        <v>0</v>
      </c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</row>
    <row r="79" spans="1:29">
      <c r="A79" s="43"/>
      <c r="B79" s="43"/>
      <c r="C79" s="48">
        <v>16</v>
      </c>
      <c r="D79" s="48">
        <f t="shared" si="8"/>
        <v>1</v>
      </c>
      <c r="E79" s="131" t="s">
        <v>8</v>
      </c>
      <c r="F79" s="131"/>
      <c r="G79" s="131"/>
      <c r="H79" s="131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</row>
    <row r="80" spans="1:29">
      <c r="A80" s="43"/>
      <c r="B80" s="43"/>
      <c r="C80" s="48">
        <v>17</v>
      </c>
      <c r="D80" s="48">
        <f t="shared" si="8"/>
        <v>1</v>
      </c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</row>
    <row r="81" spans="1:29">
      <c r="A81" s="43"/>
      <c r="B81" s="43"/>
      <c r="C81" s="48">
        <v>18</v>
      </c>
      <c r="D81" s="118">
        <f t="shared" si="8"/>
        <v>0</v>
      </c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</row>
    <row r="82" spans="1:29">
      <c r="A82" s="43"/>
      <c r="B82" s="43"/>
      <c r="C82" s="48">
        <v>19</v>
      </c>
      <c r="D82" s="48">
        <f t="shared" si="8"/>
        <v>1</v>
      </c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</row>
    <row r="83" spans="1:29">
      <c r="A83" s="43"/>
      <c r="B83" s="43"/>
      <c r="C83" s="48">
        <v>20</v>
      </c>
      <c r="D83" s="48">
        <f t="shared" si="8"/>
        <v>1</v>
      </c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</row>
    <row r="84" spans="1:29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</row>
    <row r="85" spans="1:29">
      <c r="A85" s="43"/>
      <c r="B85" s="43"/>
      <c r="C85" s="135" t="s">
        <v>240</v>
      </c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</row>
    <row r="86" spans="1:29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</row>
  </sheetData>
  <mergeCells count="22">
    <mergeCell ref="E73:G73"/>
    <mergeCell ref="E75:G75"/>
    <mergeCell ref="E77:G77"/>
    <mergeCell ref="E79:H79"/>
    <mergeCell ref="C61:H61"/>
    <mergeCell ref="E63:G63"/>
    <mergeCell ref="E65:G65"/>
    <mergeCell ref="E67:G67"/>
    <mergeCell ref="E69:G69"/>
    <mergeCell ref="E71:G71"/>
    <mergeCell ref="E50:H50"/>
    <mergeCell ref="C16:D16"/>
    <mergeCell ref="F18:I18"/>
    <mergeCell ref="K18:R18"/>
    <mergeCell ref="C19:D19"/>
    <mergeCell ref="C28:D28"/>
    <mergeCell ref="C38:H38"/>
    <mergeCell ref="E40:G40"/>
    <mergeCell ref="E42:G42"/>
    <mergeCell ref="E44:G44"/>
    <mergeCell ref="E46:G46"/>
    <mergeCell ref="E48:G4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4"/>
  <sheetViews>
    <sheetView topLeftCell="A19" workbookViewId="0">
      <selection activeCell="J56" sqref="J56"/>
    </sheetView>
  </sheetViews>
  <sheetFormatPr baseColWidth="10" defaultColWidth="9.140625" defaultRowHeight="15"/>
  <cols>
    <col min="16" max="16" width="12" bestFit="1" customWidth="1"/>
    <col min="17" max="17" width="11.5703125" bestFit="1" customWidth="1"/>
  </cols>
  <sheetData>
    <row r="1" spans="1:4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</row>
    <row r="2" spans="1:4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</row>
    <row r="4" spans="1:4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</row>
    <row r="5" spans="1:4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</row>
    <row r="6" spans="1:4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</row>
    <row r="7" spans="1:45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</row>
    <row r="8" spans="1:4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  <row r="9" spans="1:4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</row>
    <row r="10" spans="1:4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</row>
    <row r="11" spans="1:4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135" t="s">
        <v>242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</row>
    <row r="12" spans="1:45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135" t="s">
        <v>243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 ht="15.75" thickBot="1">
      <c r="A13" s="57" t="s">
        <v>10</v>
      </c>
      <c r="B13" s="43"/>
      <c r="C13" s="43" t="s">
        <v>17</v>
      </c>
      <c r="D13" s="44" t="s">
        <v>0</v>
      </c>
      <c r="E13" s="45">
        <f>COUNTA(A14:A33)</f>
        <v>20</v>
      </c>
      <c r="F13" s="43"/>
      <c r="G13" s="43"/>
      <c r="H13" s="43"/>
      <c r="I13" s="43" t="s">
        <v>18</v>
      </c>
      <c r="J13" s="43"/>
      <c r="K13" s="43"/>
      <c r="L13" s="43"/>
      <c r="M13" s="43"/>
      <c r="N13" s="43"/>
      <c r="O13" s="43" t="s">
        <v>19</v>
      </c>
      <c r="P13" s="124" t="s">
        <v>38</v>
      </c>
      <c r="Q13" s="124"/>
      <c r="R13" s="124"/>
      <c r="S13" s="124"/>
      <c r="T13" s="43"/>
      <c r="U13" s="43"/>
      <c r="V13" s="43"/>
      <c r="W13" s="64" t="s">
        <v>37</v>
      </c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</row>
    <row r="14" spans="1:45" ht="15.75" thickBot="1">
      <c r="A14" s="56">
        <v>0.45979999999999999</v>
      </c>
      <c r="B14" s="43"/>
      <c r="C14" s="43"/>
      <c r="D14" s="123" t="s">
        <v>1</v>
      </c>
      <c r="E14" s="123"/>
      <c r="F14" s="43"/>
      <c r="G14" s="43"/>
      <c r="H14" s="43"/>
      <c r="I14" s="43"/>
      <c r="J14" s="123" t="s">
        <v>11</v>
      </c>
      <c r="K14" s="123"/>
      <c r="L14" s="43"/>
      <c r="M14" s="43"/>
      <c r="N14" s="43"/>
      <c r="O14" s="43"/>
      <c r="P14" s="44" t="s">
        <v>20</v>
      </c>
      <c r="Q14" s="95">
        <f>SQRT(E13)</f>
        <v>4.4721359549995796</v>
      </c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</row>
    <row r="15" spans="1:45" ht="15.75" thickBot="1">
      <c r="A15" s="56">
        <v>1.2500000000000001E-2</v>
      </c>
      <c r="B15" s="43"/>
      <c r="C15" s="43"/>
      <c r="D15" s="46" t="s">
        <v>2</v>
      </c>
      <c r="E15" s="47">
        <v>1.4999999999999999E-2</v>
      </c>
      <c r="F15" s="43"/>
      <c r="G15" s="43"/>
      <c r="H15" s="43"/>
      <c r="I15" s="43"/>
      <c r="J15" s="46" t="s">
        <v>12</v>
      </c>
      <c r="K15" s="47">
        <f>0.015/2</f>
        <v>7.4999999999999997E-3</v>
      </c>
      <c r="L15" s="43"/>
      <c r="M15" s="43"/>
      <c r="N15" s="43"/>
      <c r="O15" s="43"/>
      <c r="P15" s="148" t="s">
        <v>21</v>
      </c>
      <c r="Q15" s="148" t="s">
        <v>22</v>
      </c>
      <c r="R15" s="148" t="s">
        <v>23</v>
      </c>
      <c r="S15" s="148" t="s">
        <v>24</v>
      </c>
      <c r="T15" s="43"/>
      <c r="U15" s="43"/>
      <c r="V15" s="43"/>
      <c r="W15" s="57" t="s">
        <v>10</v>
      </c>
      <c r="X15" s="43"/>
      <c r="Y15" s="60" t="s">
        <v>39</v>
      </c>
      <c r="Z15" s="48">
        <v>1</v>
      </c>
      <c r="AA15" s="48">
        <v>2</v>
      </c>
      <c r="AB15" s="48">
        <v>3</v>
      </c>
      <c r="AC15" s="48">
        <v>4</v>
      </c>
      <c r="AD15" s="48">
        <v>5</v>
      </c>
      <c r="AE15" s="48">
        <v>6</v>
      </c>
      <c r="AF15" s="48">
        <v>7</v>
      </c>
      <c r="AG15" s="48">
        <v>8</v>
      </c>
      <c r="AH15" s="48">
        <v>9</v>
      </c>
      <c r="AI15" s="48">
        <v>10</v>
      </c>
      <c r="AJ15" s="48">
        <v>11</v>
      </c>
      <c r="AK15" s="48">
        <v>12</v>
      </c>
      <c r="AL15" s="48">
        <v>13</v>
      </c>
      <c r="AM15" s="48">
        <v>14</v>
      </c>
      <c r="AN15" s="48">
        <v>15</v>
      </c>
      <c r="AO15" s="48">
        <v>16</v>
      </c>
      <c r="AP15" s="48">
        <v>17</v>
      </c>
      <c r="AQ15" s="48">
        <v>18</v>
      </c>
      <c r="AR15" s="48">
        <v>19</v>
      </c>
      <c r="AS15" s="48">
        <v>20</v>
      </c>
    </row>
    <row r="16" spans="1:45" ht="15.75" thickBot="1">
      <c r="A16" s="56">
        <v>0.86860000000000004</v>
      </c>
      <c r="B16" s="43"/>
      <c r="C16" s="43"/>
      <c r="D16" s="46" t="s">
        <v>3</v>
      </c>
      <c r="E16" s="47">
        <f>1-E15/2</f>
        <v>0.99250000000000005</v>
      </c>
      <c r="F16" s="43"/>
      <c r="G16" s="43"/>
      <c r="H16" s="43"/>
      <c r="I16" s="43"/>
      <c r="J16" s="46" t="s">
        <v>3</v>
      </c>
      <c r="K16" s="47">
        <f>1-K15</f>
        <v>0.99250000000000005</v>
      </c>
      <c r="L16" s="43"/>
      <c r="M16" s="43"/>
      <c r="N16" s="43"/>
      <c r="O16" s="43"/>
      <c r="P16" s="139" t="s">
        <v>151</v>
      </c>
      <c r="Q16" s="139">
        <f>COUNTIFS($A$14:$A$33,"&gt;0",$A$14:$A$33,"&lt;0,25")</f>
        <v>4</v>
      </c>
      <c r="R16" s="139">
        <f>$E$13/4</f>
        <v>5</v>
      </c>
      <c r="S16" s="148">
        <f>+(R16-Q16)^2/R16</f>
        <v>0.2</v>
      </c>
      <c r="T16" s="43"/>
      <c r="U16" s="43"/>
      <c r="V16" s="43"/>
      <c r="W16" s="56">
        <v>1.2500000000000001E-2</v>
      </c>
      <c r="X16" s="43"/>
      <c r="Y16" s="60" t="s">
        <v>40</v>
      </c>
      <c r="Z16" s="48">
        <f>Z15/$Z$21</f>
        <v>0.05</v>
      </c>
      <c r="AA16" s="48">
        <f t="shared" ref="AA16:AS16" si="0">AA15/$Z$21</f>
        <v>0.1</v>
      </c>
      <c r="AB16" s="48">
        <f t="shared" si="0"/>
        <v>0.15</v>
      </c>
      <c r="AC16" s="48">
        <f t="shared" si="0"/>
        <v>0.2</v>
      </c>
      <c r="AD16" s="48">
        <f t="shared" si="0"/>
        <v>0.25</v>
      </c>
      <c r="AE16" s="48">
        <f t="shared" si="0"/>
        <v>0.3</v>
      </c>
      <c r="AF16" s="48">
        <f t="shared" si="0"/>
        <v>0.35</v>
      </c>
      <c r="AG16" s="48">
        <f t="shared" si="0"/>
        <v>0.4</v>
      </c>
      <c r="AH16" s="48">
        <f t="shared" si="0"/>
        <v>0.45</v>
      </c>
      <c r="AI16" s="48">
        <f t="shared" si="0"/>
        <v>0.5</v>
      </c>
      <c r="AJ16" s="48">
        <f t="shared" si="0"/>
        <v>0.55000000000000004</v>
      </c>
      <c r="AK16" s="48">
        <f t="shared" si="0"/>
        <v>0.6</v>
      </c>
      <c r="AL16" s="48">
        <f t="shared" si="0"/>
        <v>0.65</v>
      </c>
      <c r="AM16" s="48">
        <f t="shared" si="0"/>
        <v>0.7</v>
      </c>
      <c r="AN16" s="48">
        <f t="shared" si="0"/>
        <v>0.75</v>
      </c>
      <c r="AO16" s="48">
        <f t="shared" si="0"/>
        <v>0.8</v>
      </c>
      <c r="AP16" s="48">
        <f t="shared" si="0"/>
        <v>0.85</v>
      </c>
      <c r="AQ16" s="48">
        <f t="shared" si="0"/>
        <v>0.9</v>
      </c>
      <c r="AR16" s="48">
        <f t="shared" si="0"/>
        <v>0.95</v>
      </c>
      <c r="AS16" s="48">
        <f t="shared" si="0"/>
        <v>1</v>
      </c>
    </row>
    <row r="17" spans="1:45" ht="24" thickBot="1">
      <c r="A17" s="56">
        <v>0.4007</v>
      </c>
      <c r="B17" s="43"/>
      <c r="C17" s="43"/>
      <c r="D17" s="48"/>
      <c r="E17" s="48"/>
      <c r="F17" s="43"/>
      <c r="G17" s="43"/>
      <c r="H17" s="43"/>
      <c r="I17" s="43"/>
      <c r="J17" s="58" t="s">
        <v>13</v>
      </c>
      <c r="K17" s="48">
        <f>_xlfn.CHISQ.INV.RT(K15,E13-1)</f>
        <v>37.195448368424685</v>
      </c>
      <c r="L17" s="43"/>
      <c r="M17" s="43"/>
      <c r="N17" s="43"/>
      <c r="O17" s="43"/>
      <c r="P17" s="139" t="s">
        <v>164</v>
      </c>
      <c r="Q17" s="139">
        <f>COUNTIFS($A$14:$A$33,"&gt;0,25",$A$14:$A$33,"&lt;0,5")</f>
        <v>6</v>
      </c>
      <c r="R17" s="139">
        <f t="shared" ref="R17:R19" si="1">$E$13/4</f>
        <v>5</v>
      </c>
      <c r="S17" s="148">
        <f t="shared" ref="S17:S19" si="2">+(R17-Q17)^2/R17</f>
        <v>0.2</v>
      </c>
      <c r="T17" s="43"/>
      <c r="U17" s="43"/>
      <c r="V17" s="43"/>
      <c r="W17" s="56">
        <v>3.9E-2</v>
      </c>
      <c r="X17" s="43"/>
      <c r="Y17" s="60" t="s">
        <v>41</v>
      </c>
      <c r="Z17" s="56">
        <v>1.2500000000000001E-2</v>
      </c>
      <c r="AA17" s="56">
        <v>3.9E-2</v>
      </c>
      <c r="AB17" s="56">
        <v>9.7299999999999998E-2</v>
      </c>
      <c r="AC17" s="56">
        <v>0.22950000000000001</v>
      </c>
      <c r="AD17" s="56">
        <v>0.30659999999999998</v>
      </c>
      <c r="AE17" s="56">
        <v>0.31259999999999999</v>
      </c>
      <c r="AF17" s="56">
        <v>0.32479999999999998</v>
      </c>
      <c r="AG17" s="56">
        <v>0.4007</v>
      </c>
      <c r="AH17" s="56">
        <v>0.40089999999999998</v>
      </c>
      <c r="AI17" s="56">
        <v>0.45979999999999999</v>
      </c>
      <c r="AJ17" s="76">
        <v>0.58779999999999999</v>
      </c>
      <c r="AK17" s="76">
        <v>0.64510000000000001</v>
      </c>
      <c r="AL17" s="76">
        <v>0.65839999999999999</v>
      </c>
      <c r="AM17" s="76">
        <v>0.76329999999999998</v>
      </c>
      <c r="AN17" s="76">
        <v>0.78169999999999995</v>
      </c>
      <c r="AO17" s="76">
        <v>0.86860000000000004</v>
      </c>
      <c r="AP17" s="76">
        <v>0.93289999999999995</v>
      </c>
      <c r="AQ17" s="77">
        <v>0.9405</v>
      </c>
      <c r="AR17" s="76">
        <v>0.95389999999999997</v>
      </c>
      <c r="AS17" s="76">
        <v>0.99070000000000003</v>
      </c>
    </row>
    <row r="18" spans="1:45" ht="24" thickBot="1">
      <c r="A18" s="56">
        <v>0.9405</v>
      </c>
      <c r="B18" s="43"/>
      <c r="C18" s="43"/>
      <c r="D18" s="49" t="s">
        <v>4</v>
      </c>
      <c r="E18" s="48">
        <f>NORMSINV(E16)</f>
        <v>2.4323790585844489</v>
      </c>
      <c r="F18" s="43"/>
      <c r="G18" s="43"/>
      <c r="H18" s="43"/>
      <c r="I18" s="43"/>
      <c r="J18" s="58" t="s">
        <v>14</v>
      </c>
      <c r="K18" s="48">
        <f>_xlfn.CHISQ.INV.RT(K16,E13-1)</f>
        <v>7.289909590139966</v>
      </c>
      <c r="L18" s="43"/>
      <c r="M18" s="43"/>
      <c r="N18" s="43"/>
      <c r="O18" s="43"/>
      <c r="P18" s="139" t="s">
        <v>152</v>
      </c>
      <c r="Q18" s="139">
        <f>COUNTIFS($A$14:$A$33,"&gt;0,5",$A$14:$A$33,"&lt;0,75")</f>
        <v>3</v>
      </c>
      <c r="R18" s="139">
        <f t="shared" si="1"/>
        <v>5</v>
      </c>
      <c r="S18" s="148">
        <f t="shared" si="2"/>
        <v>0.8</v>
      </c>
      <c r="T18" s="43"/>
      <c r="U18" s="43"/>
      <c r="V18" s="43"/>
      <c r="W18" s="56">
        <v>9.7299999999999998E-2</v>
      </c>
      <c r="X18" s="43"/>
      <c r="Y18" s="60" t="s">
        <v>42</v>
      </c>
      <c r="Z18" s="48">
        <f>(Z15-1)/$Z$21</f>
        <v>0</v>
      </c>
      <c r="AA18" s="48">
        <f t="shared" ref="AA18:AS18" si="3">(AA15-1)/$Z$21</f>
        <v>0.05</v>
      </c>
      <c r="AB18" s="48">
        <f t="shared" si="3"/>
        <v>0.1</v>
      </c>
      <c r="AC18" s="48">
        <f t="shared" si="3"/>
        <v>0.15</v>
      </c>
      <c r="AD18" s="48">
        <f t="shared" si="3"/>
        <v>0.2</v>
      </c>
      <c r="AE18" s="48">
        <f t="shared" si="3"/>
        <v>0.25</v>
      </c>
      <c r="AF18" s="48">
        <f t="shared" si="3"/>
        <v>0.3</v>
      </c>
      <c r="AG18" s="48">
        <f t="shared" si="3"/>
        <v>0.35</v>
      </c>
      <c r="AH18" s="48">
        <f t="shared" si="3"/>
        <v>0.4</v>
      </c>
      <c r="AI18" s="48">
        <f t="shared" si="3"/>
        <v>0.45</v>
      </c>
      <c r="AJ18" s="48">
        <f t="shared" si="3"/>
        <v>0.5</v>
      </c>
      <c r="AK18" s="48">
        <f t="shared" si="3"/>
        <v>0.55000000000000004</v>
      </c>
      <c r="AL18" s="48">
        <f t="shared" si="3"/>
        <v>0.6</v>
      </c>
      <c r="AM18" s="48">
        <f t="shared" si="3"/>
        <v>0.65</v>
      </c>
      <c r="AN18" s="48">
        <f t="shared" si="3"/>
        <v>0.7</v>
      </c>
      <c r="AO18" s="48">
        <f t="shared" si="3"/>
        <v>0.75</v>
      </c>
      <c r="AP18" s="48">
        <f t="shared" si="3"/>
        <v>0.8</v>
      </c>
      <c r="AQ18" s="48">
        <f t="shared" si="3"/>
        <v>0.85</v>
      </c>
      <c r="AR18" s="48">
        <f t="shared" si="3"/>
        <v>0.9</v>
      </c>
      <c r="AS18" s="48">
        <f t="shared" si="3"/>
        <v>0.95</v>
      </c>
    </row>
    <row r="19" spans="1:45" ht="15.75" thickBot="1">
      <c r="A19" s="56">
        <v>0.65839999999999999</v>
      </c>
      <c r="B19" s="43"/>
      <c r="C19" s="43"/>
      <c r="D19" s="50" t="s">
        <v>5</v>
      </c>
      <c r="E19" s="51">
        <f>1/2-(E18*(1/(SQRT(12*E13))))</f>
        <v>0.34299060690731259</v>
      </c>
      <c r="F19" s="43"/>
      <c r="G19" s="43"/>
      <c r="H19" s="43"/>
      <c r="I19" s="43"/>
      <c r="J19" s="48"/>
      <c r="K19" s="48"/>
      <c r="L19" s="43"/>
      <c r="M19" s="43"/>
      <c r="N19" s="43"/>
      <c r="O19" s="43"/>
      <c r="P19" s="139" t="s">
        <v>153</v>
      </c>
      <c r="Q19" s="139">
        <f>COUNTIFS($A$14:$A$33,"&gt;0,75",$A$14:$A$33,"&lt;1")</f>
        <v>7</v>
      </c>
      <c r="R19" s="139">
        <f t="shared" si="1"/>
        <v>5</v>
      </c>
      <c r="S19" s="148">
        <f t="shared" si="2"/>
        <v>0.8</v>
      </c>
      <c r="T19" s="43"/>
      <c r="U19" s="43"/>
      <c r="V19" s="43"/>
      <c r="W19" s="56">
        <v>0.22950000000000001</v>
      </c>
      <c r="X19" s="43"/>
      <c r="Y19" s="60" t="s">
        <v>43</v>
      </c>
      <c r="Z19" s="48">
        <f>Z16-Z17</f>
        <v>3.7500000000000006E-2</v>
      </c>
      <c r="AA19" s="48">
        <f t="shared" ref="AA19:AS20" si="4">AA16-AA17</f>
        <v>6.1000000000000006E-2</v>
      </c>
      <c r="AB19" s="48">
        <f t="shared" si="4"/>
        <v>5.2699999999999997E-2</v>
      </c>
      <c r="AC19" s="48">
        <f t="shared" si="4"/>
        <v>-2.9499999999999998E-2</v>
      </c>
      <c r="AD19" s="48">
        <f t="shared" si="4"/>
        <v>-5.6599999999999984E-2</v>
      </c>
      <c r="AE19" s="48">
        <f t="shared" si="4"/>
        <v>-1.26E-2</v>
      </c>
      <c r="AF19" s="48">
        <f t="shared" si="4"/>
        <v>2.52E-2</v>
      </c>
      <c r="AG19" s="48">
        <f t="shared" si="4"/>
        <v>-6.9999999999997842E-4</v>
      </c>
      <c r="AH19" s="48">
        <f t="shared" si="4"/>
        <v>4.9100000000000033E-2</v>
      </c>
      <c r="AI19" s="48">
        <f t="shared" si="4"/>
        <v>4.0200000000000014E-2</v>
      </c>
      <c r="AJ19" s="48">
        <f t="shared" si="4"/>
        <v>-3.7799999999999945E-2</v>
      </c>
      <c r="AK19" s="48">
        <f t="shared" si="4"/>
        <v>-4.5100000000000029E-2</v>
      </c>
      <c r="AL19" s="48">
        <f t="shared" si="4"/>
        <v>-8.3999999999999631E-3</v>
      </c>
      <c r="AM19" s="48">
        <f t="shared" si="4"/>
        <v>-6.3300000000000023E-2</v>
      </c>
      <c r="AN19" s="48">
        <f t="shared" si="4"/>
        <v>-3.169999999999995E-2</v>
      </c>
      <c r="AO19" s="48">
        <f t="shared" si="4"/>
        <v>-6.8599999999999994E-2</v>
      </c>
      <c r="AP19" s="48">
        <f t="shared" si="4"/>
        <v>-8.2899999999999974E-2</v>
      </c>
      <c r="AQ19" s="48">
        <f t="shared" si="4"/>
        <v>-4.049999999999998E-2</v>
      </c>
      <c r="AR19" s="48">
        <f t="shared" si="4"/>
        <v>-3.9000000000000146E-3</v>
      </c>
      <c r="AS19" s="48">
        <f t="shared" si="4"/>
        <v>9.299999999999975E-3</v>
      </c>
    </row>
    <row r="20" spans="1:45" ht="19.5" thickBot="1">
      <c r="A20" s="56">
        <v>0.40089999999999998</v>
      </c>
      <c r="B20" s="43"/>
      <c r="C20" s="43"/>
      <c r="D20" s="52" t="s">
        <v>6</v>
      </c>
      <c r="E20" s="53">
        <f>AVERAGE(A14:A33)</f>
        <v>0.53582999999999992</v>
      </c>
      <c r="F20" s="43"/>
      <c r="G20" s="43"/>
      <c r="H20" s="43"/>
      <c r="I20" s="43"/>
      <c r="J20" s="50" t="s">
        <v>16</v>
      </c>
      <c r="K20" s="59">
        <f>+K17/(12*(E13-1))</f>
        <v>0.16313793144045916</v>
      </c>
      <c r="L20" s="43"/>
      <c r="M20" s="43"/>
      <c r="N20" s="43"/>
      <c r="O20" s="43"/>
      <c r="P20" s="149" t="s">
        <v>35</v>
      </c>
      <c r="Q20" s="139">
        <f>SUM(Q16:Q19)</f>
        <v>20</v>
      </c>
      <c r="R20" s="139">
        <f>SUM(R16:R19)</f>
        <v>20</v>
      </c>
      <c r="S20" s="150">
        <f>SUM(S16:S19)</f>
        <v>2</v>
      </c>
      <c r="T20" s="43"/>
      <c r="U20" s="43"/>
      <c r="V20" s="43"/>
      <c r="W20" s="56">
        <v>0.30659999999999998</v>
      </c>
      <c r="X20" s="43"/>
      <c r="Y20" s="60" t="s">
        <v>44</v>
      </c>
      <c r="Z20" s="48">
        <f>Z17-Z18</f>
        <v>1.2500000000000001E-2</v>
      </c>
      <c r="AA20" s="48">
        <f t="shared" si="4"/>
        <v>-1.1000000000000003E-2</v>
      </c>
      <c r="AB20" s="48">
        <f t="shared" si="4"/>
        <v>-2.7000000000000079E-3</v>
      </c>
      <c r="AC20" s="48">
        <f t="shared" si="4"/>
        <v>7.9500000000000015E-2</v>
      </c>
      <c r="AD20" s="48">
        <f t="shared" si="4"/>
        <v>0.10659999999999997</v>
      </c>
      <c r="AE20" s="48">
        <f t="shared" si="4"/>
        <v>6.2599999999999989E-2</v>
      </c>
      <c r="AF20" s="48">
        <f t="shared" si="4"/>
        <v>2.4799999999999989E-2</v>
      </c>
      <c r="AG20" s="48">
        <f t="shared" si="4"/>
        <v>5.0700000000000023E-2</v>
      </c>
      <c r="AH20" s="48">
        <f t="shared" si="4"/>
        <v>8.9999999999995639E-4</v>
      </c>
      <c r="AI20" s="48">
        <f t="shared" si="4"/>
        <v>9.7999999999999754E-3</v>
      </c>
      <c r="AJ20" s="48">
        <f t="shared" si="4"/>
        <v>8.7799999999999989E-2</v>
      </c>
      <c r="AK20" s="48">
        <f t="shared" si="4"/>
        <v>9.5099999999999962E-2</v>
      </c>
      <c r="AL20" s="48">
        <f t="shared" si="4"/>
        <v>5.8400000000000007E-2</v>
      </c>
      <c r="AM20" s="48">
        <f t="shared" si="4"/>
        <v>0.11329999999999996</v>
      </c>
      <c r="AN20" s="48">
        <f t="shared" si="4"/>
        <v>8.1699999999999995E-2</v>
      </c>
      <c r="AO20" s="48">
        <f t="shared" si="4"/>
        <v>0.11860000000000004</v>
      </c>
      <c r="AP20" s="48">
        <f t="shared" si="4"/>
        <v>0.13289999999999991</v>
      </c>
      <c r="AQ20" s="48">
        <f t="shared" si="4"/>
        <v>9.0500000000000025E-2</v>
      </c>
      <c r="AR20" s="48">
        <f t="shared" si="4"/>
        <v>5.3899999999999948E-2</v>
      </c>
      <c r="AS20" s="48">
        <f t="shared" si="4"/>
        <v>4.0700000000000069E-2</v>
      </c>
    </row>
    <row r="21" spans="1:45" ht="15.75" thickBot="1">
      <c r="A21" s="56">
        <v>0.22950000000000001</v>
      </c>
      <c r="B21" s="43"/>
      <c r="C21" s="43"/>
      <c r="D21" s="54" t="s">
        <v>7</v>
      </c>
      <c r="E21" s="55">
        <f>1/2+(E18*(1/(SQRT(12*E13))))</f>
        <v>0.65700939309268747</v>
      </c>
      <c r="F21" s="43" t="s">
        <v>8</v>
      </c>
      <c r="G21" s="43"/>
      <c r="H21" s="43"/>
      <c r="I21" s="43"/>
      <c r="J21" s="52" t="s">
        <v>15</v>
      </c>
      <c r="K21" s="53">
        <f>_xlfn.VAR.S(A14:A33)</f>
        <v>0.10278238010526324</v>
      </c>
      <c r="L21" s="43"/>
      <c r="M21" s="43"/>
      <c r="N21" s="43"/>
      <c r="O21" s="43"/>
      <c r="T21" s="43"/>
      <c r="U21" s="43"/>
      <c r="V21" s="43"/>
      <c r="W21" s="56">
        <v>0.31259999999999999</v>
      </c>
      <c r="X21" s="43"/>
      <c r="Y21" s="44" t="s">
        <v>46</v>
      </c>
      <c r="Z21" s="43">
        <f>E13</f>
        <v>20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 ht="15.75" thickBot="1">
      <c r="A22" s="56">
        <v>0.78169999999999995</v>
      </c>
      <c r="B22" s="43"/>
      <c r="C22" s="43"/>
      <c r="D22" s="43"/>
      <c r="E22" s="43"/>
      <c r="F22" s="43"/>
      <c r="G22" s="43"/>
      <c r="H22" s="43"/>
      <c r="I22" s="43"/>
      <c r="J22" s="50" t="s">
        <v>5</v>
      </c>
      <c r="K22" s="51">
        <f>+K18/(12*(E13-1))</f>
        <v>3.1973287676052481E-2</v>
      </c>
      <c r="L22" s="43" t="s">
        <v>8</v>
      </c>
      <c r="M22" s="43"/>
      <c r="N22" s="43"/>
      <c r="O22" s="43"/>
      <c r="Q22" s="44" t="s">
        <v>9</v>
      </c>
      <c r="R22" s="47">
        <v>1.4999999999999999E-2</v>
      </c>
      <c r="T22" s="43"/>
      <c r="U22" s="43"/>
      <c r="V22" s="43"/>
      <c r="W22" s="56">
        <v>0.32479999999999998</v>
      </c>
      <c r="X22" s="43"/>
      <c r="Y22" s="67" t="s">
        <v>45</v>
      </c>
      <c r="Z22" s="68">
        <f>MAX(Z19:AS19)</f>
        <v>6.1000000000000006E-2</v>
      </c>
      <c r="AA22" s="69" t="s">
        <v>47</v>
      </c>
      <c r="AB22" s="68">
        <f>MAX(Z20:AS20)</f>
        <v>0.13289999999999991</v>
      </c>
      <c r="AC22" s="67" t="s">
        <v>48</v>
      </c>
      <c r="AD22" s="68">
        <f>MAX(Z22,AB22)</f>
        <v>0.13289999999999991</v>
      </c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</row>
    <row r="23" spans="1:45" ht="24" thickBot="1">
      <c r="A23" s="56">
        <v>0.76329999999999998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Q23" s="62" t="s">
        <v>36</v>
      </c>
      <c r="R23" s="63">
        <f>_xlfn.CHISQ.INV.RT(R22,Q14-1)</f>
        <v>10.46503071072833</v>
      </c>
      <c r="T23" s="43" t="s">
        <v>8</v>
      </c>
      <c r="U23" s="43"/>
      <c r="V23" s="43"/>
      <c r="W23" s="56">
        <v>0.4007</v>
      </c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</row>
    <row r="24" spans="1:45" ht="15.75" thickBot="1">
      <c r="A24" s="76">
        <v>9.7299999999999998E-2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135" t="s">
        <v>244</v>
      </c>
      <c r="T24" s="43"/>
      <c r="U24" s="43"/>
      <c r="V24" s="43"/>
      <c r="W24" s="56">
        <v>0.40089999999999998</v>
      </c>
      <c r="X24" s="43"/>
      <c r="Y24" s="70" t="s">
        <v>49</v>
      </c>
      <c r="Z24" s="66" t="s">
        <v>63</v>
      </c>
      <c r="AA24" s="43"/>
      <c r="AB24" s="43" t="s">
        <v>64</v>
      </c>
      <c r="AC24" s="43"/>
      <c r="AD24" s="43"/>
      <c r="AE24" s="43"/>
      <c r="AF24" s="43"/>
      <c r="AG24" s="43"/>
      <c r="AH24" s="135" t="s">
        <v>245</v>
      </c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</row>
    <row r="25" spans="1:45" ht="15.75" thickBot="1">
      <c r="A25" s="76">
        <v>0.99070000000000003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T25" s="43"/>
      <c r="U25" s="43"/>
      <c r="V25" s="43"/>
      <c r="W25" s="56">
        <v>0.45979999999999999</v>
      </c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</row>
    <row r="26" spans="1:45" ht="23.25">
      <c r="A26" s="76">
        <v>0.95389999999999997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T26" s="61"/>
      <c r="U26" s="43"/>
      <c r="V26" s="43"/>
      <c r="W26" s="76">
        <v>0.58779999999999999</v>
      </c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</row>
    <row r="27" spans="1:45">
      <c r="A27" s="76">
        <v>0.31259999999999999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S27" s="43"/>
      <c r="T27" s="43"/>
      <c r="U27" s="43"/>
      <c r="V27" s="43"/>
      <c r="W27" s="76">
        <v>0.64510000000000001</v>
      </c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</row>
    <row r="28" spans="1:45">
      <c r="A28" s="76">
        <v>0.64510000000000001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S28" s="43"/>
      <c r="V28" s="43"/>
      <c r="W28" s="76">
        <v>0.65839999999999999</v>
      </c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</row>
    <row r="29" spans="1:45">
      <c r="A29" s="76">
        <v>0.30659999999999998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76">
        <v>0.76329999999999998</v>
      </c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</row>
    <row r="30" spans="1:45">
      <c r="A30" s="76">
        <v>0.32479999999999998</v>
      </c>
      <c r="B30" s="43"/>
      <c r="C30" s="43"/>
      <c r="D30" s="43" t="s">
        <v>50</v>
      </c>
      <c r="E30" s="64" t="s">
        <v>56</v>
      </c>
      <c r="F30" s="43"/>
      <c r="G30" s="43"/>
      <c r="H30" s="43"/>
      <c r="I30" s="43"/>
      <c r="J30" s="43"/>
      <c r="K30" s="43"/>
      <c r="L30" s="43"/>
      <c r="M30" s="64" t="s">
        <v>58</v>
      </c>
      <c r="N30" s="43"/>
      <c r="O30" s="43"/>
      <c r="P30" s="43"/>
      <c r="Q30" s="43"/>
      <c r="R30" s="43"/>
      <c r="S30" s="43"/>
      <c r="T30" s="43"/>
      <c r="U30" s="43"/>
      <c r="V30" s="43"/>
      <c r="W30" s="76">
        <v>0.78169999999999995</v>
      </c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</row>
    <row r="31" spans="1:45">
      <c r="A31" s="77">
        <v>0.5978</v>
      </c>
      <c r="B31" s="43"/>
      <c r="C31" s="43"/>
      <c r="D31" s="43"/>
      <c r="E31" s="71" t="s">
        <v>51</v>
      </c>
      <c r="F31" s="43"/>
      <c r="G31" s="73" t="s">
        <v>52</v>
      </c>
      <c r="H31" s="48">
        <v>14</v>
      </c>
      <c r="I31" s="43"/>
      <c r="J31" s="43"/>
      <c r="K31" s="43"/>
      <c r="L31" s="43"/>
      <c r="M31" s="71" t="s">
        <v>51</v>
      </c>
      <c r="N31" s="43"/>
      <c r="O31" s="73" t="s">
        <v>52</v>
      </c>
      <c r="P31" s="48">
        <v>14</v>
      </c>
      <c r="Q31" s="43"/>
      <c r="R31" s="43"/>
      <c r="S31" s="43"/>
      <c r="T31" s="43"/>
      <c r="U31" s="43"/>
      <c r="V31" s="43"/>
      <c r="W31" s="76">
        <v>0.86860000000000004</v>
      </c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</row>
    <row r="32" spans="1:45">
      <c r="A32" s="76">
        <v>3.9E-2</v>
      </c>
      <c r="B32" s="43"/>
      <c r="C32" s="43"/>
      <c r="D32" s="43"/>
      <c r="E32" s="78">
        <f>IF(A15&lt;=A14,0,1)</f>
        <v>0</v>
      </c>
      <c r="F32" s="43"/>
      <c r="G32" s="73" t="s">
        <v>9</v>
      </c>
      <c r="H32" s="47">
        <v>1.4999999999999999E-2</v>
      </c>
      <c r="I32" s="43"/>
      <c r="J32" s="43"/>
      <c r="K32" s="43"/>
      <c r="L32" s="43"/>
      <c r="M32" s="65">
        <f>IF(A14&lt;0.5,0,1)</f>
        <v>0</v>
      </c>
      <c r="N32" s="43"/>
      <c r="O32" s="73" t="s">
        <v>9</v>
      </c>
      <c r="P32" s="47">
        <v>1.4999999999999999E-2</v>
      </c>
      <c r="Q32" s="43"/>
      <c r="R32" s="43"/>
      <c r="S32" s="43"/>
      <c r="T32" s="43"/>
      <c r="U32" s="43"/>
      <c r="V32" s="43"/>
      <c r="W32" s="76">
        <v>0.93289999999999995</v>
      </c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</row>
    <row r="33" spans="1:45">
      <c r="A33" s="76">
        <v>0.93289999999999995</v>
      </c>
      <c r="B33" s="43"/>
      <c r="C33" s="43"/>
      <c r="D33" s="43"/>
      <c r="E33" s="65">
        <f t="shared" ref="E33:E50" si="5">IF(A16&lt;=A15,0,1)</f>
        <v>1</v>
      </c>
      <c r="F33" s="43"/>
      <c r="G33" s="60"/>
      <c r="H33" s="48"/>
      <c r="I33" s="43"/>
      <c r="J33" s="43"/>
      <c r="K33" s="43"/>
      <c r="L33" s="43"/>
      <c r="M33" s="65">
        <f t="shared" ref="M33:M51" si="6">IF(A15&lt;0.5,0,1)</f>
        <v>0</v>
      </c>
      <c r="N33" s="43"/>
      <c r="O33" s="60"/>
      <c r="P33" s="48"/>
      <c r="Q33" s="43"/>
      <c r="R33" s="43"/>
      <c r="S33" s="43"/>
      <c r="T33" s="43"/>
      <c r="U33" s="43"/>
      <c r="V33" s="43"/>
      <c r="W33" s="77">
        <v>0.9405</v>
      </c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</row>
    <row r="34" spans="1:45">
      <c r="A34" s="43"/>
      <c r="B34" s="43"/>
      <c r="C34" s="43"/>
      <c r="D34" s="43"/>
      <c r="E34" s="78">
        <f t="shared" si="5"/>
        <v>0</v>
      </c>
      <c r="F34" s="43"/>
      <c r="G34" s="74" t="s">
        <v>53</v>
      </c>
      <c r="H34" s="48">
        <f>(2*E13-1)/3</f>
        <v>13</v>
      </c>
      <c r="I34" s="43"/>
      <c r="J34" s="43"/>
      <c r="K34" s="43"/>
      <c r="L34" s="43"/>
      <c r="M34" s="78">
        <f t="shared" si="6"/>
        <v>1</v>
      </c>
      <c r="N34" s="43"/>
      <c r="O34" s="73" t="s">
        <v>59</v>
      </c>
      <c r="P34" s="75">
        <f>COUNTIF(M32:M51,0)</f>
        <v>10</v>
      </c>
      <c r="Q34" s="43"/>
      <c r="R34" s="43"/>
      <c r="S34" s="43"/>
      <c r="T34" s="43"/>
      <c r="U34" s="43"/>
      <c r="V34" s="43"/>
      <c r="W34" s="76">
        <v>0.95389999999999997</v>
      </c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</row>
    <row r="35" spans="1:45">
      <c r="A35" s="43"/>
      <c r="B35" s="43"/>
      <c r="C35" s="43"/>
      <c r="D35" s="43"/>
      <c r="E35" s="65">
        <f t="shared" si="5"/>
        <v>1</v>
      </c>
      <c r="F35" s="43"/>
      <c r="G35" s="74" t="s">
        <v>54</v>
      </c>
      <c r="H35" s="48">
        <f>(16*E13-29)/90</f>
        <v>3.2333333333333334</v>
      </c>
      <c r="I35" s="43"/>
      <c r="J35" s="43"/>
      <c r="K35" s="43"/>
      <c r="L35" s="43"/>
      <c r="M35" s="65">
        <f t="shared" si="6"/>
        <v>0</v>
      </c>
      <c r="N35" s="43"/>
      <c r="O35" s="73" t="s">
        <v>60</v>
      </c>
      <c r="P35" s="75">
        <f>COUNTIF(M32:M51,1)</f>
        <v>10</v>
      </c>
      <c r="Q35" s="43"/>
      <c r="R35" s="43"/>
      <c r="S35" s="43"/>
      <c r="T35" s="43"/>
      <c r="U35" s="43"/>
      <c r="V35" s="43"/>
      <c r="W35" s="76">
        <v>0.99070000000000003</v>
      </c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</row>
    <row r="36" spans="1:45">
      <c r="A36" s="43"/>
      <c r="B36" s="43"/>
      <c r="C36" s="43"/>
      <c r="D36" s="43"/>
      <c r="E36" s="78">
        <f t="shared" si="5"/>
        <v>0</v>
      </c>
      <c r="F36" s="43"/>
      <c r="G36" s="74" t="s">
        <v>55</v>
      </c>
      <c r="H36" s="48">
        <f>ABS((H31-H34)/SQRT(H35))</f>
        <v>0.55612799832004856</v>
      </c>
      <c r="I36" s="43"/>
      <c r="J36" s="43"/>
      <c r="K36" s="43"/>
      <c r="L36" s="43"/>
      <c r="M36" s="78">
        <f t="shared" si="6"/>
        <v>1</v>
      </c>
      <c r="N36" s="43"/>
      <c r="O36" s="60"/>
      <c r="P36" s="75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</row>
    <row r="37" spans="1:45">
      <c r="A37" s="43"/>
      <c r="B37" s="43"/>
      <c r="C37" s="43"/>
      <c r="D37" s="43"/>
      <c r="E37" s="78">
        <f t="shared" si="5"/>
        <v>0</v>
      </c>
      <c r="F37" s="43"/>
      <c r="G37" s="43"/>
      <c r="H37" s="43"/>
      <c r="I37" s="43"/>
      <c r="J37" s="43"/>
      <c r="K37" s="43"/>
      <c r="L37" s="43"/>
      <c r="M37" s="78">
        <f t="shared" si="6"/>
        <v>1</v>
      </c>
      <c r="N37" s="43"/>
      <c r="O37" s="74" t="s">
        <v>53</v>
      </c>
      <c r="P37" s="48">
        <f>(2*P34*P35)/E13 + 1/2</f>
        <v>10.5</v>
      </c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</row>
    <row r="38" spans="1:45">
      <c r="A38" s="43"/>
      <c r="B38" s="43"/>
      <c r="C38" s="43"/>
      <c r="D38" s="43"/>
      <c r="E38" s="78">
        <f t="shared" si="5"/>
        <v>0</v>
      </c>
      <c r="F38" s="43"/>
      <c r="G38" s="70" t="s">
        <v>57</v>
      </c>
      <c r="H38" s="72">
        <f>_xlfn.NORM.S.INV(1-H32/2)</f>
        <v>2.4323790585844489</v>
      </c>
      <c r="I38" s="43"/>
      <c r="J38" s="43"/>
      <c r="K38" s="43"/>
      <c r="L38" s="43"/>
      <c r="M38" s="65">
        <f t="shared" si="6"/>
        <v>0</v>
      </c>
      <c r="N38" s="43"/>
      <c r="O38" s="74" t="s">
        <v>54</v>
      </c>
      <c r="P38" s="48">
        <f>(2*P34*P35*(2*P34*P35-E13))/((E13-1)*E13^2)</f>
        <v>4.7368421052631575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</row>
    <row r="39" spans="1:45">
      <c r="A39" s="43"/>
      <c r="B39" s="43"/>
      <c r="C39" s="43"/>
      <c r="D39" s="43"/>
      <c r="E39" s="65">
        <f t="shared" si="5"/>
        <v>1</v>
      </c>
      <c r="F39" s="43"/>
      <c r="G39" s="43"/>
      <c r="H39" s="43"/>
      <c r="I39" s="43"/>
      <c r="J39" s="43"/>
      <c r="K39" s="43"/>
      <c r="L39" s="43"/>
      <c r="M39" s="65">
        <f t="shared" si="6"/>
        <v>0</v>
      </c>
      <c r="N39" s="43"/>
      <c r="O39" s="74" t="s">
        <v>55</v>
      </c>
      <c r="P39" s="48">
        <f>(P31-P37)/SQRT(P38)</f>
        <v>1.6081390210771926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</row>
    <row r="40" spans="1:45">
      <c r="A40" s="43"/>
      <c r="B40" s="43"/>
      <c r="C40" s="43"/>
      <c r="D40" s="43"/>
      <c r="E40" s="78">
        <f t="shared" si="5"/>
        <v>0</v>
      </c>
      <c r="F40" s="43"/>
      <c r="G40" s="43" t="s">
        <v>62</v>
      </c>
      <c r="H40" s="43"/>
      <c r="I40" s="43"/>
      <c r="J40" s="43"/>
      <c r="K40" s="43"/>
      <c r="L40" s="43"/>
      <c r="M40" s="78">
        <f t="shared" si="6"/>
        <v>1</v>
      </c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</row>
    <row r="41" spans="1:45">
      <c r="A41" s="43"/>
      <c r="B41" s="43"/>
      <c r="C41" s="43"/>
      <c r="D41" s="43"/>
      <c r="E41" s="78">
        <f t="shared" si="5"/>
        <v>0</v>
      </c>
      <c r="F41" s="43"/>
      <c r="G41" s="43"/>
      <c r="H41" s="43"/>
      <c r="I41" s="43"/>
      <c r="J41" s="43"/>
      <c r="K41" s="43"/>
      <c r="L41" s="43"/>
      <c r="M41" s="78">
        <f t="shared" si="6"/>
        <v>1</v>
      </c>
      <c r="N41" s="43"/>
      <c r="O41" s="70" t="s">
        <v>57</v>
      </c>
      <c r="P41" s="72">
        <f>_xlfn.NORM.S.INV(1-P32/2)</f>
        <v>2.4323790585844489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</row>
    <row r="42" spans="1:45">
      <c r="A42" s="43"/>
      <c r="B42" s="43"/>
      <c r="C42" s="43"/>
      <c r="D42" s="43"/>
      <c r="E42" s="65">
        <f t="shared" si="5"/>
        <v>1</v>
      </c>
      <c r="F42" s="43"/>
      <c r="G42" s="43"/>
      <c r="H42" s="43"/>
      <c r="I42" s="43"/>
      <c r="J42" s="43"/>
      <c r="K42" s="43"/>
      <c r="L42" s="43"/>
      <c r="M42" s="65">
        <f t="shared" si="6"/>
        <v>0</v>
      </c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>
      <c r="A43" s="43"/>
      <c r="B43" s="43"/>
      <c r="C43" s="43"/>
      <c r="D43" s="43"/>
      <c r="E43" s="78">
        <f t="shared" si="5"/>
        <v>0</v>
      </c>
      <c r="F43" s="43"/>
      <c r="G43" s="43"/>
      <c r="H43" s="43"/>
      <c r="I43" s="43"/>
      <c r="J43" s="43"/>
      <c r="K43" s="43"/>
      <c r="L43" s="43"/>
      <c r="M43" s="78">
        <f t="shared" si="6"/>
        <v>1</v>
      </c>
      <c r="N43" s="43"/>
      <c r="O43" s="43" t="s">
        <v>62</v>
      </c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</row>
    <row r="44" spans="1:45">
      <c r="A44" s="43"/>
      <c r="B44" s="43"/>
      <c r="C44" s="43"/>
      <c r="D44" s="43"/>
      <c r="E44" s="78">
        <f t="shared" si="5"/>
        <v>0</v>
      </c>
      <c r="F44" s="43"/>
      <c r="G44" s="43"/>
      <c r="H44" s="43"/>
      <c r="I44" s="43"/>
      <c r="J44" s="43"/>
      <c r="K44" s="43"/>
      <c r="L44" s="43"/>
      <c r="M44" s="78">
        <f t="shared" si="6"/>
        <v>1</v>
      </c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</row>
    <row r="45" spans="1:45">
      <c r="A45" s="43"/>
      <c r="B45" s="43"/>
      <c r="C45" s="43"/>
      <c r="D45" s="43"/>
      <c r="E45" s="65">
        <f t="shared" si="5"/>
        <v>1</v>
      </c>
      <c r="F45" s="43"/>
      <c r="G45" s="43"/>
      <c r="H45" s="43"/>
      <c r="I45" s="43"/>
      <c r="J45" s="43"/>
      <c r="K45" s="43"/>
      <c r="L45" s="43"/>
      <c r="M45" s="65">
        <f t="shared" si="6"/>
        <v>0</v>
      </c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</row>
    <row r="46" spans="1:45">
      <c r="A46" s="43"/>
      <c r="B46" s="43"/>
      <c r="C46" s="43"/>
      <c r="D46" s="43"/>
      <c r="E46" s="78">
        <f t="shared" si="5"/>
        <v>0</v>
      </c>
      <c r="F46" s="43"/>
      <c r="G46" s="43"/>
      <c r="H46" s="43"/>
      <c r="I46" s="43"/>
      <c r="J46" s="43"/>
      <c r="K46" s="43"/>
      <c r="L46" s="43"/>
      <c r="M46" s="78">
        <f t="shared" si="6"/>
        <v>1</v>
      </c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</row>
    <row r="47" spans="1:45">
      <c r="A47" s="43"/>
      <c r="B47" s="43"/>
      <c r="C47" s="43"/>
      <c r="D47" s="43"/>
      <c r="E47" s="65">
        <f t="shared" si="5"/>
        <v>1</v>
      </c>
      <c r="F47" s="43"/>
      <c r="G47" s="43"/>
      <c r="H47" s="43"/>
      <c r="I47" s="43"/>
      <c r="J47" s="43"/>
      <c r="K47" s="43"/>
      <c r="L47" s="43"/>
      <c r="M47" s="65">
        <f t="shared" si="6"/>
        <v>0</v>
      </c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</row>
    <row r="48" spans="1:45">
      <c r="A48" s="43"/>
      <c r="B48" s="43"/>
      <c r="C48" s="43"/>
      <c r="D48" s="43"/>
      <c r="E48" s="65">
        <f t="shared" si="5"/>
        <v>1</v>
      </c>
      <c r="F48" s="43"/>
      <c r="G48" s="43"/>
      <c r="H48" s="43"/>
      <c r="I48" s="43"/>
      <c r="J48" s="43"/>
      <c r="K48" s="43"/>
      <c r="L48" s="43"/>
      <c r="M48" s="65">
        <f t="shared" si="6"/>
        <v>0</v>
      </c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</row>
    <row r="49" spans="1:45">
      <c r="A49" s="43"/>
      <c r="B49" s="43"/>
      <c r="C49" s="43"/>
      <c r="D49" s="43"/>
      <c r="E49" s="78">
        <f t="shared" si="5"/>
        <v>0</v>
      </c>
      <c r="F49" s="43"/>
      <c r="G49" s="43"/>
      <c r="H49" s="43"/>
      <c r="I49" s="43"/>
      <c r="J49" s="43"/>
      <c r="K49" s="43"/>
      <c r="L49" s="43"/>
      <c r="M49" s="78">
        <f t="shared" si="6"/>
        <v>1</v>
      </c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</row>
    <row r="50" spans="1:45">
      <c r="A50" s="43"/>
      <c r="B50" s="43"/>
      <c r="C50" s="43"/>
      <c r="D50" s="43"/>
      <c r="E50" s="65">
        <f t="shared" si="5"/>
        <v>1</v>
      </c>
      <c r="F50" s="43"/>
      <c r="G50" s="43"/>
      <c r="H50" s="43"/>
      <c r="I50" s="43"/>
      <c r="J50" s="43"/>
      <c r="K50" s="43"/>
      <c r="L50" s="43"/>
      <c r="M50" s="65">
        <f t="shared" si="6"/>
        <v>0</v>
      </c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</row>
    <row r="51" spans="1:4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78">
        <f t="shared" si="6"/>
        <v>1</v>
      </c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</row>
    <row r="52" spans="1:4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</row>
    <row r="53" spans="1:45">
      <c r="A53" s="43"/>
      <c r="B53" s="43"/>
      <c r="C53" s="43"/>
      <c r="D53" s="43"/>
      <c r="E53" s="43"/>
      <c r="F53" s="135" t="s">
        <v>246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</row>
    <row r="54" spans="1:4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</row>
    <row r="55" spans="1:4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</row>
    <row r="56" spans="1:4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</row>
    <row r="57" spans="1:4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</row>
    <row r="58" spans="1:4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</row>
    <row r="59" spans="1:4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</row>
    <row r="60" spans="1:4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</row>
    <row r="61" spans="1:4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</row>
    <row r="62" spans="1:4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</row>
    <row r="63" spans="1:4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</row>
    <row r="64" spans="1:4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</row>
  </sheetData>
  <mergeCells count="3">
    <mergeCell ref="P13:S13"/>
    <mergeCell ref="D14:E14"/>
    <mergeCell ref="J14:K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Portada</vt:lpstr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15-B079</dc:creator>
  <cp:lastModifiedBy>Usuario de Windows</cp:lastModifiedBy>
  <dcterms:created xsi:type="dcterms:W3CDTF">2020-04-18T23:44:59Z</dcterms:created>
  <dcterms:modified xsi:type="dcterms:W3CDTF">2020-04-23T14:02:32Z</dcterms:modified>
</cp:coreProperties>
</file>