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_rels/sheet5.xml.rels" ContentType="application/vnd.openxmlformats-package.relationships+xml"/>
  <Override PartName="/xl/worksheets/_rels/sheet8.xml.rels" ContentType="application/vnd.openxmlformats-package.relationships+xml"/>
  <Override PartName="/xl/worksheets/_rels/sheet7.xml.rels" ContentType="application/vnd.openxmlformats-package.relationship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drawing3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media/image7.png" ContentType="image/png"/>
  <Override PartName="/xl/media/image2.png" ContentType="image/png"/>
  <Override PartName="/xl/media/image1.png" ContentType="image/png"/>
  <Override PartName="/xl/media/image3.png" ContentType="image/png"/>
  <Override PartName="/xl/media/image4.png" ContentType="image/png"/>
  <Override PartName="/xl/media/image5.png" ContentType="image/png"/>
  <Override PartName="/xl/media/image6.png" ContentType="image/png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Integrantes" sheetId="1" state="visible" r:id="rId2"/>
    <sheet name="Ej1" sheetId="2" state="visible" r:id="rId3"/>
    <sheet name="Ej2" sheetId="3" state="visible" r:id="rId4"/>
    <sheet name="Ej3" sheetId="4" state="visible" r:id="rId5"/>
    <sheet name="Ej4" sheetId="5" state="visible" r:id="rId6"/>
    <sheet name="Ej5" sheetId="6" state="visible" r:id="rId7"/>
    <sheet name="Ej6" sheetId="7" state="visible" r:id="rId8"/>
    <sheet name="Ej7" sheetId="8" state="visible" r:id="rId9"/>
    <sheet name="Ej8" sheetId="9" state="visible" r:id="rId10"/>
    <sheet name="Ej9" sheetId="10" state="visible" r:id="rId11"/>
    <sheet name="Ej10" sheetId="11" state="visible" r:id="rId1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<sst xmlns="http://schemas.openxmlformats.org/spreadsheetml/2006/main" count="460" uniqueCount="205">
  <si>
    <t xml:space="preserve">Integrantes del Grupo</t>
  </si>
  <si>
    <t xml:space="preserve">-Cuzziol Facundo</t>
  </si>
  <si>
    <t xml:space="preserve">-Diez Danilo</t>
  </si>
  <si>
    <t xml:space="preserve">-Nadal Alejandro</t>
  </si>
  <si>
    <t xml:space="preserve">-Soto Juan Cruz</t>
  </si>
  <si>
    <t xml:space="preserve">-Troncoso Mariano</t>
  </si>
  <si>
    <t xml:space="preserve">Ejercicio N° 1: Utilizando el algoritmo de cuadrados medios, se pide: Generar una muestra de 10 números con la semilla X0 = 5015.</t>
  </si>
  <si>
    <t xml:space="preserve">i</t>
  </si>
  <si>
    <t xml:space="preserve">x_i</t>
  </si>
  <si>
    <t xml:space="preserve">y_i</t>
  </si>
  <si>
    <t xml:space="preserve">y_i(corregido)</t>
  </si>
  <si>
    <t xml:space="preserve">x_i+1</t>
  </si>
  <si>
    <t xml:space="preserve">r_i+1</t>
  </si>
  <si>
    <t xml:space="preserve">Revean las funciones que usan para calcular los números, da error, si sigue el problema pueden hacerlo "manualmente"</t>
  </si>
  <si>
    <r>
      <rPr>
        <b val="true"/>
        <i val="true"/>
        <sz val="11"/>
        <color rgb="FF000000"/>
        <rFont val="Arial"/>
        <family val="2"/>
        <charset val="1"/>
      </rPr>
      <t xml:space="preserve">Ejercicio N° 2: Utilizando el algoritmo de productos medios, se pide: Generar una muestra de 10 números partiendo de las semillas X0 = 5115 y </t>
    </r>
    <r>
      <rPr>
        <b val="true"/>
        <i val="true"/>
        <sz val="11"/>
        <color rgb="FFFF0000"/>
        <rFont val="Arial"/>
        <family val="2"/>
        <charset val="1"/>
      </rPr>
      <t xml:space="preserve">X1 = 5736.</t>
    </r>
  </si>
  <si>
    <t xml:space="preserve">Y_i=x_i*(x_i+1)</t>
  </si>
  <si>
    <t xml:space="preserve">y_0(corregido)</t>
  </si>
  <si>
    <t xml:space="preserve">x_i+2</t>
  </si>
  <si>
    <t xml:space="preserve">Mismo que el anterior</t>
  </si>
  <si>
    <t xml:space="preserve">El 2do número X1 está mal, es de la guía anterior.</t>
  </si>
  <si>
    <t xml:space="preserve">Utilizando el algoritmo de multiplicador constante, se pide:</t>
  </si>
  <si>
    <t xml:space="preserve">Generar una muestra de 10 números partiendo de la semilla X0 = 5215 y con la constante a = 3724</t>
  </si>
  <si>
    <t xml:space="preserve">a</t>
  </si>
  <si>
    <t xml:space="preserve">Mismo que en el caso anterior</t>
  </si>
  <si>
    <t xml:space="preserve">ALGORITMO LINEAL</t>
  </si>
  <si>
    <t xml:space="preserve">Ejercicio N° 4: Generar suficientes números entre 0 y 1 con los siguientes parámetros X0 = 6, k = 3, g = 4 y c = 7, hasta encontrar el período de vida máximo (N). Al finalizar la generación de números, se pide:</t>
  </si>
  <si>
    <t xml:space="preserve">a) Responder: ¿Se alcanza el período de vida máximo?</t>
  </si>
  <si>
    <t xml:space="preserve">b) Justificar la respuesta del ítem a)</t>
  </si>
  <si>
    <t xml:space="preserve">a=1+4*k</t>
  </si>
  <si>
    <t xml:space="preserve">m= 2^g</t>
  </si>
  <si>
    <t xml:space="preserve">ri = xi/(m-1)</t>
  </si>
  <si>
    <t xml:space="preserve">a) No se alcanza el periodo de vida maximo, ya que deja de generar numeros aleatorios diferentes a los anteriores, como se ve en las iteraciones i = 0 e i = 12</t>
  </si>
  <si>
    <t xml:space="preserve">r_i</t>
  </si>
  <si>
    <t xml:space="preserve"> ya que deja de generar numeros aleatorios diferentes a los anteriores, como se ve en las iteraciones i = 0 e i = 12</t>
  </si>
  <si>
    <t xml:space="preserve">DATOS</t>
  </si>
  <si>
    <t xml:space="preserve">El primer valor está mal calculado lo cual arrastra el error a todo el ejercicio.</t>
  </si>
  <si>
    <t xml:space="preserve">xo</t>
  </si>
  <si>
    <t xml:space="preserve">Revean el cálculo del residuo, pueden hacerlo con una función de Excel o manualmente.</t>
  </si>
  <si>
    <t xml:space="preserve">k</t>
  </si>
  <si>
    <t xml:space="preserve">La conclusión está mal, ustedes calcularon que m=N y además se cumplen todas las condiciones por lo tanto N tiene que representar sí o si el período máximo de vida, ahí ya tenían que darse cuenta que algo hicieron mal.</t>
  </si>
  <si>
    <t xml:space="preserve">g</t>
  </si>
  <si>
    <t xml:space="preserve">c</t>
  </si>
  <si>
    <t xml:space="preserve">m</t>
  </si>
  <si>
    <t xml:space="preserve">N</t>
  </si>
  <si>
    <t xml:space="preserve">Ejercicio N° 5: Generar suficientes números entre 0 y 1 con los siguientes parámetros proporcionados de manera arbitraria: X0 = 2, k = 3, g = 4, c = 9 y m = 25, hasta encontrar el período de vida máximo (N).</t>
  </si>
  <si>
    <t xml:space="preserve">Al finalizar la generación de números, se pide: </t>
  </si>
  <si>
    <t xml:space="preserve">b) Justificar la respuesta del ítem a).</t>
  </si>
  <si>
    <t xml:space="preserve">a) No se alcanza el periodo de vida maximo, ya que deja de generar numeros aleatorios diferentes a los anteriores, como se ve en las iteraciones i = 0 e i = 9</t>
  </si>
  <si>
    <t xml:space="preserve"> ya que deja de generar numeros aleatorios diferentes a los anteriores, como se ve en las iteraciones i = 0 e i = 9</t>
  </si>
  <si>
    <t xml:space="preserve">Siguen estando mal los cálculos.</t>
  </si>
  <si>
    <t xml:space="preserve">Rehacer ejercicio.</t>
  </si>
  <si>
    <r>
      <rPr>
        <sz val="10"/>
        <color rgb="FF000000"/>
        <rFont val="Arial"/>
        <family val="2"/>
        <charset val="1"/>
      </rPr>
      <t xml:space="preserve">Dado los siguientes 10 números del conjunto ri determine si cumplen las cuatro propiedades de los números pseudoaleatorios con un nivel de aceptación de</t>
    </r>
    <r>
      <rPr>
        <sz val="10"/>
        <color rgb="FFFF0000"/>
        <rFont val="Arial"/>
        <family val="2"/>
        <charset val="1"/>
      </rPr>
      <t xml:space="preserve"> 95% </t>
    </r>
    <r>
      <rPr>
        <sz val="10"/>
        <color rgb="FF000000"/>
        <rFont val="Arial"/>
        <family val="2"/>
        <charset val="1"/>
      </rPr>
      <t xml:space="preserve">para cada una de las pruebas:</t>
    </r>
  </si>
  <si>
    <t xml:space="preserve">a) Prueba de medias.</t>
  </si>
  <si>
    <t xml:space="preserve">b) Prueba de varianzas.</t>
  </si>
  <si>
    <t xml:space="preserve">c) Prueba de uniformidad</t>
  </si>
  <si>
    <t xml:space="preserve">• Prueba Chi-Cuadrada</t>
  </si>
  <si>
    <t xml:space="preserve">• Prueba de Kolmogorov-Smirnov</t>
  </si>
  <si>
    <t xml:space="preserve">d) Prueba de Independencia:</t>
  </si>
  <si>
    <t xml:space="preserve">• Prueba de Corridas arriba y abajo</t>
  </si>
  <si>
    <t xml:space="preserve">Prueba de Medias</t>
  </si>
  <si>
    <t xml:space="preserve">• Prueba de Corridas arriba y abajo de la media</t>
  </si>
  <si>
    <t xml:space="preserve">n=</t>
  </si>
  <si>
    <t xml:space="preserve">Valores PAleatorios</t>
  </si>
  <si>
    <t xml:space="preserve">Numero</t>
  </si>
  <si>
    <t xml:space="preserve">Pruebas de Medias</t>
  </si>
  <si>
    <t xml:space="preserve">α=</t>
  </si>
  <si>
    <t xml:space="preserve">Copiaron mal el ejercicio, perdía 99%, no 95%</t>
  </si>
  <si>
    <t xml:space="preserve">1 - α/2=</t>
  </si>
  <si>
    <t xml:space="preserve">Z(1-α/2)=</t>
  </si>
  <si>
    <t xml:space="preserve">Límite Inferior=</t>
  </si>
  <si>
    <t xml:space="preserve">Promedio Muestra R=</t>
  </si>
  <si>
    <t xml:space="preserve">Límite Sup=</t>
  </si>
  <si>
    <t xml:space="preserve">NO PODEMOS RECHAZAR</t>
  </si>
  <si>
    <t xml:space="preserve">Prueba de Varianza</t>
  </si>
  <si>
    <t xml:space="preserve">Pruebas de Varianza</t>
  </si>
  <si>
    <t xml:space="preserve">χ2 (α/2, n-1)</t>
  </si>
  <si>
    <t xml:space="preserve">χ2 (1 - α/2, n-1)</t>
  </si>
  <si>
    <t xml:space="preserve">Varianza Muestra R=</t>
  </si>
  <si>
    <t xml:space="preserve">Limite Inferior:</t>
  </si>
  <si>
    <t xml:space="preserve">Limite Superior</t>
  </si>
  <si>
    <t xml:space="preserve">Resultado</t>
  </si>
  <si>
    <t xml:space="preserve">Prueba de Uniformidad (Prueba de Chi cuadrada)</t>
  </si>
  <si>
    <t xml:space="preserve">Mal calculado m, siempre se redondea para arriba.</t>
  </si>
  <si>
    <t xml:space="preserve">m=</t>
  </si>
  <si>
    <t xml:space="preserve">También están mal hecho los intervalos</t>
  </si>
  <si>
    <t xml:space="preserve">Frecuencias</t>
  </si>
  <si>
    <t xml:space="preserve">Observada (Oi)</t>
  </si>
  <si>
    <t xml:space="preserve">Esperada(Ei)</t>
  </si>
  <si>
    <t xml:space="preserve">(Ei-Oi)2/Ei</t>
  </si>
  <si>
    <t xml:space="preserve">Cómo es posible que la frecuencia observada les de 0???? Piensen lo que hacen!!!</t>
  </si>
  <si>
    <t xml:space="preserve">.00,.32</t>
  </si>
  <si>
    <t xml:space="preserve">Recuerden que la frecuencia observada es la cantidad de valores dentro de ese intervalo, si o sí deben estar los números metidos en algún intervalo.</t>
  </si>
  <si>
    <t xml:space="preserve">.33,.66</t>
  </si>
  <si>
    <t xml:space="preserve">.67,1</t>
  </si>
  <si>
    <t xml:space="preserve">?????????</t>
  </si>
  <si>
    <t xml:space="preserve">Control</t>
  </si>
  <si>
    <t xml:space="preserve">χ2 (α, n-1)</t>
  </si>
  <si>
    <t xml:space="preserve">No podemos rechazar</t>
  </si>
  <si>
    <t xml:space="preserve">La conclusión está incompleta, deben escribir las condiciones y en base a ello establecer si pueden o no rechazar.</t>
  </si>
  <si>
    <t xml:space="preserve">Prueba de Kolmogorov-Smirnov</t>
  </si>
  <si>
    <t xml:space="preserve">ri</t>
  </si>
  <si>
    <t xml:space="preserve">ri ordenados</t>
  </si>
  <si>
    <t xml:space="preserve">D+</t>
  </si>
  <si>
    <t xml:space="preserve">D-</t>
  </si>
  <si>
    <t xml:space="preserve">Dmax</t>
  </si>
  <si>
    <t xml:space="preserve">3er Paso: búsqueda en tabla de valores críticos</t>
  </si>
  <si>
    <r>
      <rPr>
        <sz val="11"/>
        <color rgb="FF000000"/>
        <rFont val="Arial"/>
        <family val="2"/>
        <charset val="1"/>
      </rPr>
      <t xml:space="preserve">𝐷𝛼,𝑛 = 𝐷</t>
    </r>
    <r>
      <rPr>
        <i val="true"/>
        <sz val="10"/>
        <rFont val="Arial"/>
        <family val="2"/>
        <charset val="1"/>
      </rPr>
      <t xml:space="preserve">0.05,10</t>
    </r>
  </si>
  <si>
    <t xml:space="preserve">𝐷𝛼,𝑛= </t>
  </si>
  <si>
    <t xml:space="preserve">Dmax&lt;=𝐷𝛼,𝑛</t>
  </si>
  <si>
    <t xml:space="preserve">MAX</t>
  </si>
  <si>
    <t xml:space="preserve">Para el cálculo de D+ pusieron en la fórmula 1/n-ri, cuando es i/n-ri</t>
  </si>
  <si>
    <t xml:space="preserve">Lo anterior arrastró el error para el cálculo de D, con solo modificar la fórmula para D+ se arregla solo.</t>
  </si>
  <si>
    <t xml:space="preserve">Prueba de Independencia:Corridas arriba y abajo</t>
  </si>
  <si>
    <t xml:space="preserve">Aleatorios</t>
  </si>
  <si>
    <t xml:space="preserve">S</t>
  </si>
  <si>
    <t xml:space="preserve">C₀</t>
  </si>
  <si>
    <t xml:space="preserve">n</t>
  </si>
  <si>
    <t xml:space="preserve">μc₀</t>
  </si>
  <si>
    <t xml:space="preserve">𝜎𝐶𝑜2 
</t>
  </si>
  <si>
    <t xml:space="preserve">Zo</t>
  </si>
  <si>
    <t xml:space="preserve">Z𝛼/2</t>
  </si>
  <si>
    <t xml:space="preserve">Este valor se obtiene haciendo busqueda inversa en la tabla de distribucion normal</t>
  </si>
  <si>
    <t xml:space="preserve">-𝑧𝛼/2 ≤ 𝑧0 ≤ 𝑧𝛼/2</t>
  </si>
  <si>
    <t xml:space="preserve">La conclusión final falta, decir que los números al superar todas las pruebas pueden ser usados para un estudio de simulación.</t>
  </si>
  <si>
    <t xml:space="preserve">Prueba de Independencia:Corridas arriba y abajo de la media</t>
  </si>
  <si>
    <t xml:space="preserve">Paso1</t>
  </si>
  <si>
    <t xml:space="preserve">Paso2</t>
  </si>
  <si>
    <t xml:space="preserve">Paso 3</t>
  </si>
  <si>
    <t xml:space="preserve">Paso 4</t>
  </si>
  <si>
    <t xml:space="preserve">n₀</t>
  </si>
  <si>
    <t xml:space="preserve">n₁</t>
  </si>
  <si>
    <t xml:space="preserve">Misma consideración que en la prueba anterior</t>
  </si>
  <si>
    <t xml:space="preserve">Rehacer el ejercicio con el valor de alfa correspondiente.</t>
  </si>
  <si>
    <t xml:space="preserve">Ejercicio N° 7: Dado los siguientes 20 números del conjunto ri determine si cumplen las cuatro propiedades</t>
  </si>
  <si>
    <t xml:space="preserve">de los números pseudoaleatorios con un nivel de aceptación de 95% para cada una de las pruebas:</t>
  </si>
  <si>
    <t xml:space="preserve">c) Prueba de uniformidad:</t>
  </si>
  <si>
    <t xml:space="preserve">Nota: para operar con los valores de la tabla se deben tomar los números siguiendo el orden de</t>
  </si>
  <si>
    <t xml:space="preserve">izquierda a derecha y de arriba hacia abajo. Por ejemplo: el cuarto valor de la tabla es 0,6326 y</t>
  </si>
  <si>
    <t xml:space="preserve">después viene el valor 0,4421</t>
  </si>
  <si>
    <t xml:space="preserve">Valor PAleatorio</t>
  </si>
  <si>
    <t xml:space="preserve">n-1</t>
  </si>
  <si>
    <t xml:space="preserve">Prueba de medias</t>
  </si>
  <si>
    <t xml:space="preserve">No podemos Rechazar</t>
  </si>
  <si>
    <t xml:space="preserve">n = </t>
  </si>
  <si>
    <t xml:space="preserve">α/2=</t>
  </si>
  <si>
    <t xml:space="preserve">Recalcular m</t>
  </si>
  <si>
    <t xml:space="preserve">Reveer los intervalos.</t>
  </si>
  <si>
    <t xml:space="preserve">.00-.24</t>
  </si>
  <si>
    <t xml:space="preserve">0.25, .49</t>
  </si>
  <si>
    <t xml:space="preserve">.5, .74</t>
  </si>
  <si>
    <t xml:space="preserve">.75, 1</t>
  </si>
  <si>
    <t xml:space="preserve">Mal calculado, porque usaron como segundo argumento 2?</t>
  </si>
  <si>
    <r>
      <rPr>
        <sz val="11"/>
        <color rgb="FF000000"/>
        <rFont val="Arial"/>
        <family val="2"/>
        <charset val="1"/>
      </rPr>
      <t xml:space="preserve">𝐷𝛼,𝑛 = 𝐷</t>
    </r>
    <r>
      <rPr>
        <i val="true"/>
        <sz val="10"/>
        <rFont val="Arial"/>
        <family val="2"/>
        <charset val="1"/>
      </rPr>
      <t xml:space="preserve">0.05,20</t>
    </r>
  </si>
  <si>
    <t xml:space="preserve">Mismo error que el anterior</t>
  </si>
  <si>
    <t xml:space="preserve">Un pequeño error para calcular la secuencia.</t>
  </si>
  <si>
    <t xml:space="preserve">Recuerden que siempre comparo el valor de esa celda con la anterior, por lo tanto en el primero no tendremos nada (la secuencia tiene n-1 valores, 19 en este caso).</t>
  </si>
  <si>
    <t xml:space="preserve">Se arrastra el error para calcular Zo</t>
  </si>
  <si>
    <t xml:space="preserve">Completar conclusión.</t>
  </si>
  <si>
    <t xml:space="preserve">Recalcular</t>
  </si>
  <si>
    <t xml:space="preserve">La secuencia está bien calculada, pero el valor de Co está mal.</t>
  </si>
  <si>
    <t xml:space="preserve">El valor de 𝜎𝐶𝑜2  está mal calculado.</t>
  </si>
  <si>
    <t xml:space="preserve">Hacer la conclusión.</t>
  </si>
  <si>
    <t xml:space="preserve">Ejercicio N° 8: Dado los siguientes 20 números del conjunto ri determine si cumplen las cuatro propiedades</t>
  </si>
  <si>
    <t xml:space="preserve">de los números pseudoaleatorios con un nivel de aceptación de 98,5% para cada una de las pruebas:</t>
  </si>
  <si>
    <t xml:space="preserve">• Prueba de Chi-Cuadrada</t>
  </si>
  <si>
    <t xml:space="preserve">0,4598 0,0125 0,8686 0,4007</t>
  </si>
  <si>
    <t xml:space="preserve">0,9405 0,6584 0,4009 0,2295</t>
  </si>
  <si>
    <t xml:space="preserve">0,7817 0,7633 0,0973 0,9907</t>
  </si>
  <si>
    <t xml:space="preserve">0,9539 0,3126 0,6451 0,3066</t>
  </si>
  <si>
    <t xml:space="preserve">• Prueba de Corridas arriba y debajo de la media</t>
  </si>
  <si>
    <t xml:space="preserve">0,3248 0,5978 0,0390 0,9329</t>
  </si>
  <si>
    <t xml:space="preserve">nivel de aceptacion=</t>
  </si>
  <si>
    <t xml:space="preserve">    Prueba de Uniformidad (Prueba de Chi cuadrada)</t>
  </si>
  <si>
    <t xml:space="preserve">Recalcular m y los intervalos.</t>
  </si>
  <si>
    <t xml:space="preserve">.00,.25</t>
  </si>
  <si>
    <t xml:space="preserve">.25,.50</t>
  </si>
  <si>
    <t xml:space="preserve">.50,.75</t>
  </si>
  <si>
    <t xml:space="preserve">.75,1</t>
  </si>
  <si>
    <t xml:space="preserve">Conclusiones!!</t>
  </si>
  <si>
    <r>
      <rPr>
        <sz val="11"/>
        <color rgb="FF000000"/>
        <rFont val="Arial"/>
        <family val="2"/>
        <charset val="1"/>
      </rPr>
      <t xml:space="preserve">𝐷𝛼,𝑛 = 𝐷</t>
    </r>
    <r>
      <rPr>
        <i val="true"/>
        <sz val="10"/>
        <rFont val="Arial"/>
        <family val="2"/>
        <charset val="1"/>
      </rPr>
      <t xml:space="preserve">0.015,20</t>
    </r>
  </si>
  <si>
    <t xml:space="preserve">Recalcular D+</t>
  </si>
  <si>
    <t xml:space="preserve">Revean porque este valor da mal, por algún motivo lo redondea para arriba.</t>
  </si>
  <si>
    <t xml:space="preserve">NO, tienen que hacer con 1-alfa/2, con con 98,5%</t>
  </si>
  <si>
    <t xml:space="preserve">Tener en cuenta la consideración que mencioné en el punto anterior</t>
  </si>
  <si>
    <t xml:space="preserve">Completar conclusiones</t>
  </si>
  <si>
    <t xml:space="preserve">Ejercicio N° 9: Considere los 40 números del conjunto ri que se presentan a continuación, y determine si</t>
  </si>
  <si>
    <t xml:space="preserve">cumple las siguientes pruebas con un nivel de aceptación de 95% para cada una de ellas:</t>
  </si>
  <si>
    <t xml:space="preserve">c) Prueba de uniformidad de Chi-Cuadrada.</t>
  </si>
  <si>
    <t xml:space="preserve">d) Prueba de Independencia de Corridas arriba y abajo</t>
  </si>
  <si>
    <t xml:space="preserve">Se rechaza</t>
  </si>
  <si>
    <t xml:space="preserve">Se rechaza, pero deben completar que pasa con eso, es decir, agregar "se descarta el conjunto de números pseudoaleatorios"</t>
  </si>
  <si>
    <t xml:space="preserve">Considere los 30 números del conjunto ri que se presenta a continuación, y determine si</t>
  </si>
  <si>
    <t xml:space="preserve">d) Prueba de Independencia de Corridas arriba y abajo.</t>
  </si>
  <si>
    <t xml:space="preserve">Están mal los números del ejercicio, son los números de la guía del año pasado!!!!!!!!!</t>
  </si>
  <si>
    <t xml:space="preserve">El valor de m sigue estando mal, tiene que ser redondeado como se explicó antes</t>
  </si>
  <si>
    <t xml:space="preserve">.00,.20</t>
  </si>
  <si>
    <t xml:space="preserve">Sigue estando mal la frecuencia observada, no tiene sentido que sea 0</t>
  </si>
  <si>
    <t xml:space="preserve">.20,.40</t>
  </si>
  <si>
    <t xml:space="preserve">Los intervalos están mal.</t>
  </si>
  <si>
    <t xml:space="preserve">.40,.60</t>
  </si>
  <si>
    <t xml:space="preserve">.60,.80</t>
  </si>
  <si>
    <t xml:space="preserve">.80,1</t>
  </si>
  <si>
    <t xml:space="preserve">Podemos rechazar</t>
  </si>
  <si>
    <t xml:space="preserve">De donde sacan el valor 2?</t>
  </si>
  <si>
    <t xml:space="preserve">Conclusiones!!!!!!!</t>
  </si>
</sst>
</file>

<file path=xl/styles.xml><?xml version="1.0" encoding="utf-8"?>
<styleSheet xmlns="http://schemas.openxmlformats.org/spreadsheetml/2006/main">
  <numFmts count="13">
    <numFmt numFmtId="164" formatCode="General"/>
    <numFmt numFmtId="165" formatCode="#,##0.0000"/>
    <numFmt numFmtId="166" formatCode="#,##0.000"/>
    <numFmt numFmtId="167" formatCode="#,##0.000000000"/>
    <numFmt numFmtId="168" formatCode="#,##0.000000"/>
    <numFmt numFmtId="169" formatCode="0.00"/>
    <numFmt numFmtId="170" formatCode="#,##0.00"/>
    <numFmt numFmtId="171" formatCode="#,##0.0"/>
    <numFmt numFmtId="172" formatCode="#,##0"/>
    <numFmt numFmtId="173" formatCode="0.0000"/>
    <numFmt numFmtId="174" formatCode="#,##0.00000000"/>
    <numFmt numFmtId="175" formatCode="0.00000"/>
    <numFmt numFmtId="176" formatCode="0"/>
  </numFmts>
  <fonts count="4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5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i val="true"/>
      <sz val="11"/>
      <color rgb="FF000000"/>
      <name val="Arial"/>
      <family val="2"/>
      <charset val="1"/>
    </font>
    <font>
      <b val="true"/>
      <i val="true"/>
      <sz val="10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10"/>
      <color rgb="FFFF0000"/>
      <name val="Arial"/>
      <family val="2"/>
      <charset val="1"/>
    </font>
    <font>
      <b val="true"/>
      <i val="true"/>
      <sz val="11"/>
      <color rgb="FFFF0000"/>
      <name val="Arial"/>
      <family val="2"/>
      <charset val="1"/>
    </font>
    <font>
      <b val="true"/>
      <sz val="10"/>
      <color rgb="FF000000"/>
      <name val="ArialMT"/>
      <family val="0"/>
      <charset val="1"/>
    </font>
    <font>
      <i val="true"/>
      <sz val="10"/>
      <color rgb="FF000000"/>
      <name val="Arial"/>
      <family val="2"/>
      <charset val="1"/>
    </font>
    <font>
      <sz val="11"/>
      <color rgb="FFFF0000"/>
      <name val="Arial"/>
      <family val="2"/>
      <charset val="1"/>
    </font>
    <font>
      <i val="true"/>
      <sz val="11"/>
      <color rgb="FF000000"/>
      <name val="Arial"/>
      <family val="2"/>
      <charset val="1"/>
    </font>
    <font>
      <sz val="16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002060"/>
      <name val="Calibri"/>
      <family val="2"/>
      <charset val="1"/>
    </font>
    <font>
      <b val="true"/>
      <sz val="14"/>
      <color rgb="FFFF0000"/>
      <name val="Impact"/>
      <family val="2"/>
      <charset val="1"/>
    </font>
    <font>
      <b val="true"/>
      <sz val="11"/>
      <color rgb="FF000000"/>
      <name val="Arial"/>
      <family val="2"/>
      <charset val="1"/>
    </font>
    <font>
      <sz val="18"/>
      <color rgb="FF000000"/>
      <name val="Arial"/>
      <family val="2"/>
      <charset val="1"/>
    </font>
    <font>
      <sz val="8"/>
      <color rgb="FF000000"/>
      <name val="Arial"/>
      <family val="2"/>
      <charset val="1"/>
    </font>
    <font>
      <sz val="36"/>
      <color rgb="FF000000"/>
      <name val="Arial"/>
      <family val="2"/>
      <charset val="1"/>
    </font>
    <font>
      <sz val="11"/>
      <color rgb="FF000000"/>
      <name val="Times New Roman"/>
      <family val="1"/>
      <charset val="1"/>
    </font>
    <font>
      <sz val="12"/>
      <color rgb="FF000000"/>
      <name val="Times New Roman"/>
      <family val="1"/>
      <charset val="1"/>
    </font>
    <font>
      <sz val="18"/>
      <color rgb="FFFF0000"/>
      <name val="Arial"/>
      <family val="2"/>
      <charset val="1"/>
    </font>
    <font>
      <b val="true"/>
      <sz val="16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b val="true"/>
      <i val="true"/>
      <sz val="14"/>
      <color rgb="FF000000"/>
      <name val="Calibri"/>
      <family val="2"/>
      <charset val="1"/>
    </font>
    <font>
      <b val="true"/>
      <sz val="11"/>
      <color rgb="FF4472C4"/>
      <name val="Calibri"/>
      <family val="2"/>
      <charset val="1"/>
    </font>
    <font>
      <i val="true"/>
      <sz val="10"/>
      <name val="Arial"/>
      <family val="2"/>
      <charset val="1"/>
    </font>
    <font>
      <b val="true"/>
      <i val="true"/>
      <sz val="14"/>
      <color rgb="FF000000"/>
      <name val="Arial"/>
      <family val="2"/>
      <charset val="1"/>
    </font>
    <font>
      <i val="true"/>
      <u val="single"/>
      <sz val="14"/>
      <color rgb="FF000000"/>
      <name val="Arial"/>
      <family val="2"/>
      <charset val="1"/>
    </font>
    <font>
      <b val="true"/>
      <sz val="16"/>
      <color rgb="FF000000"/>
      <name val="Arial"/>
      <family val="2"/>
      <charset val="1"/>
    </font>
    <font>
      <sz val="14"/>
      <color rgb="FF000000"/>
      <name val="Arial"/>
      <family val="2"/>
      <charset val="1"/>
    </font>
    <font>
      <u val="single"/>
      <sz val="12"/>
      <color rgb="FF000000"/>
      <name val="Arial"/>
      <family val="2"/>
      <charset val="1"/>
    </font>
    <font>
      <sz val="12"/>
      <color rgb="FFFF0000"/>
      <name val="Arial"/>
      <family val="2"/>
      <charset val="1"/>
    </font>
    <font>
      <sz val="10"/>
      <color rgb="FF000000"/>
      <name val="ArialMT"/>
      <family val="0"/>
      <charset val="1"/>
    </font>
    <font>
      <i val="true"/>
      <sz val="10"/>
      <color rgb="FF000000"/>
      <name val="Arial-ItalicMT"/>
      <family val="0"/>
      <charset val="1"/>
    </font>
    <font>
      <sz val="10"/>
      <color rgb="FF000000"/>
      <name val="Arial-ItalicMT"/>
      <family val="0"/>
      <charset val="1"/>
    </font>
    <font>
      <u val="single"/>
      <sz val="14"/>
      <color rgb="FF000000"/>
      <name val="Arial"/>
      <family val="2"/>
      <charset val="1"/>
    </font>
    <font>
      <b val="true"/>
      <sz val="10"/>
      <color rgb="FF000000"/>
      <name val="Calibri"/>
      <family val="2"/>
      <charset val="1"/>
    </font>
    <font>
      <u val="single"/>
      <sz val="14"/>
      <name val="Arial"/>
      <family val="2"/>
      <charset val="1"/>
    </font>
    <font>
      <sz val="10"/>
      <name val="Arial"/>
      <family val="2"/>
      <charset val="1"/>
    </font>
    <font>
      <b val="true"/>
      <i val="true"/>
      <sz val="14"/>
      <name val="Arial"/>
      <family val="2"/>
      <charset val="1"/>
    </font>
    <font>
      <i val="true"/>
      <u val="single"/>
      <sz val="14"/>
      <name val="Arial"/>
      <family val="2"/>
      <charset val="1"/>
    </font>
  </fonts>
  <fills count="25">
    <fill>
      <patternFill patternType="none"/>
    </fill>
    <fill>
      <patternFill patternType="gray125"/>
    </fill>
    <fill>
      <patternFill patternType="solid">
        <fgColor rgb="FFD9D9D9"/>
        <bgColor rgb="FFCFE2F3"/>
      </patternFill>
    </fill>
    <fill>
      <patternFill patternType="solid">
        <fgColor rgb="FFFFFF00"/>
        <bgColor rgb="FFFFFF38"/>
      </patternFill>
    </fill>
    <fill>
      <patternFill patternType="solid">
        <fgColor rgb="FFCFE2F3"/>
        <bgColor rgb="FFC9DAF8"/>
      </patternFill>
    </fill>
    <fill>
      <patternFill patternType="solid">
        <fgColor rgb="FFFF0000"/>
        <bgColor rgb="FF993300"/>
      </patternFill>
    </fill>
    <fill>
      <patternFill patternType="solid">
        <fgColor rgb="FFFF9900"/>
        <bgColor rgb="FFE69138"/>
      </patternFill>
    </fill>
    <fill>
      <patternFill patternType="solid">
        <fgColor rgb="FF6AA84F"/>
        <bgColor rgb="FF93C47D"/>
      </patternFill>
    </fill>
    <fill>
      <patternFill patternType="solid">
        <fgColor rgb="FF93C47D"/>
        <bgColor rgb="FF92D050"/>
      </patternFill>
    </fill>
    <fill>
      <patternFill patternType="solid">
        <fgColor rgb="FFFFE699"/>
        <bgColor rgb="FFEFEFEF"/>
      </patternFill>
    </fill>
    <fill>
      <patternFill patternType="solid">
        <fgColor rgb="FF92D050"/>
        <bgColor rgb="FF93C47D"/>
      </patternFill>
    </fill>
    <fill>
      <patternFill patternType="solid">
        <fgColor rgb="FFFFC000"/>
        <bgColor rgb="FFFBBC04"/>
      </patternFill>
    </fill>
    <fill>
      <patternFill patternType="solid">
        <fgColor rgb="FFEFEFEF"/>
        <bgColor rgb="FFFFFFFF"/>
      </patternFill>
    </fill>
    <fill>
      <patternFill patternType="solid">
        <fgColor rgb="FFFFFFFF"/>
        <bgColor rgb="FFEFEFEF"/>
      </patternFill>
    </fill>
    <fill>
      <patternFill patternType="solid">
        <fgColor rgb="FF729FCF"/>
        <bgColor rgb="FF4472C4"/>
      </patternFill>
    </fill>
    <fill>
      <patternFill patternType="solid">
        <fgColor rgb="FF81D41A"/>
        <bgColor rgb="FF92D050"/>
      </patternFill>
    </fill>
    <fill>
      <patternFill patternType="solid">
        <fgColor rgb="FFFFFF38"/>
        <bgColor rgb="FFFFFF00"/>
      </patternFill>
    </fill>
    <fill>
      <patternFill patternType="solid">
        <fgColor rgb="FFF1C232"/>
        <bgColor rgb="FFFBBC04"/>
      </patternFill>
    </fill>
    <fill>
      <patternFill patternType="solid">
        <fgColor rgb="FFF6B26B"/>
        <bgColor rgb="FFF1C232"/>
      </patternFill>
    </fill>
    <fill>
      <patternFill patternType="solid">
        <fgColor rgb="FFC9DAF8"/>
        <bgColor rgb="FFCFE2F3"/>
      </patternFill>
    </fill>
    <fill>
      <patternFill patternType="solid">
        <fgColor rgb="FF00FF00"/>
        <bgColor rgb="FF81D41A"/>
      </patternFill>
    </fill>
    <fill>
      <patternFill patternType="solid">
        <fgColor rgb="FFB7E1CD"/>
        <bgColor rgb="FFC6E0B4"/>
      </patternFill>
    </fill>
    <fill>
      <patternFill patternType="solid">
        <fgColor rgb="FFE69138"/>
        <bgColor rgb="FFFF9900"/>
      </patternFill>
    </fill>
    <fill>
      <patternFill patternType="solid">
        <fgColor rgb="FFFBBC04"/>
        <bgColor rgb="FFFFC000"/>
      </patternFill>
    </fill>
    <fill>
      <patternFill patternType="solid">
        <fgColor rgb="FFC6E0B4"/>
        <bgColor rgb="FFB7E1CD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5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6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7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8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7" fillId="9" borderId="1" xfId="0" applyFont="true" applyBorder="true" applyAlignment="true" applyProtection="false">
      <alignment horizontal="center" vertical="bottom" textRotation="45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5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8" fillId="5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6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6" fillId="0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8" fillId="1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8" fillId="5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7" fillId="11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17" fillId="11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6" fillId="1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6" fillId="5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0" fillId="9" borderId="1" xfId="0" applyFont="true" applyBorder="true" applyAlignment="true" applyProtection="false">
      <alignment horizontal="center" vertical="bottom" textRotation="45" wrapText="false" indent="0" shrinkToFit="false"/>
      <protection locked="true" hidden="false"/>
    </xf>
    <xf numFmtId="165" fontId="5" fillId="1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1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2" fillId="5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2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4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25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22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2" fillId="14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22" fillId="1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6" fillId="16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6" fillId="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6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6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6" fillId="5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6" fillId="5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8" fillId="5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5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6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5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6" fillId="5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6" fillId="5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9" fillId="5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0" fontId="8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1" fillId="5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1" fontId="17" fillId="5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3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17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18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19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1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3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2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2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2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5" fillId="21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35" fillId="2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5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3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3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2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2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2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5" fillId="5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1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3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3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7" fillId="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8" fillId="0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8" fillId="10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6" fillId="10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8" fillId="13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4" fontId="18" fillId="13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25" fillId="13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1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1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2" fillId="17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2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5" fontId="16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76" fontId="8" fillId="5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6" fontId="16" fillId="5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73" fontId="5" fillId="5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3" fontId="5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5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6" fontId="5" fillId="5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5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2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2" fontId="5" fillId="1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8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1" fillId="24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1" fontId="17" fillId="24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5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4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5" fontId="44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8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4" fontId="1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25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2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1" fontId="1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3" fontId="4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8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5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6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9" fillId="5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>
          <bgColor rgb="FFB7E1CD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9D9D9"/>
      <rgbColor rgb="FF92D050"/>
      <rgbColor rgb="FF729FCF"/>
      <rgbColor rgb="FF993366"/>
      <rgbColor rgb="FFEFEFEF"/>
      <rgbColor rgb="FFCFE2F3"/>
      <rgbColor rgb="FF660066"/>
      <rgbColor rgb="FFE69138"/>
      <rgbColor rgb="FF0066CC"/>
      <rgbColor rgb="FFC9DAF8"/>
      <rgbColor rgb="FF000080"/>
      <rgbColor rgb="FFFF00FF"/>
      <rgbColor rgb="FFFFFF38"/>
      <rgbColor rgb="FF00FFFF"/>
      <rgbColor rgb="FF800080"/>
      <rgbColor rgb="FF800000"/>
      <rgbColor rgb="FF008080"/>
      <rgbColor rgb="FF0000FF"/>
      <rgbColor rgb="FF00CCFF"/>
      <rgbColor rgb="FFCCFFFF"/>
      <rgbColor rgb="FFC6E0B4"/>
      <rgbColor rgb="FFFFE699"/>
      <rgbColor rgb="FFB7E1CD"/>
      <rgbColor rgb="FFF1C232"/>
      <rgbColor rgb="FFCC99FF"/>
      <rgbColor rgb="FFF6B26B"/>
      <rgbColor rgb="FF4472C4"/>
      <rgbColor rgb="FF33CCCC"/>
      <rgbColor rgb="FF81D41A"/>
      <rgbColor rgb="FFFFC000"/>
      <rgbColor rgb="FFFF9900"/>
      <rgbColor rgb="FFFBBC04"/>
      <rgbColor rgb="FF666699"/>
      <rgbColor rgb="FF93C47D"/>
      <rgbColor rgb="FF002060"/>
      <rgbColor rgb="FF6AA84F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3.png"/><Relationship Id="rId3" Type="http://schemas.openxmlformats.org/officeDocument/2006/relationships/image" Target="../media/image4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5.png"/><Relationship Id="rId2" Type="http://schemas.openxmlformats.org/officeDocument/2006/relationships/image" Target="../media/image6.png"/><Relationship Id="rId3" Type="http://schemas.openxmlformats.org/officeDocument/2006/relationships/image" Target="../media/image7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5</xdr:col>
      <xdr:colOff>942840</xdr:colOff>
      <xdr:row>4</xdr:row>
      <xdr:rowOff>47520</xdr:rowOff>
    </xdr:from>
    <xdr:to>
      <xdr:col>9</xdr:col>
      <xdr:colOff>308880</xdr:colOff>
      <xdr:row>6</xdr:row>
      <xdr:rowOff>84960</xdr:rowOff>
    </xdr:to>
    <xdr:pic>
      <xdr:nvPicPr>
        <xdr:cNvPr id="0" name="image2.png" descr=""/>
        <xdr:cNvPicPr/>
      </xdr:nvPicPr>
      <xdr:blipFill>
        <a:blip r:embed="rId1"/>
        <a:stretch/>
      </xdr:blipFill>
      <xdr:spPr>
        <a:xfrm>
          <a:off x="6032160" y="847440"/>
          <a:ext cx="3437640" cy="4374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4</xdr:col>
      <xdr:colOff>352440</xdr:colOff>
      <xdr:row>62</xdr:row>
      <xdr:rowOff>28440</xdr:rowOff>
    </xdr:from>
    <xdr:to>
      <xdr:col>5</xdr:col>
      <xdr:colOff>981360</xdr:colOff>
      <xdr:row>67</xdr:row>
      <xdr:rowOff>56160</xdr:rowOff>
    </xdr:to>
    <xdr:pic>
      <xdr:nvPicPr>
        <xdr:cNvPr id="1" name="image1.png" descr=""/>
        <xdr:cNvPicPr/>
      </xdr:nvPicPr>
      <xdr:blipFill>
        <a:blip r:embed="rId1"/>
        <a:stretch/>
      </xdr:blipFill>
      <xdr:spPr>
        <a:xfrm>
          <a:off x="4726080" y="12220200"/>
          <a:ext cx="1647000" cy="83736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4</xdr:col>
      <xdr:colOff>352440</xdr:colOff>
      <xdr:row>66</xdr:row>
      <xdr:rowOff>9720</xdr:rowOff>
    </xdr:from>
    <xdr:to>
      <xdr:col>6</xdr:col>
      <xdr:colOff>116280</xdr:colOff>
      <xdr:row>73</xdr:row>
      <xdr:rowOff>18360</xdr:rowOff>
    </xdr:to>
    <xdr:pic>
      <xdr:nvPicPr>
        <xdr:cNvPr id="2" name="image3.png" descr=""/>
        <xdr:cNvPicPr/>
      </xdr:nvPicPr>
      <xdr:blipFill>
        <a:blip r:embed="rId2"/>
        <a:stretch/>
      </xdr:blipFill>
      <xdr:spPr>
        <a:xfrm>
          <a:off x="4726080" y="12849120"/>
          <a:ext cx="1799640" cy="11707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5</xdr:col>
      <xdr:colOff>666720</xdr:colOff>
      <xdr:row>80</xdr:row>
      <xdr:rowOff>171360</xdr:rowOff>
    </xdr:from>
    <xdr:to>
      <xdr:col>7</xdr:col>
      <xdr:colOff>1004400</xdr:colOff>
      <xdr:row>90</xdr:row>
      <xdr:rowOff>46800</xdr:rowOff>
    </xdr:to>
    <xdr:pic>
      <xdr:nvPicPr>
        <xdr:cNvPr id="3" name="image4.png" descr=""/>
        <xdr:cNvPicPr/>
      </xdr:nvPicPr>
      <xdr:blipFill>
        <a:blip r:embed="rId3"/>
        <a:stretch/>
      </xdr:blipFill>
      <xdr:spPr>
        <a:xfrm>
          <a:off x="6058440" y="15649200"/>
          <a:ext cx="2494080" cy="17996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4</xdr:col>
      <xdr:colOff>352440</xdr:colOff>
      <xdr:row>84</xdr:row>
      <xdr:rowOff>9360</xdr:rowOff>
    </xdr:from>
    <xdr:to>
      <xdr:col>6</xdr:col>
      <xdr:colOff>116280</xdr:colOff>
      <xdr:row>91</xdr:row>
      <xdr:rowOff>18000</xdr:rowOff>
    </xdr:to>
    <xdr:pic>
      <xdr:nvPicPr>
        <xdr:cNvPr id="4" name="image3.png" descr=""/>
        <xdr:cNvPicPr/>
      </xdr:nvPicPr>
      <xdr:blipFill>
        <a:blip r:embed="rId1"/>
        <a:stretch/>
      </xdr:blipFill>
      <xdr:spPr>
        <a:xfrm>
          <a:off x="4273560" y="16182720"/>
          <a:ext cx="1799640" cy="11707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4</xdr:col>
      <xdr:colOff>352440</xdr:colOff>
      <xdr:row>84</xdr:row>
      <xdr:rowOff>28440</xdr:rowOff>
    </xdr:from>
    <xdr:to>
      <xdr:col>5</xdr:col>
      <xdr:colOff>981720</xdr:colOff>
      <xdr:row>89</xdr:row>
      <xdr:rowOff>56160</xdr:rowOff>
    </xdr:to>
    <xdr:pic>
      <xdr:nvPicPr>
        <xdr:cNvPr id="5" name="image1.png" descr=""/>
        <xdr:cNvPicPr/>
      </xdr:nvPicPr>
      <xdr:blipFill>
        <a:blip r:embed="rId2"/>
        <a:stretch/>
      </xdr:blipFill>
      <xdr:spPr>
        <a:xfrm>
          <a:off x="4273560" y="16201800"/>
          <a:ext cx="1647000" cy="83736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6</xdr:col>
      <xdr:colOff>352440</xdr:colOff>
      <xdr:row>87</xdr:row>
      <xdr:rowOff>9360</xdr:rowOff>
    </xdr:from>
    <xdr:to>
      <xdr:col>7</xdr:col>
      <xdr:colOff>811800</xdr:colOff>
      <xdr:row>93</xdr:row>
      <xdr:rowOff>180000</xdr:rowOff>
    </xdr:to>
    <xdr:pic>
      <xdr:nvPicPr>
        <xdr:cNvPr id="6" name="image3.png" descr=""/>
        <xdr:cNvPicPr/>
      </xdr:nvPicPr>
      <xdr:blipFill>
        <a:blip r:embed="rId3"/>
        <a:stretch/>
      </xdr:blipFill>
      <xdr:spPr>
        <a:xfrm>
          <a:off x="6309360" y="16668360"/>
          <a:ext cx="1799640" cy="117072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 zeroHeight="false" outlineLevelRow="0" outlineLevelCol="0"/>
  <cols>
    <col collapsed="false" customWidth="true" hidden="false" outlineLevel="0" max="1025" min="1" style="0" width="14.43"/>
  </cols>
  <sheetData>
    <row r="1" customFormat="false" ht="15.75" hidden="false" customHeight="true" outlineLevel="0" collapsed="false">
      <c r="A1" s="1" t="s">
        <v>0</v>
      </c>
    </row>
    <row r="2" customFormat="false" ht="15.75" hidden="false" customHeight="false" outlineLevel="0" collapsed="false">
      <c r="A2" s="2" t="s">
        <v>1</v>
      </c>
    </row>
    <row r="3" customFormat="false" ht="15.75" hidden="false" customHeight="false" outlineLevel="0" collapsed="false">
      <c r="A3" s="2" t="s">
        <v>2</v>
      </c>
    </row>
    <row r="4" customFormat="false" ht="15.75" hidden="false" customHeight="false" outlineLevel="0" collapsed="false">
      <c r="A4" s="2" t="s">
        <v>3</v>
      </c>
    </row>
    <row r="5" customFormat="false" ht="15.75" hidden="false" customHeight="false" outlineLevel="0" collapsed="false">
      <c r="A5" s="2" t="s">
        <v>4</v>
      </c>
    </row>
    <row r="6" customFormat="false" ht="15.75" hidden="false" customHeight="false" outlineLevel="0" collapsed="false">
      <c r="A6" s="2" t="s">
        <v>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75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J27" activeCellId="0" sqref="J27"/>
    </sheetView>
  </sheetViews>
  <sheetFormatPr defaultRowHeight="15.75" zeroHeight="false" outlineLevelRow="0" outlineLevelCol="0"/>
  <cols>
    <col collapsed="false" customWidth="true" hidden="false" outlineLevel="0" max="1025" min="1" style="0" width="14.43"/>
  </cols>
  <sheetData>
    <row r="1" customFormat="false" ht="15.75" hidden="false" customHeight="false" outlineLevel="0" collapsed="false">
      <c r="A1" s="114" t="s">
        <v>185</v>
      </c>
    </row>
    <row r="2" customFormat="false" ht="15.75" hidden="false" customHeight="false" outlineLevel="0" collapsed="false">
      <c r="A2" s="114" t="s">
        <v>186</v>
      </c>
    </row>
    <row r="3" customFormat="false" ht="15.75" hidden="false" customHeight="false" outlineLevel="0" collapsed="false">
      <c r="A3" s="114" t="s">
        <v>52</v>
      </c>
    </row>
    <row r="4" customFormat="false" ht="15.75" hidden="false" customHeight="false" outlineLevel="0" collapsed="false">
      <c r="A4" s="114" t="s">
        <v>53</v>
      </c>
    </row>
    <row r="5" customFormat="false" ht="15.75" hidden="false" customHeight="false" outlineLevel="0" collapsed="false">
      <c r="A5" s="114" t="s">
        <v>187</v>
      </c>
    </row>
    <row r="6" customFormat="false" ht="15.75" hidden="false" customHeight="false" outlineLevel="0" collapsed="false">
      <c r="A6" s="114" t="s">
        <v>188</v>
      </c>
    </row>
    <row r="7" customFormat="false" ht="15.75" hidden="false" customHeight="false" outlineLevel="0" collapsed="false">
      <c r="A7" s="117" t="s">
        <v>63</v>
      </c>
      <c r="B7" s="117" t="s">
        <v>139</v>
      </c>
    </row>
    <row r="8" customFormat="false" ht="15.75" hidden="false" customHeight="false" outlineLevel="0" collapsed="false">
      <c r="A8" s="23" t="n">
        <v>0</v>
      </c>
      <c r="B8" s="23" t="n">
        <v>0.00528</v>
      </c>
    </row>
    <row r="9" customFormat="false" ht="15.75" hidden="false" customHeight="false" outlineLevel="0" collapsed="false">
      <c r="A9" s="23" t="n">
        <v>1</v>
      </c>
      <c r="B9" s="23" t="n">
        <v>0.13331</v>
      </c>
    </row>
    <row r="10" customFormat="false" ht="15.75" hidden="false" customHeight="false" outlineLevel="0" collapsed="false">
      <c r="A10" s="23" t="n">
        <v>2</v>
      </c>
      <c r="B10" s="149" t="n">
        <v>0.1097</v>
      </c>
    </row>
    <row r="11" customFormat="false" ht="15.75" hidden="false" customHeight="false" outlineLevel="0" collapsed="false">
      <c r="A11" s="23" t="n">
        <v>3</v>
      </c>
      <c r="B11" s="149" t="n">
        <v>0.0051</v>
      </c>
      <c r="F11" s="2" t="s">
        <v>171</v>
      </c>
      <c r="H11" s="2" t="n">
        <v>0.95</v>
      </c>
    </row>
    <row r="12" customFormat="false" ht="15.75" hidden="false" customHeight="false" outlineLevel="0" collapsed="false">
      <c r="A12" s="23" t="n">
        <v>4</v>
      </c>
      <c r="B12" s="23" t="n">
        <v>0.19582</v>
      </c>
    </row>
    <row r="13" customFormat="false" ht="15.75" hidden="false" customHeight="true" outlineLevel="0" collapsed="false">
      <c r="A13" s="23" t="n">
        <v>5</v>
      </c>
      <c r="B13" s="23" t="n">
        <v>0.20997</v>
      </c>
      <c r="F13" s="33" t="s">
        <v>59</v>
      </c>
    </row>
    <row r="14" customFormat="false" ht="15.75" hidden="false" customHeight="false" outlineLevel="0" collapsed="false">
      <c r="A14" s="23" t="n">
        <v>6</v>
      </c>
      <c r="B14" s="23" t="n">
        <v>0.13331</v>
      </c>
    </row>
    <row r="15" customFormat="false" ht="15.75" hidden="false" customHeight="false" outlineLevel="0" collapsed="false">
      <c r="A15" s="23" t="n">
        <v>7</v>
      </c>
      <c r="B15" s="23" t="n">
        <v>0.06691</v>
      </c>
      <c r="G15" s="10" t="s">
        <v>61</v>
      </c>
      <c r="H15" s="2" t="n">
        <v>40</v>
      </c>
    </row>
    <row r="16" customFormat="false" ht="15.75" hidden="false" customHeight="false" outlineLevel="0" collapsed="false">
      <c r="A16" s="23" t="n">
        <v>8</v>
      </c>
      <c r="B16" s="149" t="n">
        <v>0.0308</v>
      </c>
      <c r="F16" s="119" t="s">
        <v>141</v>
      </c>
      <c r="G16" s="119"/>
      <c r="H16" s="119"/>
    </row>
    <row r="17" customFormat="false" ht="15.75" hidden="false" customHeight="false" outlineLevel="0" collapsed="false">
      <c r="A17" s="23" t="n">
        <v>9</v>
      </c>
      <c r="B17" s="23" t="n">
        <v>0.05589</v>
      </c>
      <c r="F17" s="8" t="s">
        <v>65</v>
      </c>
      <c r="G17" s="8"/>
      <c r="H17" s="120" t="n">
        <f aca="false">1-H11</f>
        <v>0.05</v>
      </c>
    </row>
    <row r="18" customFormat="false" ht="15.75" hidden="false" customHeight="false" outlineLevel="0" collapsed="false">
      <c r="A18" s="23" t="n">
        <v>10</v>
      </c>
      <c r="B18" s="23" t="n">
        <v>0.11458</v>
      </c>
      <c r="F18" s="8" t="s">
        <v>67</v>
      </c>
      <c r="G18" s="8"/>
      <c r="H18" s="121" t="n">
        <f aca="false">1-H17/2</f>
        <v>0.975</v>
      </c>
    </row>
    <row r="19" customFormat="false" ht="15.75" hidden="false" customHeight="true" outlineLevel="0" collapsed="false">
      <c r="A19" s="23" t="n">
        <v>11</v>
      </c>
      <c r="B19" s="23" t="n">
        <v>0.02461</v>
      </c>
      <c r="F19" s="41" t="s">
        <v>68</v>
      </c>
      <c r="G19" s="41"/>
      <c r="H19" s="42" t="n">
        <f aca="false">NORMSINV(H18)</f>
        <v>1.95996398454005</v>
      </c>
    </row>
    <row r="20" customFormat="false" ht="15.75" hidden="false" customHeight="true" outlineLevel="0" collapsed="false">
      <c r="A20" s="23" t="n">
        <v>12</v>
      </c>
      <c r="B20" s="23" t="n">
        <v>0.17168</v>
      </c>
      <c r="F20" s="43" t="s">
        <v>69</v>
      </c>
      <c r="G20" s="43"/>
      <c r="H20" s="122" t="n">
        <f aca="false">(1/2)-H19*(1/(SQRT(12*H15)))</f>
        <v>0.410540292814142</v>
      </c>
    </row>
    <row r="21" customFormat="false" ht="15.75" hidden="false" customHeight="true" outlineLevel="0" collapsed="false">
      <c r="A21" s="23" t="n">
        <v>13</v>
      </c>
      <c r="B21" s="23" t="n">
        <v>0.17187</v>
      </c>
      <c r="F21" s="45" t="s">
        <v>70</v>
      </c>
      <c r="G21" s="45"/>
      <c r="H21" s="46" t="n">
        <f aca="false">AVERAGE(B8:B47)</f>
        <v>0.14564375</v>
      </c>
    </row>
    <row r="22" customFormat="false" ht="15.75" hidden="false" customHeight="true" outlineLevel="0" collapsed="false">
      <c r="A22" s="23" t="n">
        <v>14</v>
      </c>
      <c r="B22" s="149" t="n">
        <v>0.1097</v>
      </c>
      <c r="F22" s="47" t="s">
        <v>71</v>
      </c>
      <c r="G22" s="47"/>
      <c r="H22" s="123" t="n">
        <f aca="false">(1/2)+H19*(1/(SQRT(12*H15)))</f>
        <v>0.589459707185858</v>
      </c>
      <c r="I22" s="2" t="n">
        <v>49</v>
      </c>
    </row>
    <row r="23" customFormat="false" ht="15.75" hidden="false" customHeight="true" outlineLevel="0" collapsed="false">
      <c r="A23" s="23" t="n">
        <v>15</v>
      </c>
      <c r="B23" s="23" t="n">
        <v>0.02461</v>
      </c>
      <c r="G23" s="150" t="s">
        <v>189</v>
      </c>
    </row>
    <row r="24" customFormat="false" ht="12.75" hidden="false" customHeight="false" outlineLevel="0" collapsed="false">
      <c r="A24" s="23" t="n">
        <v>16</v>
      </c>
      <c r="B24" s="23" t="n">
        <v>0.23483</v>
      </c>
      <c r="G24" s="12" t="s">
        <v>190</v>
      </c>
    </row>
    <row r="25" customFormat="false" ht="12.75" hidden="false" customHeight="false" outlineLevel="0" collapsed="false">
      <c r="A25" s="23" t="n">
        <v>17</v>
      </c>
      <c r="B25" s="23" t="n">
        <v>0.19139</v>
      </c>
    </row>
    <row r="26" customFormat="false" ht="12.75" hidden="false" customHeight="false" outlineLevel="0" collapsed="false">
      <c r="A26" s="23" t="n">
        <v>18</v>
      </c>
      <c r="B26" s="23" t="n">
        <v>0.08312</v>
      </c>
    </row>
    <row r="27" customFormat="false" ht="12.75" hidden="false" customHeight="false" outlineLevel="0" collapsed="false">
      <c r="A27" s="23" t="n">
        <v>19</v>
      </c>
      <c r="B27" s="151" t="n">
        <v>0.05398</v>
      </c>
    </row>
    <row r="28" customFormat="false" ht="20.25" hidden="false" customHeight="false" outlineLevel="0" collapsed="false">
      <c r="A28" s="23" t="n">
        <v>20</v>
      </c>
      <c r="B28" s="151" t="n">
        <v>0.46994</v>
      </c>
      <c r="G28" s="33"/>
    </row>
    <row r="29" customFormat="false" ht="12.75" hidden="false" customHeight="false" outlineLevel="0" collapsed="false">
      <c r="A29" s="23" t="n">
        <v>21</v>
      </c>
      <c r="B29" s="152" t="n">
        <v>0.0767</v>
      </c>
    </row>
    <row r="30" customFormat="false" ht="15" hidden="false" customHeight="false" outlineLevel="0" collapsed="false">
      <c r="A30" s="23" t="n">
        <v>22</v>
      </c>
      <c r="B30" s="151" t="n">
        <v>0.11458</v>
      </c>
      <c r="G30" s="153"/>
      <c r="H30" s="153"/>
      <c r="I30" s="153"/>
    </row>
    <row r="31" customFormat="false" ht="14.25" hidden="false" customHeight="false" outlineLevel="0" collapsed="false">
      <c r="A31" s="23" t="n">
        <v>23</v>
      </c>
      <c r="B31" s="151" t="n">
        <v>0.06409</v>
      </c>
      <c r="G31" s="154"/>
      <c r="H31" s="154"/>
      <c r="I31" s="11"/>
    </row>
    <row r="32" customFormat="false" ht="14.25" hidden="false" customHeight="false" outlineLevel="0" collapsed="false">
      <c r="A32" s="23" t="n">
        <v>24</v>
      </c>
      <c r="B32" s="151" t="n">
        <v>0.49762</v>
      </c>
      <c r="G32" s="154"/>
      <c r="H32" s="154"/>
      <c r="I32" s="11"/>
    </row>
    <row r="33" customFormat="false" ht="14.25" hidden="false" customHeight="false" outlineLevel="0" collapsed="false">
      <c r="A33" s="23" t="n">
        <v>25</v>
      </c>
      <c r="B33" s="151" t="n">
        <v>0.00067</v>
      </c>
      <c r="G33" s="154"/>
      <c r="H33" s="154"/>
      <c r="I33" s="155"/>
    </row>
    <row r="34" customFormat="false" ht="15" hidden="false" customHeight="false" outlineLevel="0" collapsed="false">
      <c r="A34" s="23" t="n">
        <v>26</v>
      </c>
      <c r="B34" s="151" t="n">
        <v>0.03532</v>
      </c>
      <c r="G34" s="156"/>
      <c r="H34" s="156"/>
      <c r="I34" s="157"/>
    </row>
    <row r="35" customFormat="false" ht="15.75" hidden="false" customHeight="false" outlineLevel="0" collapsed="false">
      <c r="A35" s="23" t="n">
        <v>27</v>
      </c>
      <c r="B35" s="151" t="n">
        <v>0.31562</v>
      </c>
      <c r="G35" s="158"/>
      <c r="H35" s="158"/>
      <c r="I35" s="159"/>
    </row>
    <row r="36" customFormat="false" ht="12.75" hidden="false" customHeight="false" outlineLevel="0" collapsed="false">
      <c r="A36" s="23" t="n">
        <v>28</v>
      </c>
      <c r="B36" s="152" t="n">
        <v>0.0479</v>
      </c>
      <c r="G36" s="160"/>
      <c r="H36" s="160"/>
    </row>
    <row r="37" customFormat="false" ht="12.75" hidden="false" customHeight="false" outlineLevel="0" collapsed="false">
      <c r="A37" s="23" t="n">
        <v>29</v>
      </c>
      <c r="B37" s="151" t="n">
        <v>0.49762</v>
      </c>
      <c r="G37" s="161"/>
      <c r="H37" s="161"/>
    </row>
    <row r="38" customFormat="false" ht="12.75" hidden="false" customHeight="false" outlineLevel="0" collapsed="false">
      <c r="A38" s="23" t="n">
        <v>30</v>
      </c>
      <c r="B38" s="151" t="n">
        <v>0.00067</v>
      </c>
      <c r="G38" s="160"/>
      <c r="H38" s="160"/>
    </row>
    <row r="39" customFormat="false" ht="18" hidden="false" customHeight="false" outlineLevel="0" collapsed="false">
      <c r="A39" s="23" t="n">
        <v>31</v>
      </c>
      <c r="B39" s="151" t="n">
        <v>0.31562</v>
      </c>
      <c r="H39" s="124"/>
    </row>
    <row r="40" customFormat="false" ht="12.75" hidden="false" customHeight="false" outlineLevel="0" collapsed="false">
      <c r="A40" s="23" t="n">
        <v>32</v>
      </c>
      <c r="B40" s="151" t="n">
        <v>0.08719</v>
      </c>
    </row>
    <row r="41" customFormat="false" ht="21" hidden="false" customHeight="false" outlineLevel="0" collapsed="false">
      <c r="A41" s="23" t="n">
        <v>33</v>
      </c>
      <c r="B41" s="151" t="n">
        <v>0.21422</v>
      </c>
      <c r="E41" s="63"/>
      <c r="F41" s="63"/>
      <c r="G41" s="63"/>
      <c r="H41" s="63"/>
      <c r="I41" s="34"/>
      <c r="J41" s="34"/>
    </row>
    <row r="42" customFormat="false" ht="15" hidden="false" customHeight="false" outlineLevel="0" collapsed="false">
      <c r="A42" s="23" t="n">
        <v>34</v>
      </c>
      <c r="B42" s="151" t="n">
        <v>0.09439</v>
      </c>
      <c r="E42" s="35"/>
      <c r="F42" s="162"/>
      <c r="G42" s="34"/>
      <c r="H42" s="34"/>
      <c r="I42" s="34"/>
      <c r="J42" s="34"/>
    </row>
    <row r="43" customFormat="false" ht="15" hidden="false" customHeight="false" outlineLevel="0" collapsed="false">
      <c r="A43" s="23" t="n">
        <v>35</v>
      </c>
      <c r="B43" s="151" t="n">
        <v>0.18295</v>
      </c>
      <c r="E43" s="34"/>
      <c r="F43" s="34"/>
      <c r="G43" s="34"/>
      <c r="H43" s="34"/>
      <c r="I43" s="34"/>
      <c r="J43" s="34"/>
    </row>
    <row r="44" customFormat="false" ht="15" hidden="false" customHeight="false" outlineLevel="0" collapsed="false">
      <c r="A44" s="23" t="n">
        <v>36</v>
      </c>
      <c r="B44" s="151" t="n">
        <v>0.3836</v>
      </c>
      <c r="E44" s="163"/>
      <c r="F44" s="164"/>
      <c r="G44" s="165"/>
      <c r="H44" s="35"/>
      <c r="I44" s="34"/>
      <c r="J44" s="34"/>
    </row>
    <row r="45" customFormat="false" ht="15" hidden="false" customHeight="false" outlineLevel="0" collapsed="false">
      <c r="A45" s="23" t="n">
        <v>37</v>
      </c>
      <c r="B45" s="151" t="n">
        <v>0.19139</v>
      </c>
      <c r="E45" s="163"/>
      <c r="F45" s="164"/>
      <c r="G45" s="165"/>
      <c r="H45" s="35"/>
      <c r="I45" s="34"/>
      <c r="J45" s="34"/>
    </row>
    <row r="46" customFormat="false" ht="15" hidden="false" customHeight="false" outlineLevel="0" collapsed="false">
      <c r="A46" s="23" t="n">
        <v>38</v>
      </c>
      <c r="B46" s="151" t="n">
        <v>0.05398</v>
      </c>
      <c r="E46" s="163"/>
      <c r="F46" s="164"/>
      <c r="G46" s="165"/>
      <c r="H46" s="35"/>
      <c r="I46" s="34"/>
      <c r="J46" s="34"/>
    </row>
    <row r="47" customFormat="false" ht="15" hidden="false" customHeight="false" outlineLevel="0" collapsed="false">
      <c r="A47" s="23" t="n">
        <v>39</v>
      </c>
      <c r="B47" s="151" t="n">
        <v>0.05522</v>
      </c>
      <c r="E47" s="166"/>
      <c r="F47" s="164"/>
      <c r="G47" s="165"/>
      <c r="H47" s="35"/>
    </row>
    <row r="48" customFormat="false" ht="23.25" hidden="false" customHeight="false" outlineLevel="0" collapsed="false">
      <c r="E48" s="35"/>
      <c r="F48" s="164"/>
      <c r="G48" s="164"/>
      <c r="H48" s="167"/>
      <c r="I48" s="79"/>
      <c r="J48" s="34"/>
    </row>
    <row r="49" customFormat="false" ht="23.25" hidden="false" customHeight="false" outlineLevel="0" collapsed="false">
      <c r="D49" s="34"/>
      <c r="E49" s="79"/>
      <c r="F49" s="168"/>
      <c r="G49" s="34"/>
      <c r="H49" s="83"/>
      <c r="I49" s="83"/>
    </row>
    <row r="52" customFormat="false" ht="21" hidden="false" customHeight="false" outlineLevel="0" collapsed="false">
      <c r="D52" s="84"/>
    </row>
    <row r="54" customFormat="false" ht="12.75" hidden="false" customHeight="false" outlineLevel="0" collapsed="false">
      <c r="D54" s="169"/>
      <c r="E54" s="169"/>
      <c r="F54" s="169"/>
      <c r="G54" s="169"/>
      <c r="H54" s="169"/>
      <c r="I54" s="169"/>
    </row>
    <row r="55" customFormat="false" ht="12.75" hidden="false" customHeight="false" outlineLevel="0" collapsed="false">
      <c r="D55" s="169"/>
      <c r="E55" s="170"/>
      <c r="F55" s="171"/>
      <c r="G55" s="169"/>
      <c r="H55" s="169"/>
      <c r="I55" s="169"/>
    </row>
    <row r="56" customFormat="false" ht="14.25" hidden="false" customHeight="false" outlineLevel="0" collapsed="false">
      <c r="D56" s="169"/>
      <c r="E56" s="170"/>
      <c r="F56" s="171"/>
      <c r="G56" s="169"/>
      <c r="H56" s="169"/>
      <c r="I56" s="169"/>
      <c r="K56" s="62"/>
    </row>
    <row r="57" customFormat="false" ht="12.75" hidden="false" customHeight="false" outlineLevel="0" collapsed="false">
      <c r="D57" s="169"/>
      <c r="E57" s="170"/>
      <c r="F57" s="171"/>
      <c r="G57" s="169"/>
      <c r="H57" s="169"/>
      <c r="I57" s="169"/>
    </row>
    <row r="58" customFormat="false" ht="12.75" hidden="false" customHeight="false" outlineLevel="0" collapsed="false">
      <c r="D58" s="169"/>
      <c r="E58" s="170"/>
      <c r="F58" s="170"/>
      <c r="G58" s="169"/>
      <c r="H58" s="169"/>
      <c r="I58" s="169"/>
    </row>
    <row r="59" customFormat="false" ht="12.75" hidden="false" customHeight="false" outlineLevel="0" collapsed="false">
      <c r="D59" s="169"/>
      <c r="E59" s="170"/>
      <c r="F59" s="171"/>
      <c r="G59" s="169"/>
      <c r="H59" s="169"/>
      <c r="I59" s="169"/>
    </row>
    <row r="60" customFormat="false" ht="12.75" hidden="false" customHeight="false" outlineLevel="0" collapsed="false">
      <c r="D60" s="169"/>
      <c r="E60" s="170"/>
      <c r="F60" s="171"/>
      <c r="G60" s="169"/>
      <c r="H60" s="169"/>
      <c r="I60" s="169"/>
    </row>
    <row r="61" customFormat="false" ht="12.75" hidden="false" customHeight="false" outlineLevel="0" collapsed="false">
      <c r="D61" s="169"/>
      <c r="E61" s="170"/>
      <c r="F61" s="171"/>
      <c r="G61" s="169"/>
      <c r="H61" s="169"/>
      <c r="I61" s="169"/>
    </row>
    <row r="62" customFormat="false" ht="12.75" hidden="false" customHeight="false" outlineLevel="0" collapsed="false">
      <c r="D62" s="169"/>
      <c r="E62" s="170"/>
      <c r="F62" s="171"/>
      <c r="G62" s="169"/>
      <c r="H62" s="169"/>
      <c r="I62" s="169"/>
    </row>
    <row r="63" customFormat="false" ht="12.75" hidden="false" customHeight="false" outlineLevel="0" collapsed="false">
      <c r="D63" s="169"/>
      <c r="E63" s="170"/>
      <c r="F63" s="171"/>
      <c r="G63" s="169"/>
      <c r="H63" s="169"/>
      <c r="I63" s="169"/>
    </row>
    <row r="64" customFormat="false" ht="12.75" hidden="false" customHeight="false" outlineLevel="0" collapsed="false">
      <c r="D64" s="169"/>
      <c r="E64" s="170"/>
      <c r="F64" s="171"/>
      <c r="G64" s="169"/>
      <c r="H64" s="169"/>
      <c r="I64" s="169"/>
    </row>
    <row r="65" customFormat="false" ht="18.75" hidden="false" customHeight="false" outlineLevel="0" collapsed="false">
      <c r="D65" s="169"/>
      <c r="E65" s="170"/>
      <c r="F65" s="171"/>
      <c r="G65" s="169"/>
      <c r="H65" s="169"/>
      <c r="I65" s="172"/>
      <c r="J65" s="173"/>
    </row>
    <row r="66" customFormat="false" ht="12.75" hidden="false" customHeight="false" outlineLevel="0" collapsed="false">
      <c r="D66" s="169"/>
      <c r="E66" s="170"/>
      <c r="F66" s="171"/>
      <c r="G66" s="169"/>
      <c r="H66" s="169"/>
    </row>
    <row r="67" customFormat="false" ht="12.75" hidden="false" customHeight="false" outlineLevel="0" collapsed="false">
      <c r="D67" s="169"/>
      <c r="E67" s="170"/>
      <c r="F67" s="171"/>
      <c r="G67" s="169"/>
      <c r="H67" s="169"/>
    </row>
    <row r="68" customFormat="false" ht="12.75" hidden="false" customHeight="false" outlineLevel="0" collapsed="false">
      <c r="D68" s="169"/>
      <c r="E68" s="170"/>
      <c r="F68" s="171"/>
      <c r="G68" s="169"/>
      <c r="H68" s="169"/>
    </row>
    <row r="69" customFormat="false" ht="12.75" hidden="false" customHeight="false" outlineLevel="0" collapsed="false">
      <c r="D69" s="169"/>
      <c r="E69" s="170"/>
      <c r="F69" s="171"/>
      <c r="G69" s="169"/>
      <c r="H69" s="169"/>
    </row>
    <row r="70" customFormat="false" ht="12.75" hidden="false" customHeight="false" outlineLevel="0" collapsed="false">
      <c r="D70" s="169"/>
      <c r="E70" s="170"/>
      <c r="F70" s="170"/>
      <c r="G70" s="169"/>
      <c r="H70" s="169"/>
    </row>
    <row r="71" customFormat="false" ht="12.75" hidden="false" customHeight="false" outlineLevel="0" collapsed="false">
      <c r="D71" s="169"/>
      <c r="E71" s="170"/>
      <c r="F71" s="171"/>
      <c r="G71" s="169"/>
      <c r="H71" s="169"/>
    </row>
    <row r="72" customFormat="false" ht="12.75" hidden="false" customHeight="false" outlineLevel="0" collapsed="false">
      <c r="D72" s="169"/>
      <c r="E72" s="170"/>
      <c r="F72" s="171"/>
      <c r="G72" s="169"/>
      <c r="H72" s="169"/>
    </row>
    <row r="73" customFormat="false" ht="12.75" hidden="false" customHeight="false" outlineLevel="0" collapsed="false">
      <c r="D73" s="169"/>
      <c r="E73" s="170"/>
      <c r="F73" s="170"/>
      <c r="G73" s="169"/>
      <c r="H73" s="169"/>
    </row>
    <row r="74" customFormat="false" ht="12.75" hidden="false" customHeight="false" outlineLevel="0" collapsed="false">
      <c r="D74" s="169"/>
      <c r="E74" s="170"/>
      <c r="F74" s="171"/>
      <c r="G74" s="169"/>
      <c r="H74" s="169"/>
    </row>
    <row r="75" customFormat="false" ht="12.75" hidden="false" customHeight="false" outlineLevel="0" collapsed="false">
      <c r="F75" s="171"/>
    </row>
  </sheetData>
  <mergeCells count="18">
    <mergeCell ref="F16:H16"/>
    <mergeCell ref="F17:G17"/>
    <mergeCell ref="F18:G18"/>
    <mergeCell ref="F19:G19"/>
    <mergeCell ref="F20:G20"/>
    <mergeCell ref="F21:G21"/>
    <mergeCell ref="F22:G22"/>
    <mergeCell ref="G30:I30"/>
    <mergeCell ref="G31:H31"/>
    <mergeCell ref="G32:H32"/>
    <mergeCell ref="G33:H33"/>
    <mergeCell ref="G34:H34"/>
    <mergeCell ref="G35:H35"/>
    <mergeCell ref="G36:H36"/>
    <mergeCell ref="G37:H37"/>
    <mergeCell ref="G38:H38"/>
    <mergeCell ref="E41:H41"/>
    <mergeCell ref="H49:I4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52"/>
  <sheetViews>
    <sheetView showFormulas="false" showGridLines="true" showRowColHeaders="true" showZeros="true" rightToLeft="false" tabSelected="false" showOutlineSymbols="true" defaultGridColor="true" view="normal" topLeftCell="A25" colorId="64" zoomScale="100" zoomScaleNormal="100" zoomScalePageLayoutView="100" workbookViewId="0">
      <selection pane="topLeft" activeCell="E46" activeCellId="0" sqref="E46"/>
    </sheetView>
  </sheetViews>
  <sheetFormatPr defaultRowHeight="15.75" zeroHeight="false" outlineLevelRow="0" outlineLevelCol="0"/>
  <cols>
    <col collapsed="false" customWidth="true" hidden="false" outlineLevel="0" max="6" min="1" style="0" width="14.43"/>
    <col collapsed="false" customWidth="true" hidden="false" outlineLevel="0" max="7" min="7" style="0" width="18"/>
    <col collapsed="false" customWidth="true" hidden="false" outlineLevel="0" max="1025" min="8" style="0" width="14.43"/>
  </cols>
  <sheetData>
    <row r="1" customFormat="false" ht="15.75" hidden="false" customHeight="false" outlineLevel="0" collapsed="false">
      <c r="A1" s="2" t="s">
        <v>191</v>
      </c>
    </row>
    <row r="2" customFormat="false" ht="15.75" hidden="false" customHeight="false" outlineLevel="0" collapsed="false">
      <c r="A2" s="2" t="s">
        <v>186</v>
      </c>
    </row>
    <row r="3" customFormat="false" ht="15.75" hidden="false" customHeight="false" outlineLevel="0" collapsed="false">
      <c r="A3" s="2" t="s">
        <v>52</v>
      </c>
    </row>
    <row r="4" customFormat="false" ht="15.75" hidden="false" customHeight="false" outlineLevel="0" collapsed="false">
      <c r="A4" s="2" t="s">
        <v>53</v>
      </c>
    </row>
    <row r="5" customFormat="false" ht="15.75" hidden="false" customHeight="false" outlineLevel="0" collapsed="false">
      <c r="A5" s="2" t="s">
        <v>187</v>
      </c>
    </row>
    <row r="6" customFormat="false" ht="15.75" hidden="false" customHeight="false" outlineLevel="0" collapsed="false">
      <c r="A6" s="2" t="s">
        <v>192</v>
      </c>
    </row>
    <row r="7" customFormat="false" ht="15.75" hidden="false" customHeight="false" outlineLevel="0" collapsed="false">
      <c r="A7" s="2" t="s">
        <v>63</v>
      </c>
      <c r="B7" s="2" t="s">
        <v>139</v>
      </c>
    </row>
    <row r="8" customFormat="false" ht="15.75" hidden="false" customHeight="false" outlineLevel="0" collapsed="false">
      <c r="A8" s="2" t="n">
        <v>0</v>
      </c>
      <c r="B8" s="174" t="n">
        <v>0.00417</v>
      </c>
    </row>
    <row r="9" customFormat="false" ht="15.75" hidden="false" customHeight="false" outlineLevel="0" collapsed="false">
      <c r="A9" s="19" t="n">
        <f aca="false">A8+1</f>
        <v>1</v>
      </c>
      <c r="B9" s="174" t="n">
        <v>0.63331</v>
      </c>
    </row>
    <row r="10" customFormat="false" ht="15.75" hidden="false" customHeight="false" outlineLevel="0" collapsed="false">
      <c r="A10" s="19" t="n">
        <f aca="false">A9+1</f>
        <v>2</v>
      </c>
      <c r="B10" s="174" t="n">
        <v>0.6097</v>
      </c>
    </row>
    <row r="11" customFormat="false" ht="15.75" hidden="false" customHeight="false" outlineLevel="0" collapsed="false">
      <c r="A11" s="19" t="n">
        <f aca="false">A10+1</f>
        <v>3</v>
      </c>
      <c r="B11" s="174" t="n">
        <v>0.0049</v>
      </c>
      <c r="G11" s="2" t="s">
        <v>171</v>
      </c>
      <c r="I11" s="2" t="n">
        <v>0.95</v>
      </c>
    </row>
    <row r="12" customFormat="false" ht="15.75" hidden="false" customHeight="false" outlineLevel="0" collapsed="false">
      <c r="A12" s="19" t="n">
        <f aca="false">A11+1</f>
        <v>4</v>
      </c>
      <c r="B12" s="174" t="n">
        <v>0.69582</v>
      </c>
    </row>
    <row r="13" customFormat="false" ht="15.75" hidden="false" customHeight="true" outlineLevel="0" collapsed="false">
      <c r="A13" s="19" t="n">
        <f aca="false">A12+1</f>
        <v>5</v>
      </c>
      <c r="B13" s="174" t="n">
        <v>0.66006</v>
      </c>
      <c r="G13" s="33" t="s">
        <v>59</v>
      </c>
    </row>
    <row r="14" customFormat="false" ht="15.75" hidden="false" customHeight="false" outlineLevel="0" collapsed="false">
      <c r="A14" s="19" t="n">
        <f aca="false">A13+1</f>
        <v>6</v>
      </c>
      <c r="B14" s="174" t="n">
        <v>0.5308</v>
      </c>
    </row>
    <row r="15" customFormat="false" ht="15.75" hidden="false" customHeight="false" outlineLevel="0" collapsed="false">
      <c r="A15" s="19" t="n">
        <f aca="false">A14+1</f>
        <v>7</v>
      </c>
      <c r="B15" s="174" t="n">
        <v>0.55589</v>
      </c>
      <c r="H15" s="10" t="s">
        <v>61</v>
      </c>
      <c r="I15" s="2" t="n">
        <v>30</v>
      </c>
    </row>
    <row r="16" customFormat="false" ht="15.75" hidden="false" customHeight="false" outlineLevel="0" collapsed="false">
      <c r="A16" s="19" t="n">
        <f aca="false">A15+1</f>
        <v>8</v>
      </c>
      <c r="B16" s="174" t="n">
        <v>0.61458</v>
      </c>
      <c r="G16" s="119" t="s">
        <v>141</v>
      </c>
      <c r="H16" s="119"/>
      <c r="I16" s="119"/>
    </row>
    <row r="17" customFormat="false" ht="15.75" hidden="false" customHeight="false" outlineLevel="0" collapsed="false">
      <c r="A17" s="19" t="n">
        <f aca="false">A16+1</f>
        <v>9</v>
      </c>
      <c r="B17" s="174" t="n">
        <v>0.02461</v>
      </c>
      <c r="G17" s="8" t="s">
        <v>65</v>
      </c>
      <c r="H17" s="8"/>
      <c r="I17" s="120" t="n">
        <f aca="false">1-I11</f>
        <v>0.05</v>
      </c>
    </row>
    <row r="18" customFormat="false" ht="15.75" hidden="false" customHeight="false" outlineLevel="0" collapsed="false">
      <c r="A18" s="19" t="n">
        <f aca="false">A17+1</f>
        <v>10</v>
      </c>
      <c r="B18" s="174" t="n">
        <v>0.67168</v>
      </c>
      <c r="G18" s="8" t="s">
        <v>67</v>
      </c>
      <c r="H18" s="8"/>
      <c r="I18" s="121" t="n">
        <f aca="false">1-I17/2</f>
        <v>0.975</v>
      </c>
    </row>
    <row r="19" customFormat="false" ht="15.75" hidden="false" customHeight="true" outlineLevel="0" collapsed="false">
      <c r="A19" s="19" t="n">
        <f aca="false">A18+1</f>
        <v>11</v>
      </c>
      <c r="B19" s="174" t="n">
        <v>0.70997</v>
      </c>
      <c r="G19" s="41" t="s">
        <v>68</v>
      </c>
      <c r="H19" s="41"/>
      <c r="I19" s="42" t="n">
        <f aca="false">NORMSINV(I18)</f>
        <v>1.95996398454005</v>
      </c>
    </row>
    <row r="20" customFormat="false" ht="15.75" hidden="false" customHeight="true" outlineLevel="0" collapsed="false">
      <c r="A20" s="19" t="n">
        <f aca="false">A19+1</f>
        <v>12</v>
      </c>
      <c r="B20" s="174" t="n">
        <v>0.62372</v>
      </c>
      <c r="G20" s="43" t="s">
        <v>69</v>
      </c>
      <c r="H20" s="43"/>
      <c r="I20" s="122" t="n">
        <f aca="false">(1/2)-I19*(1/(SQRT(12*I15)))</f>
        <v>0.39670082794924</v>
      </c>
    </row>
    <row r="21" customFormat="false" ht="15.75" hidden="false" customHeight="true" outlineLevel="0" collapsed="false">
      <c r="A21" s="19" t="n">
        <f aca="false">A20+1</f>
        <v>13</v>
      </c>
      <c r="B21" s="174" t="n">
        <v>0.69139</v>
      </c>
      <c r="G21" s="45" t="s">
        <v>70</v>
      </c>
      <c r="H21" s="45"/>
      <c r="I21" s="46" t="n">
        <f aca="false">AVERAGE(B8:B37)</f>
        <v>0.535586333333333</v>
      </c>
    </row>
    <row r="22" customFormat="false" ht="15.75" hidden="false" customHeight="true" outlineLevel="0" collapsed="false">
      <c r="A22" s="19" t="n">
        <f aca="false">A21+1</f>
        <v>14</v>
      </c>
      <c r="B22" s="174" t="n">
        <v>0.58312</v>
      </c>
      <c r="G22" s="47" t="s">
        <v>71</v>
      </c>
      <c r="H22" s="47"/>
      <c r="I22" s="123" t="n">
        <f aca="false">(1/2)+I19*(1/(SQRT(12*I15)))</f>
        <v>0.60329917205076</v>
      </c>
    </row>
    <row r="23" customFormat="false" ht="15.75" hidden="false" customHeight="true" outlineLevel="0" collapsed="false">
      <c r="A23" s="19" t="n">
        <f aca="false">A22+1</f>
        <v>15</v>
      </c>
      <c r="B23" s="174" t="n">
        <v>0.05398</v>
      </c>
      <c r="H23" s="124" t="s">
        <v>142</v>
      </c>
    </row>
    <row r="24" customFormat="false" ht="12.75" hidden="false" customHeight="false" outlineLevel="0" collapsed="false">
      <c r="A24" s="19" t="n">
        <f aca="false">A23+1</f>
        <v>16</v>
      </c>
      <c r="B24" s="174" t="n">
        <v>0.46994</v>
      </c>
    </row>
    <row r="25" customFormat="false" ht="12.75" hidden="false" customHeight="false" outlineLevel="0" collapsed="false">
      <c r="A25" s="19" t="n">
        <f aca="false">A24+1</f>
        <v>17</v>
      </c>
      <c r="B25" s="174" t="n">
        <v>0.67187</v>
      </c>
    </row>
    <row r="26" customFormat="false" ht="12.75" hidden="false" customHeight="false" outlineLevel="0" collapsed="false">
      <c r="A26" s="19" t="n">
        <f aca="false">A25+1</f>
        <v>18</v>
      </c>
      <c r="B26" s="174" t="n">
        <v>0.99762</v>
      </c>
    </row>
    <row r="27" customFormat="false" ht="20.25" hidden="false" customHeight="false" outlineLevel="0" collapsed="false">
      <c r="A27" s="19" t="n">
        <f aca="false">A26+1</f>
        <v>19</v>
      </c>
      <c r="B27" s="174" t="n">
        <v>0.00067</v>
      </c>
      <c r="G27" s="33" t="s">
        <v>73</v>
      </c>
    </row>
    <row r="28" customFormat="false" ht="12.75" hidden="false" customHeight="false" outlineLevel="0" collapsed="false">
      <c r="A28" s="19" t="n">
        <f aca="false">A27+1</f>
        <v>20</v>
      </c>
      <c r="B28" s="174" t="n">
        <v>0.53532</v>
      </c>
      <c r="H28" s="2" t="s">
        <v>143</v>
      </c>
      <c r="I28" s="2" t="n">
        <v>30</v>
      </c>
    </row>
    <row r="29" customFormat="false" ht="15" hidden="false" customHeight="false" outlineLevel="0" collapsed="false">
      <c r="A29" s="19" t="n">
        <f aca="false">A28+1</f>
        <v>21</v>
      </c>
      <c r="B29" s="174" t="n">
        <v>0.81562</v>
      </c>
      <c r="G29" s="119" t="s">
        <v>73</v>
      </c>
      <c r="H29" s="119"/>
      <c r="I29" s="119"/>
    </row>
    <row r="30" customFormat="false" ht="14.25" hidden="false" customHeight="false" outlineLevel="0" collapsed="false">
      <c r="A30" s="19" t="n">
        <f aca="false">A29+1</f>
        <v>22</v>
      </c>
      <c r="B30" s="174" t="n">
        <v>0.5479</v>
      </c>
      <c r="G30" s="8" t="s">
        <v>65</v>
      </c>
      <c r="H30" s="8"/>
      <c r="I30" s="120" t="n">
        <v>0.05</v>
      </c>
    </row>
    <row r="31" customFormat="false" ht="14.25" hidden="false" customHeight="false" outlineLevel="0" collapsed="false">
      <c r="A31" s="19" t="n">
        <f aca="false">A30+1</f>
        <v>23</v>
      </c>
      <c r="B31" s="174" t="n">
        <v>0.5767</v>
      </c>
      <c r="G31" s="8" t="s">
        <v>144</v>
      </c>
      <c r="H31" s="8"/>
      <c r="I31" s="120" t="n">
        <f aca="false">I30/2</f>
        <v>0.025</v>
      </c>
    </row>
    <row r="32" customFormat="false" ht="14.25" hidden="false" customHeight="false" outlineLevel="0" collapsed="false">
      <c r="A32" s="19" t="n">
        <f aca="false">A31+1</f>
        <v>24</v>
      </c>
      <c r="B32" s="174" t="n">
        <v>0.58719</v>
      </c>
      <c r="G32" s="8" t="s">
        <v>67</v>
      </c>
      <c r="H32" s="8"/>
      <c r="I32" s="121" t="n">
        <f aca="false">1-(I30/2)</f>
        <v>0.975</v>
      </c>
    </row>
    <row r="33" customFormat="false" ht="15" hidden="false" customHeight="false" outlineLevel="0" collapsed="false">
      <c r="A33" s="19" t="n">
        <f aca="false">A32+1</f>
        <v>25</v>
      </c>
      <c r="B33" s="174" t="n">
        <v>0.60311</v>
      </c>
      <c r="G33" s="125" t="s">
        <v>75</v>
      </c>
      <c r="H33" s="125"/>
      <c r="I33" s="126" t="n">
        <f aca="false">_xlfn.CHISQ.INV(I31,I28-1)</f>
        <v>16.0470716953649</v>
      </c>
    </row>
    <row r="34" customFormat="false" ht="15.75" hidden="false" customHeight="false" outlineLevel="0" collapsed="false">
      <c r="A34" s="19" t="n">
        <f aca="false">A33+1</f>
        <v>26</v>
      </c>
      <c r="B34" s="174" t="n">
        <v>0.59439</v>
      </c>
      <c r="G34" s="127" t="s">
        <v>76</v>
      </c>
      <c r="H34" s="127"/>
      <c r="I34" s="42" t="n">
        <f aca="false">_xlfn.CHISQ.INV(I32,I28-1)</f>
        <v>45.7222858041745</v>
      </c>
    </row>
    <row r="35" customFormat="false" ht="12.75" hidden="false" customHeight="false" outlineLevel="0" collapsed="false">
      <c r="A35" s="19" t="n">
        <f aca="false">A34+1</f>
        <v>27</v>
      </c>
      <c r="B35" s="174" t="n">
        <v>0.68295</v>
      </c>
      <c r="G35" s="128" t="s">
        <v>78</v>
      </c>
      <c r="H35" s="128"/>
      <c r="I35" s="129" t="n">
        <f aca="false">I33/(12*(I28-1))</f>
        <v>0.0461122749866807</v>
      </c>
    </row>
    <row r="36" customFormat="false" ht="12.75" hidden="false" customHeight="false" outlineLevel="0" collapsed="false">
      <c r="A36" s="19" t="n">
        <f aca="false">A35+1</f>
        <v>28</v>
      </c>
      <c r="B36" s="174" t="n">
        <v>0.7725</v>
      </c>
      <c r="G36" s="130" t="s">
        <v>77</v>
      </c>
      <c r="H36" s="130"/>
      <c r="I36" s="131" t="n">
        <f aca="false">_xlfn.VAR.S(B8:B37)</f>
        <v>0.0653290800722987</v>
      </c>
    </row>
    <row r="37" customFormat="false" ht="12.75" hidden="false" customHeight="false" outlineLevel="0" collapsed="false">
      <c r="A37" s="19" t="n">
        <f aca="false">A36+1</f>
        <v>29</v>
      </c>
      <c r="B37" s="174" t="n">
        <v>0.54411</v>
      </c>
      <c r="G37" s="128" t="s">
        <v>79</v>
      </c>
      <c r="H37" s="128"/>
      <c r="I37" s="129" t="n">
        <f aca="false">I34/(12*(I28-1))</f>
        <v>0.131385878747628</v>
      </c>
    </row>
    <row r="38" customFormat="false" ht="18" hidden="false" customHeight="false" outlineLevel="0" collapsed="false">
      <c r="H38" s="124" t="s">
        <v>142</v>
      </c>
    </row>
    <row r="39" customFormat="false" ht="15.75" hidden="false" customHeight="true" outlineLevel="0" collapsed="false">
      <c r="B39" s="12" t="s">
        <v>193</v>
      </c>
    </row>
    <row r="40" customFormat="false" ht="21" hidden="false" customHeight="false" outlineLevel="0" collapsed="false">
      <c r="D40" s="63" t="s">
        <v>172</v>
      </c>
      <c r="E40" s="63"/>
      <c r="F40" s="63"/>
      <c r="G40" s="63"/>
      <c r="H40" s="34"/>
      <c r="I40" s="34"/>
    </row>
    <row r="41" customFormat="false" ht="15" hidden="false" customHeight="false" outlineLevel="0" collapsed="false">
      <c r="D41" s="35" t="s">
        <v>83</v>
      </c>
      <c r="E41" s="162" t="n">
        <v>5.47</v>
      </c>
      <c r="F41" s="34" t="s">
        <v>61</v>
      </c>
      <c r="G41" s="34" t="n">
        <v>30</v>
      </c>
      <c r="H41" s="34"/>
      <c r="I41" s="34"/>
    </row>
    <row r="42" customFormat="false" ht="15" hidden="false" customHeight="false" outlineLevel="0" collapsed="false">
      <c r="D42" s="68" t="s">
        <v>85</v>
      </c>
      <c r="E42" s="68" t="s">
        <v>86</v>
      </c>
      <c r="F42" s="68" t="s">
        <v>87</v>
      </c>
      <c r="G42" s="68" t="s">
        <v>88</v>
      </c>
      <c r="H42" s="64" t="s">
        <v>194</v>
      </c>
      <c r="I42" s="34"/>
    </row>
    <row r="43" customFormat="false" ht="15" hidden="false" customHeight="false" outlineLevel="0" collapsed="false">
      <c r="D43" s="175" t="s">
        <v>195</v>
      </c>
      <c r="E43" s="71" t="n">
        <f aca="false">COUNTIFS(B8:B37,"&gt;=0.0", B8:B37, "&lt;=0.20")</f>
        <v>0</v>
      </c>
      <c r="F43" s="176" t="n">
        <f aca="false">G41/E41</f>
        <v>5.48446069469836</v>
      </c>
      <c r="G43" s="177" t="n">
        <f aca="false">(F43-E43)^2/F43</f>
        <v>5.48446069469836</v>
      </c>
      <c r="H43" s="64" t="s">
        <v>196</v>
      </c>
      <c r="I43" s="34"/>
    </row>
    <row r="44" customFormat="false" ht="15" hidden="false" customHeight="false" outlineLevel="0" collapsed="false">
      <c r="D44" s="175" t="s">
        <v>197</v>
      </c>
      <c r="E44" s="71" t="n">
        <f aca="false">COUNTIFS(B8:B37,"&gt;0.20", B8:B37, "&lt;=0.40")</f>
        <v>0</v>
      </c>
      <c r="F44" s="176" t="n">
        <v>5.48</v>
      </c>
      <c r="G44" s="177" t="n">
        <f aca="false">(F44-E44)^2/F44</f>
        <v>5.48</v>
      </c>
      <c r="H44" s="64" t="s">
        <v>198</v>
      </c>
      <c r="I44" s="34"/>
    </row>
    <row r="45" customFormat="false" ht="15" hidden="false" customHeight="false" outlineLevel="0" collapsed="false">
      <c r="D45" s="175" t="s">
        <v>199</v>
      </c>
      <c r="E45" s="71" t="n">
        <f aca="false">COUNTIFS(B8:B37,"&gt;0.40", B8:B37, "&lt;=0.60")</f>
        <v>0</v>
      </c>
      <c r="F45" s="176" t="n">
        <v>5.48</v>
      </c>
      <c r="G45" s="177" t="n">
        <f aca="false">(F45-E45)^2/F45</f>
        <v>5.48</v>
      </c>
      <c r="H45" s="34"/>
      <c r="I45" s="34"/>
    </row>
    <row r="46" customFormat="false" ht="15" hidden="false" customHeight="false" outlineLevel="0" collapsed="false">
      <c r="D46" s="178" t="s">
        <v>200</v>
      </c>
      <c r="E46" s="71" t="n">
        <f aca="false">COUNTIFS(B8:B37,"&gt;0.60", B8:B37, "&lt;=0.80")</f>
        <v>0</v>
      </c>
      <c r="F46" s="176" t="n">
        <v>5.48</v>
      </c>
      <c r="G46" s="177" t="n">
        <f aca="false">(F46-E46)^2/F46</f>
        <v>5.48</v>
      </c>
    </row>
    <row r="47" customFormat="false" ht="15" hidden="false" customHeight="false" outlineLevel="0" collapsed="false">
      <c r="D47" s="178" t="s">
        <v>201</v>
      </c>
      <c r="E47" s="71" t="n">
        <f aca="false">COUNTIFS(B8:B37,"&gt;0.80", B8:B37, "&lt;=1")</f>
        <v>0</v>
      </c>
      <c r="F47" s="176" t="n">
        <v>5.48</v>
      </c>
      <c r="G47" s="177" t="n">
        <f aca="false">(F47-E47)^2/F47</f>
        <v>5.48</v>
      </c>
    </row>
    <row r="48" customFormat="false" ht="23.25" hidden="false" customHeight="false" outlineLevel="0" collapsed="false">
      <c r="D48" s="177" t="s">
        <v>95</v>
      </c>
      <c r="E48" s="71" t="n">
        <f aca="false">SUM(E43:E47)</f>
        <v>0</v>
      </c>
      <c r="F48" s="179" t="n">
        <f aca="false">SUM(F43:F47)</f>
        <v>27.4044606946984</v>
      </c>
      <c r="G48" s="180" t="n">
        <f aca="false">SUM(G43:G45)</f>
        <v>16.4444606946984</v>
      </c>
      <c r="H48" s="79"/>
      <c r="I48" s="34"/>
    </row>
    <row r="49" customFormat="false" ht="15" hidden="false" customHeight="false" outlineLevel="0" collapsed="false">
      <c r="D49" s="34"/>
      <c r="E49" s="35" t="s">
        <v>65</v>
      </c>
      <c r="F49" s="181" t="n">
        <v>0.05</v>
      </c>
      <c r="G49" s="34"/>
      <c r="H49" s="34"/>
      <c r="I49" s="34"/>
    </row>
    <row r="50" customFormat="false" ht="23.25" hidden="false" customHeight="false" outlineLevel="0" collapsed="false">
      <c r="D50" s="34"/>
      <c r="E50" s="147" t="s">
        <v>96</v>
      </c>
      <c r="F50" s="148" t="n">
        <f aca="false">_xlfn.CHISQ.INV.RT(F49,2)</f>
        <v>5.99146454710798</v>
      </c>
      <c r="G50" s="34"/>
      <c r="H50" s="83" t="s">
        <v>202</v>
      </c>
      <c r="I50" s="83"/>
    </row>
    <row r="51" customFormat="false" ht="15.75" hidden="false" customHeight="true" outlineLevel="0" collapsed="false">
      <c r="G51" s="12" t="s">
        <v>203</v>
      </c>
    </row>
    <row r="52" customFormat="false" ht="15.75" hidden="false" customHeight="true" outlineLevel="0" collapsed="false">
      <c r="G52" s="12" t="s">
        <v>204</v>
      </c>
    </row>
  </sheetData>
  <mergeCells count="18">
    <mergeCell ref="G16:I16"/>
    <mergeCell ref="G17:H17"/>
    <mergeCell ref="G18:H18"/>
    <mergeCell ref="G19:H19"/>
    <mergeCell ref="G20:H20"/>
    <mergeCell ref="G21:H21"/>
    <mergeCell ref="G22:H22"/>
    <mergeCell ref="G29:I29"/>
    <mergeCell ref="G30:H30"/>
    <mergeCell ref="G31:H31"/>
    <mergeCell ref="G32:H32"/>
    <mergeCell ref="G33:H33"/>
    <mergeCell ref="G34:H34"/>
    <mergeCell ref="G35:H35"/>
    <mergeCell ref="G36:H36"/>
    <mergeCell ref="G37:H37"/>
    <mergeCell ref="D40:G40"/>
    <mergeCell ref="H50:I5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O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2" activeCellId="0" sqref="D12"/>
    </sheetView>
  </sheetViews>
  <sheetFormatPr defaultRowHeight="15.75" zeroHeight="false" outlineLevelRow="0" outlineLevelCol="0"/>
  <cols>
    <col collapsed="false" customWidth="true" hidden="false" outlineLevel="0" max="1025" min="1" style="0" width="14.43"/>
  </cols>
  <sheetData>
    <row r="2" customFormat="false" ht="15.75" hidden="false" customHeight="false" outlineLevel="0" collapsed="false">
      <c r="A2" s="3" t="s">
        <v>6</v>
      </c>
      <c r="B2" s="4"/>
      <c r="C2" s="4"/>
      <c r="D2" s="4"/>
      <c r="E2" s="4"/>
      <c r="F2" s="4"/>
      <c r="G2" s="4"/>
      <c r="H2" s="4"/>
      <c r="I2" s="4"/>
    </row>
    <row r="3" customFormat="false" ht="15.75" hidden="false" customHeight="false" outlineLevel="0" collapsed="false">
      <c r="A3" s="5"/>
    </row>
    <row r="4" customFormat="false" ht="15.75" hidden="false" customHeight="false" outlineLevel="0" collapsed="false">
      <c r="A4" s="6" t="s">
        <v>7</v>
      </c>
      <c r="B4" s="6" t="s">
        <v>8</v>
      </c>
      <c r="C4" s="6" t="s">
        <v>9</v>
      </c>
      <c r="D4" s="6" t="s">
        <v>10</v>
      </c>
      <c r="E4" s="6" t="s">
        <v>11</v>
      </c>
      <c r="F4" s="6" t="s">
        <v>12</v>
      </c>
    </row>
    <row r="5" customFormat="false" ht="15.75" hidden="false" customHeight="false" outlineLevel="0" collapsed="false">
      <c r="A5" s="7" t="n">
        <v>0</v>
      </c>
      <c r="B5" s="7" t="n">
        <v>5015</v>
      </c>
      <c r="C5" s="7" t="n">
        <f aca="false">B5*B5</f>
        <v>25150225</v>
      </c>
      <c r="D5" s="8" t="n">
        <f aca="false">IF(ISEVEN(LEN(C5)),C5, concat(0,C5))</f>
        <v>25150225</v>
      </c>
      <c r="E5" s="7" t="str">
        <f aca="false">MID(D5,3,4)</f>
        <v>1502</v>
      </c>
      <c r="F5" s="9" t="n">
        <f aca="false">E5/10000</f>
        <v>0.1502</v>
      </c>
    </row>
    <row r="6" customFormat="false" ht="13.8" hidden="false" customHeight="false" outlineLevel="0" collapsed="false">
      <c r="A6" s="7" t="n">
        <v>1</v>
      </c>
      <c r="B6" s="7" t="str">
        <f aca="false">E5</f>
        <v>1502</v>
      </c>
      <c r="C6" s="7" t="n">
        <f aca="false">B6*B6</f>
        <v>2256004</v>
      </c>
      <c r="D6" s="8" t="str">
        <f aca="false">IF(ISEVEN(LEN(C6)),C6, _xlfn.CONCAT(0,C6))</f>
        <v>02256004</v>
      </c>
      <c r="E6" s="7" t="str">
        <f aca="false">MID(D6,3,4)</f>
        <v>2560</v>
      </c>
      <c r="F6" s="9" t="n">
        <f aca="false">E6/10000</f>
        <v>0.256</v>
      </c>
    </row>
    <row r="7" customFormat="false" ht="15.75" hidden="false" customHeight="false" outlineLevel="0" collapsed="false">
      <c r="A7" s="7" t="n">
        <v>2</v>
      </c>
      <c r="B7" s="7" t="str">
        <f aca="false">E6</f>
        <v>2560</v>
      </c>
      <c r="C7" s="7" t="n">
        <f aca="false">B7*B7</f>
        <v>6553600</v>
      </c>
      <c r="D7" s="8" t="str">
        <f aca="false">IF(ISEVEN(LEN(C7)),C7,_xlfn.CONCAT(0,C7))</f>
        <v>06553600</v>
      </c>
      <c r="E7" s="7" t="str">
        <f aca="false">MID(D7,3,4)</f>
        <v>5536</v>
      </c>
      <c r="F7" s="9" t="n">
        <f aca="false">E7/10000</f>
        <v>0.5536</v>
      </c>
    </row>
    <row r="8" customFormat="false" ht="15.75" hidden="false" customHeight="false" outlineLevel="0" collapsed="false">
      <c r="A8" s="7" t="n">
        <v>3</v>
      </c>
      <c r="B8" s="7" t="str">
        <f aca="false">E7</f>
        <v>5536</v>
      </c>
      <c r="C8" s="7" t="n">
        <f aca="false">B8*B8</f>
        <v>30647296</v>
      </c>
      <c r="D8" s="8" t="n">
        <f aca="false">IF(ISEVEN(LEN(C8)),C8, concat(0,C8))</f>
        <v>30647296</v>
      </c>
      <c r="E8" s="7" t="str">
        <f aca="false">MID(D8,3,4)</f>
        <v>6472</v>
      </c>
      <c r="F8" s="9" t="n">
        <f aca="false">E8/10000</f>
        <v>0.6472</v>
      </c>
      <c r="J8" s="10"/>
      <c r="K8" s="10"/>
      <c r="L8" s="10"/>
      <c r="M8" s="10"/>
      <c r="N8" s="10"/>
      <c r="O8" s="10"/>
    </row>
    <row r="9" customFormat="false" ht="15.75" hidden="false" customHeight="false" outlineLevel="0" collapsed="false">
      <c r="A9" s="7" t="n">
        <v>4</v>
      </c>
      <c r="B9" s="7" t="str">
        <f aca="false">E8</f>
        <v>6472</v>
      </c>
      <c r="C9" s="7" t="n">
        <f aca="false">B9*B9</f>
        <v>41886784</v>
      </c>
      <c r="D9" s="8" t="n">
        <f aca="false">IF(ISEVEN(LEN(C9)),C9, concat(0,C9))</f>
        <v>41886784</v>
      </c>
      <c r="E9" s="7" t="str">
        <f aca="false">MID(D9,3,4)</f>
        <v>8867</v>
      </c>
      <c r="F9" s="9" t="n">
        <f aca="false">E9/10000</f>
        <v>0.8867</v>
      </c>
      <c r="J9" s="10"/>
      <c r="K9" s="10"/>
      <c r="L9" s="10"/>
      <c r="M9" s="11"/>
      <c r="N9" s="10"/>
      <c r="O9" s="10"/>
    </row>
    <row r="10" customFormat="false" ht="15.75" hidden="false" customHeight="false" outlineLevel="0" collapsed="false">
      <c r="A10" s="7" t="n">
        <v>5</v>
      </c>
      <c r="B10" s="7" t="str">
        <f aca="false">E9</f>
        <v>8867</v>
      </c>
      <c r="C10" s="7" t="n">
        <f aca="false">B10*B10</f>
        <v>78623689</v>
      </c>
      <c r="D10" s="8" t="n">
        <f aca="false">IF(ISEVEN(LEN(C10)),C10, concat(0,C10))</f>
        <v>78623689</v>
      </c>
      <c r="E10" s="7" t="str">
        <f aca="false">MID(D10,3,4)</f>
        <v>6236</v>
      </c>
      <c r="F10" s="9" t="n">
        <f aca="false">E10/10000</f>
        <v>0.6236</v>
      </c>
      <c r="J10" s="10"/>
      <c r="K10" s="10"/>
      <c r="L10" s="10"/>
      <c r="M10" s="11"/>
      <c r="N10" s="10"/>
      <c r="O10" s="10"/>
    </row>
    <row r="11" customFormat="false" ht="15.75" hidden="false" customHeight="false" outlineLevel="0" collapsed="false">
      <c r="A11" s="7" t="n">
        <v>6</v>
      </c>
      <c r="B11" s="7" t="str">
        <f aca="false">E10</f>
        <v>6236</v>
      </c>
      <c r="C11" s="7" t="n">
        <f aca="false">B11*B11</f>
        <v>38887696</v>
      </c>
      <c r="D11" s="8" t="n">
        <f aca="false">IF(ISEVEN(LEN(C11)),C11, concat(0,C11))</f>
        <v>38887696</v>
      </c>
      <c r="E11" s="7" t="str">
        <f aca="false">MID(D11,3,4)</f>
        <v>8876</v>
      </c>
      <c r="F11" s="9" t="n">
        <f aca="false">E11/10000</f>
        <v>0.8876</v>
      </c>
      <c r="J11" s="10"/>
      <c r="K11" s="10"/>
      <c r="L11" s="10"/>
      <c r="M11" s="11"/>
      <c r="N11" s="10"/>
      <c r="O11" s="10"/>
    </row>
    <row r="12" customFormat="false" ht="15.75" hidden="false" customHeight="false" outlineLevel="0" collapsed="false">
      <c r="A12" s="7" t="n">
        <v>7</v>
      </c>
      <c r="B12" s="7" t="str">
        <f aca="false">E11</f>
        <v>8876</v>
      </c>
      <c r="C12" s="7" t="n">
        <f aca="false">B12*B12</f>
        <v>78783376</v>
      </c>
      <c r="D12" s="8" t="n">
        <f aca="false">IF(ISEVEN(LEN(C12)),C12, concat(0,C12))</f>
        <v>78783376</v>
      </c>
      <c r="E12" s="7" t="str">
        <f aca="false">MID(D12,3,4)</f>
        <v>7833</v>
      </c>
      <c r="F12" s="9" t="n">
        <f aca="false">E12/10000</f>
        <v>0.7833</v>
      </c>
      <c r="J12" s="10"/>
      <c r="K12" s="10"/>
      <c r="L12" s="10"/>
      <c r="M12" s="11"/>
      <c r="N12" s="10"/>
      <c r="O12" s="10"/>
    </row>
    <row r="13" customFormat="false" ht="15.75" hidden="false" customHeight="false" outlineLevel="0" collapsed="false">
      <c r="A13" s="7" t="n">
        <v>8</v>
      </c>
      <c r="B13" s="7" t="str">
        <f aca="false">E12</f>
        <v>7833</v>
      </c>
      <c r="C13" s="7" t="n">
        <f aca="false">B13*B13</f>
        <v>61355889</v>
      </c>
      <c r="D13" s="8" t="n">
        <f aca="false">IF(ISEVEN(LEN(C13)),C13, concat(0,C13))</f>
        <v>61355889</v>
      </c>
      <c r="E13" s="7" t="str">
        <f aca="false">MID(D13,3,4)</f>
        <v>3558</v>
      </c>
      <c r="F13" s="9" t="n">
        <f aca="false">E13/10000</f>
        <v>0.3558</v>
      </c>
      <c r="J13" s="10"/>
      <c r="K13" s="10"/>
      <c r="L13" s="10"/>
      <c r="M13" s="11"/>
      <c r="N13" s="10"/>
      <c r="O13" s="10"/>
    </row>
    <row r="14" customFormat="false" ht="15.75" hidden="false" customHeight="false" outlineLevel="0" collapsed="false">
      <c r="A14" s="7" t="n">
        <v>9</v>
      </c>
      <c r="B14" s="7" t="str">
        <f aca="false">E13</f>
        <v>3558</v>
      </c>
      <c r="C14" s="7" t="n">
        <f aca="false">B14*B14</f>
        <v>12659364</v>
      </c>
      <c r="D14" s="8" t="n">
        <f aca="false">IF(ISEVEN(LEN(C14)),C14, concat(0,C14))</f>
        <v>12659364</v>
      </c>
      <c r="E14" s="7" t="str">
        <f aca="false">MID(D14,3,4)</f>
        <v>6593</v>
      </c>
      <c r="F14" s="9" t="n">
        <f aca="false">E14/10000</f>
        <v>0.6593</v>
      </c>
      <c r="J14" s="10"/>
      <c r="K14" s="10"/>
      <c r="L14" s="10"/>
      <c r="M14" s="11"/>
      <c r="N14" s="10"/>
      <c r="O14" s="10"/>
    </row>
    <row r="15" customFormat="false" ht="15.75" hidden="false" customHeight="false" outlineLevel="0" collapsed="false">
      <c r="J15" s="10"/>
      <c r="K15" s="10"/>
      <c r="L15" s="10"/>
      <c r="M15" s="11"/>
      <c r="N15" s="10"/>
      <c r="O15" s="10"/>
    </row>
    <row r="16" customFormat="false" ht="15.75" hidden="false" customHeight="false" outlineLevel="0" collapsed="false">
      <c r="A16" s="12" t="s">
        <v>13</v>
      </c>
      <c r="J16" s="10"/>
      <c r="K16" s="10"/>
      <c r="L16" s="10"/>
      <c r="M16" s="11"/>
      <c r="N16" s="10"/>
      <c r="O16" s="10"/>
    </row>
    <row r="17" customFormat="false" ht="15.75" hidden="false" customHeight="false" outlineLevel="0" collapsed="false">
      <c r="J17" s="10"/>
      <c r="K17" s="10"/>
      <c r="L17" s="10"/>
      <c r="M17" s="11"/>
      <c r="N17" s="10"/>
      <c r="O17" s="10"/>
    </row>
    <row r="18" customFormat="false" ht="15.75" hidden="false" customHeight="false" outlineLevel="0" collapsed="false">
      <c r="J18" s="10"/>
      <c r="K18" s="10"/>
      <c r="L18" s="10"/>
      <c r="M18" s="11"/>
      <c r="N18" s="10"/>
      <c r="O18" s="10"/>
    </row>
    <row r="19" customFormat="false" ht="15.75" hidden="false" customHeight="false" outlineLevel="0" collapsed="false">
      <c r="B19" s="10"/>
      <c r="C19" s="10"/>
      <c r="D19" s="11"/>
      <c r="E19" s="10"/>
      <c r="F19" s="10"/>
    </row>
    <row r="20" customFormat="false" ht="15.75" hidden="false" customHeight="false" outlineLevel="0" collapsed="false">
      <c r="B20" s="10" t="n">
        <f aca="false">E19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5" activeCellId="0" sqref="E5"/>
    </sheetView>
  </sheetViews>
  <sheetFormatPr defaultRowHeight="15.75" zeroHeight="false" outlineLevelRow="0" outlineLevelCol="0"/>
  <cols>
    <col collapsed="false" customWidth="true" hidden="false" outlineLevel="0" max="1025" min="1" style="0" width="14.43"/>
  </cols>
  <sheetData>
    <row r="1" customFormat="false" ht="15.75" hidden="false" customHeight="false" outlineLevel="0" collapsed="false">
      <c r="A1" s="3" t="s">
        <v>14</v>
      </c>
      <c r="B1" s="4"/>
      <c r="C1" s="4"/>
      <c r="D1" s="4"/>
      <c r="E1" s="4"/>
      <c r="F1" s="4"/>
      <c r="G1" s="4"/>
      <c r="H1" s="4"/>
      <c r="I1" s="4"/>
      <c r="J1" s="4"/>
    </row>
    <row r="2" customFormat="false" ht="15.75" hidden="false" customHeight="false" outlineLevel="0" collapsed="false">
      <c r="A2" s="13"/>
      <c r="B2" s="4"/>
      <c r="C2" s="4"/>
      <c r="D2" s="4"/>
      <c r="E2" s="4"/>
      <c r="F2" s="4"/>
      <c r="G2" s="4"/>
      <c r="H2" s="4"/>
      <c r="I2" s="4"/>
      <c r="J2" s="4"/>
    </row>
    <row r="4" customFormat="false" ht="15.75" hidden="false" customHeight="false" outlineLevel="0" collapsed="false">
      <c r="A4" s="14" t="s">
        <v>7</v>
      </c>
      <c r="B4" s="14" t="s">
        <v>8</v>
      </c>
      <c r="C4" s="14" t="s">
        <v>11</v>
      </c>
      <c r="D4" s="14" t="s">
        <v>15</v>
      </c>
      <c r="E4" s="14" t="s">
        <v>16</v>
      </c>
      <c r="F4" s="14" t="s">
        <v>17</v>
      </c>
      <c r="G4" s="14" t="s">
        <v>12</v>
      </c>
    </row>
    <row r="5" customFormat="false" ht="15.75" hidden="false" customHeight="false" outlineLevel="0" collapsed="false">
      <c r="A5" s="7" t="n">
        <v>0</v>
      </c>
      <c r="B5" s="7" t="n">
        <v>5115</v>
      </c>
      <c r="C5" s="15" t="n">
        <v>5736</v>
      </c>
      <c r="D5" s="7" t="n">
        <f aca="false">B5*C5</f>
        <v>29339640</v>
      </c>
      <c r="E5" s="7" t="n">
        <f aca="false">IF(ISODD(LEN(D5)),concat(0,D5), D5)</f>
        <v>29339640</v>
      </c>
      <c r="F5" s="7" t="str">
        <f aca="false">MID(E5,3,4)</f>
        <v>3396</v>
      </c>
      <c r="G5" s="9" t="n">
        <f aca="false">F5/10000</f>
        <v>0.3396</v>
      </c>
    </row>
    <row r="6" customFormat="false" ht="15.75" hidden="false" customHeight="false" outlineLevel="0" collapsed="false">
      <c r="A6" s="7" t="n">
        <v>1</v>
      </c>
      <c r="B6" s="15" t="n">
        <f aca="false">C5</f>
        <v>5736</v>
      </c>
      <c r="C6" s="15" t="str">
        <f aca="false">F5</f>
        <v>3396</v>
      </c>
      <c r="D6" s="15" t="n">
        <f aca="false">B6*C6</f>
        <v>19479456</v>
      </c>
      <c r="E6" s="15" t="n">
        <f aca="false">IF(ISODD(LEN(D6)),concat(0,D6), D6)</f>
        <v>19479456</v>
      </c>
      <c r="F6" s="15" t="str">
        <f aca="false">MID(E6,3,4)</f>
        <v>4794</v>
      </c>
      <c r="G6" s="15" t="n">
        <f aca="false">F6/10000</f>
        <v>0.4794</v>
      </c>
    </row>
    <row r="7" customFormat="false" ht="15.75" hidden="false" customHeight="false" outlineLevel="0" collapsed="false">
      <c r="A7" s="7" t="n">
        <v>2</v>
      </c>
      <c r="B7" s="15" t="str">
        <f aca="false">C6</f>
        <v>3396</v>
      </c>
      <c r="C7" s="15" t="str">
        <f aca="false">F6</f>
        <v>4794</v>
      </c>
      <c r="D7" s="15" t="n">
        <f aca="false">B7*C7</f>
        <v>16280424</v>
      </c>
      <c r="E7" s="15" t="n">
        <f aca="false">IF(ISODD(LEN(D7)),concat(0,D7), D7)</f>
        <v>16280424</v>
      </c>
      <c r="F7" s="15" t="str">
        <f aca="false">MID(E7,3,4)</f>
        <v>2804</v>
      </c>
      <c r="G7" s="15" t="n">
        <f aca="false">F7/10000</f>
        <v>0.2804</v>
      </c>
    </row>
    <row r="8" customFormat="false" ht="15.75" hidden="false" customHeight="false" outlineLevel="0" collapsed="false">
      <c r="A8" s="7" t="n">
        <v>3</v>
      </c>
      <c r="B8" s="15" t="str">
        <f aca="false">C7</f>
        <v>4794</v>
      </c>
      <c r="C8" s="15" t="str">
        <f aca="false">F7</f>
        <v>2804</v>
      </c>
      <c r="D8" s="15" t="n">
        <f aca="false">B8*C8</f>
        <v>13442376</v>
      </c>
      <c r="E8" s="15" t="n">
        <f aca="false">IF(ISODD(LEN(D8)),concat(0,D8), D8)</f>
        <v>13442376</v>
      </c>
      <c r="F8" s="15" t="str">
        <f aca="false">MID(E8,3,4)</f>
        <v>4423</v>
      </c>
      <c r="G8" s="15" t="n">
        <f aca="false">F8/10000</f>
        <v>0.4423</v>
      </c>
    </row>
    <row r="9" customFormat="false" ht="15.75" hidden="false" customHeight="false" outlineLevel="0" collapsed="false">
      <c r="A9" s="7" t="n">
        <v>4</v>
      </c>
      <c r="B9" s="15" t="str">
        <f aca="false">C8</f>
        <v>2804</v>
      </c>
      <c r="C9" s="15" t="str">
        <f aca="false">F8</f>
        <v>4423</v>
      </c>
      <c r="D9" s="15" t="n">
        <f aca="false">B9*C9</f>
        <v>12402092</v>
      </c>
      <c r="E9" s="15" t="n">
        <f aca="false">IF(ISODD(LEN(D9)),concat(0,D9), D9)</f>
        <v>12402092</v>
      </c>
      <c r="F9" s="15" t="str">
        <f aca="false">MID(E9,3,4)</f>
        <v>4020</v>
      </c>
      <c r="G9" s="15" t="n">
        <f aca="false">F9/10000</f>
        <v>0.402</v>
      </c>
    </row>
    <row r="10" customFormat="false" ht="15.75" hidden="false" customHeight="false" outlineLevel="0" collapsed="false">
      <c r="A10" s="7" t="n">
        <v>5</v>
      </c>
      <c r="B10" s="15" t="str">
        <f aca="false">C9</f>
        <v>4423</v>
      </c>
      <c r="C10" s="15" t="str">
        <f aca="false">F9</f>
        <v>4020</v>
      </c>
      <c r="D10" s="15" t="n">
        <f aca="false">B10*C10</f>
        <v>17780460</v>
      </c>
      <c r="E10" s="15" t="n">
        <f aca="false">IF(ISODD(LEN(D10)),concat(0,D10), D10)</f>
        <v>17780460</v>
      </c>
      <c r="F10" s="15" t="str">
        <f aca="false">MID(E10,3,4)</f>
        <v>7804</v>
      </c>
      <c r="G10" s="15" t="n">
        <f aca="false">F10/10000</f>
        <v>0.7804</v>
      </c>
    </row>
    <row r="11" customFormat="false" ht="15.75" hidden="false" customHeight="false" outlineLevel="0" collapsed="false">
      <c r="A11" s="7" t="n">
        <v>6</v>
      </c>
      <c r="B11" s="15" t="str">
        <f aca="false">C10</f>
        <v>4020</v>
      </c>
      <c r="C11" s="15" t="str">
        <f aca="false">F10</f>
        <v>7804</v>
      </c>
      <c r="D11" s="15" t="n">
        <f aca="false">B11*C11</f>
        <v>31372080</v>
      </c>
      <c r="E11" s="15" t="n">
        <f aca="false">IF(ISODD(LEN(D11)),concat(0,D11), D11)</f>
        <v>31372080</v>
      </c>
      <c r="F11" s="15" t="str">
        <f aca="false">MID(E11,3,4)</f>
        <v>3720</v>
      </c>
      <c r="G11" s="15" t="n">
        <f aca="false">F11/10000</f>
        <v>0.372</v>
      </c>
    </row>
    <row r="12" customFormat="false" ht="15.75" hidden="false" customHeight="false" outlineLevel="0" collapsed="false">
      <c r="A12" s="7" t="n">
        <v>7</v>
      </c>
      <c r="B12" s="15" t="str">
        <f aca="false">C11</f>
        <v>7804</v>
      </c>
      <c r="C12" s="15" t="str">
        <f aca="false">F11</f>
        <v>3720</v>
      </c>
      <c r="D12" s="15" t="n">
        <f aca="false">B12*C12</f>
        <v>29030880</v>
      </c>
      <c r="E12" s="15" t="n">
        <f aca="false">IF(ISODD(LEN(D12)),concat(0,D12), D12)</f>
        <v>29030880</v>
      </c>
      <c r="F12" s="15" t="str">
        <f aca="false">MID(E12,3,4)</f>
        <v>0308</v>
      </c>
      <c r="G12" s="15" t="n">
        <f aca="false">F12/10000</f>
        <v>0.0308</v>
      </c>
    </row>
    <row r="13" customFormat="false" ht="15.75" hidden="false" customHeight="false" outlineLevel="0" collapsed="false">
      <c r="A13" s="7" t="n">
        <v>8</v>
      </c>
      <c r="B13" s="15" t="str">
        <f aca="false">C12</f>
        <v>3720</v>
      </c>
      <c r="C13" s="15" t="str">
        <f aca="false">F12</f>
        <v>0308</v>
      </c>
      <c r="D13" s="15" t="n">
        <f aca="false">B13*C13</f>
        <v>1145760</v>
      </c>
      <c r="E13" s="15" t="e">
        <f aca="false">IF(ISODD(LEN(D13)),concat(0,D13), D13)</f>
        <v>#NAME?</v>
      </c>
      <c r="F13" s="15" t="e">
        <f aca="false">MID(E13,3,4)</f>
        <v>#NAME?</v>
      </c>
      <c r="G13" s="15" t="e">
        <f aca="false">F13/10000</f>
        <v>#NAME?</v>
      </c>
    </row>
    <row r="14" customFormat="false" ht="15.75" hidden="false" customHeight="false" outlineLevel="0" collapsed="false">
      <c r="A14" s="7" t="n">
        <v>9</v>
      </c>
      <c r="B14" s="15" t="str">
        <f aca="false">C13</f>
        <v>0308</v>
      </c>
      <c r="C14" s="15" t="e">
        <f aca="false">F13</f>
        <v>#NAME?</v>
      </c>
      <c r="D14" s="15" t="e">
        <f aca="false">B14*C14</f>
        <v>#NAME?</v>
      </c>
      <c r="E14" s="15" t="e">
        <f aca="false">IF(ISODD(LEN(D14)),concat(0,D14), D14)</f>
        <v>#NAME?</v>
      </c>
      <c r="F14" s="15" t="n">
        <v>4875</v>
      </c>
      <c r="G14" s="15" t="n">
        <f aca="false">F14/10000</f>
        <v>0.4875</v>
      </c>
    </row>
    <row r="16" customFormat="false" ht="15.75" hidden="false" customHeight="true" outlineLevel="0" collapsed="false">
      <c r="A16" s="12" t="s">
        <v>18</v>
      </c>
    </row>
    <row r="17" customFormat="false" ht="15.75" hidden="false" customHeight="true" outlineLevel="0" collapsed="false">
      <c r="A17" s="12" t="s">
        <v>19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1" activeCellId="0" sqref="E11"/>
    </sheetView>
  </sheetViews>
  <sheetFormatPr defaultRowHeight="15.75" zeroHeight="false" outlineLevelRow="0" outlineLevelCol="0"/>
  <cols>
    <col collapsed="false" customWidth="true" hidden="false" outlineLevel="0" max="1025" min="1" style="0" width="14.43"/>
  </cols>
  <sheetData>
    <row r="1" customFormat="false" ht="15.75" hidden="false" customHeight="false" outlineLevel="0" collapsed="false">
      <c r="A1" s="16" t="s">
        <v>20</v>
      </c>
    </row>
    <row r="2" customFormat="false" ht="15.75" hidden="false" customHeight="false" outlineLevel="0" collapsed="false">
      <c r="A2" s="16" t="s">
        <v>21</v>
      </c>
    </row>
    <row r="5" customFormat="false" ht="15.75" hidden="false" customHeight="false" outlineLevel="0" collapsed="false">
      <c r="A5" s="14" t="s">
        <v>7</v>
      </c>
      <c r="B5" s="14" t="s">
        <v>22</v>
      </c>
      <c r="C5" s="14" t="s">
        <v>11</v>
      </c>
      <c r="D5" s="14" t="s">
        <v>15</v>
      </c>
      <c r="E5" s="14" t="s">
        <v>16</v>
      </c>
      <c r="F5" s="14" t="s">
        <v>17</v>
      </c>
      <c r="G5" s="14" t="s">
        <v>12</v>
      </c>
    </row>
    <row r="6" customFormat="false" ht="15.75" hidden="false" customHeight="false" outlineLevel="0" collapsed="false">
      <c r="A6" s="7" t="n">
        <v>0</v>
      </c>
      <c r="B6" s="7" t="n">
        <v>3724</v>
      </c>
      <c r="C6" s="7" t="n">
        <v>5215</v>
      </c>
      <c r="D6" s="7" t="n">
        <f aca="false">B6*C6</f>
        <v>19420660</v>
      </c>
      <c r="E6" s="7" t="n">
        <f aca="false">IF(ISODD(LEN(D6)),concat(0,D6), D6)</f>
        <v>19420660</v>
      </c>
      <c r="F6" s="7" t="str">
        <f aca="false">MID(E6,3,4)</f>
        <v>4206</v>
      </c>
      <c r="G6" s="9" t="n">
        <f aca="false">F6/10000</f>
        <v>0.4206</v>
      </c>
    </row>
    <row r="7" customFormat="false" ht="15.75" hidden="false" customHeight="false" outlineLevel="0" collapsed="false">
      <c r="A7" s="7" t="n">
        <v>1</v>
      </c>
      <c r="B7" s="7" t="n">
        <v>3724</v>
      </c>
      <c r="C7" s="7" t="str">
        <f aca="false">F6</f>
        <v>4206</v>
      </c>
      <c r="D7" s="7" t="n">
        <f aca="false">B7*C7</f>
        <v>15663144</v>
      </c>
      <c r="E7" s="7" t="n">
        <f aca="false">IF(ISODD(LEN(D7)),concat(0,D7), D7)</f>
        <v>15663144</v>
      </c>
      <c r="F7" s="7" t="str">
        <f aca="false">MID(E7,3,4)</f>
        <v>6631</v>
      </c>
      <c r="G7" s="9" t="n">
        <f aca="false">F7/10000</f>
        <v>0.6631</v>
      </c>
    </row>
    <row r="8" customFormat="false" ht="15.75" hidden="false" customHeight="false" outlineLevel="0" collapsed="false">
      <c r="A8" s="7" t="n">
        <v>2</v>
      </c>
      <c r="B8" s="7" t="n">
        <v>3724</v>
      </c>
      <c r="C8" s="7" t="str">
        <f aca="false">F7</f>
        <v>6631</v>
      </c>
      <c r="D8" s="7" t="n">
        <f aca="false">B8*C8</f>
        <v>24693844</v>
      </c>
      <c r="E8" s="7" t="n">
        <f aca="false">IF(ISODD(LEN(D8)),concat(0,D8), D8)</f>
        <v>24693844</v>
      </c>
      <c r="F8" s="7" t="str">
        <f aca="false">MID(E8,3,4)</f>
        <v>6938</v>
      </c>
      <c r="G8" s="9" t="n">
        <f aca="false">F8/10000</f>
        <v>0.6938</v>
      </c>
    </row>
    <row r="9" customFormat="false" ht="15.75" hidden="false" customHeight="false" outlineLevel="0" collapsed="false">
      <c r="A9" s="7" t="n">
        <v>3</v>
      </c>
      <c r="B9" s="7" t="n">
        <v>3724</v>
      </c>
      <c r="C9" s="7" t="str">
        <f aca="false">F8</f>
        <v>6938</v>
      </c>
      <c r="D9" s="7" t="n">
        <f aca="false">B9*C9</f>
        <v>25837112</v>
      </c>
      <c r="E9" s="7" t="n">
        <f aca="false">IF(ISODD(LEN(D9)),concat(0,D9), D9)</f>
        <v>25837112</v>
      </c>
      <c r="F9" s="7" t="str">
        <f aca="false">MID(E9,3,4)</f>
        <v>8371</v>
      </c>
      <c r="G9" s="9" t="n">
        <f aca="false">F9/10000</f>
        <v>0.8371</v>
      </c>
    </row>
    <row r="10" customFormat="false" ht="15.75" hidden="false" customHeight="false" outlineLevel="0" collapsed="false">
      <c r="A10" s="7" t="n">
        <v>4</v>
      </c>
      <c r="B10" s="7" t="n">
        <v>3724</v>
      </c>
      <c r="C10" s="7" t="str">
        <f aca="false">F9</f>
        <v>8371</v>
      </c>
      <c r="D10" s="7" t="n">
        <f aca="false">B10*C10</f>
        <v>31173604</v>
      </c>
      <c r="E10" s="7" t="n">
        <f aca="false">IF(ISODD(LEN(D10)),concat(0,D10), D10)</f>
        <v>31173604</v>
      </c>
      <c r="F10" s="7" t="str">
        <f aca="false">MID(E10,3,4)</f>
        <v>1736</v>
      </c>
      <c r="G10" s="9" t="n">
        <f aca="false">F10/10000</f>
        <v>0.1736</v>
      </c>
    </row>
    <row r="11" customFormat="false" ht="15.75" hidden="false" customHeight="false" outlineLevel="0" collapsed="false">
      <c r="A11" s="7" t="n">
        <v>5</v>
      </c>
      <c r="B11" s="7" t="n">
        <v>3724</v>
      </c>
      <c r="C11" s="7" t="str">
        <f aca="false">F10</f>
        <v>1736</v>
      </c>
      <c r="D11" s="7" t="n">
        <f aca="false">B11*C11</f>
        <v>6464864</v>
      </c>
      <c r="E11" s="7" t="str">
        <f aca="false">IF(ISODD(LEN(D11)),_xlfn.CONCAT(0,D11), D11)</f>
        <v>06464864</v>
      </c>
      <c r="F11" s="7" t="str">
        <f aca="false">MID(E11,3,4)</f>
        <v>4648</v>
      </c>
      <c r="G11" s="9" t="n">
        <f aca="false">F11/10000</f>
        <v>0.4648</v>
      </c>
    </row>
    <row r="12" customFormat="false" ht="15.75" hidden="false" customHeight="false" outlineLevel="0" collapsed="false">
      <c r="A12" s="7" t="n">
        <v>6</v>
      </c>
      <c r="B12" s="7" t="n">
        <v>3724</v>
      </c>
      <c r="C12" s="7" t="str">
        <f aca="false">F11</f>
        <v>4648</v>
      </c>
      <c r="D12" s="7" t="n">
        <f aca="false">B12*C12</f>
        <v>17309152</v>
      </c>
      <c r="E12" s="7" t="n">
        <f aca="false">IF(ISODD(LEN(D12)),concat(0,D12), D12)</f>
        <v>17309152</v>
      </c>
      <c r="F12" s="7" t="str">
        <f aca="false">MID(E12,3,4)</f>
        <v>3091</v>
      </c>
      <c r="G12" s="9" t="n">
        <f aca="false">F12/10000</f>
        <v>0.3091</v>
      </c>
    </row>
    <row r="13" customFormat="false" ht="15.75" hidden="false" customHeight="false" outlineLevel="0" collapsed="false">
      <c r="A13" s="7" t="n">
        <v>7</v>
      </c>
      <c r="B13" s="7" t="n">
        <v>3724</v>
      </c>
      <c r="C13" s="7" t="str">
        <f aca="false">F12</f>
        <v>3091</v>
      </c>
      <c r="D13" s="7" t="n">
        <f aca="false">B13*C13</f>
        <v>11510884</v>
      </c>
      <c r="E13" s="7" t="n">
        <f aca="false">IF(ISODD(LEN(D13)),concat(0,D13), D13)</f>
        <v>11510884</v>
      </c>
      <c r="F13" s="7" t="str">
        <f aca="false">MID(E13,3,4)</f>
        <v>5108</v>
      </c>
      <c r="G13" s="9" t="n">
        <f aca="false">F13/10000</f>
        <v>0.5108</v>
      </c>
    </row>
    <row r="14" customFormat="false" ht="15.75" hidden="false" customHeight="false" outlineLevel="0" collapsed="false">
      <c r="A14" s="7" t="n">
        <v>8</v>
      </c>
      <c r="B14" s="7" t="n">
        <v>3724</v>
      </c>
      <c r="C14" s="7" t="str">
        <f aca="false">F13</f>
        <v>5108</v>
      </c>
      <c r="D14" s="7" t="n">
        <f aca="false">B14*C14</f>
        <v>19022192</v>
      </c>
      <c r="E14" s="7" t="n">
        <f aca="false">IF(ISODD(LEN(D14)),concat(0,D14), D14)</f>
        <v>19022192</v>
      </c>
      <c r="F14" s="7" t="str">
        <f aca="false">MID(E14,3,4)</f>
        <v>0221</v>
      </c>
      <c r="G14" s="9" t="n">
        <f aca="false">F14/10000</f>
        <v>0.0221</v>
      </c>
    </row>
    <row r="15" customFormat="false" ht="15.75" hidden="false" customHeight="false" outlineLevel="0" collapsed="false">
      <c r="A15" s="7" t="n">
        <v>9</v>
      </c>
      <c r="B15" s="17" t="n">
        <v>3724</v>
      </c>
      <c r="C15" s="7" t="str">
        <f aca="false">F14</f>
        <v>0221</v>
      </c>
      <c r="D15" s="7" t="n">
        <f aca="false">B15*C15</f>
        <v>823004</v>
      </c>
      <c r="E15" s="7" t="n">
        <f aca="false">IF(ISODD(LEN(D15)),concat(0,D15), D15)</f>
        <v>823004</v>
      </c>
      <c r="F15" s="7" t="n">
        <v>2300</v>
      </c>
      <c r="G15" s="9" t="n">
        <f aca="false">F15/10000</f>
        <v>0.23</v>
      </c>
    </row>
    <row r="16" customFormat="false" ht="15.75" hidden="false" customHeight="false" outlineLevel="0" collapsed="false">
      <c r="B16" s="10"/>
    </row>
    <row r="17" customFormat="false" ht="15.75" hidden="false" customHeight="true" outlineLevel="0" collapsed="false">
      <c r="A17" s="12" t="s">
        <v>23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28"/>
  <sheetViews>
    <sheetView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J19" activeCellId="0" sqref="J19"/>
    </sheetView>
  </sheetViews>
  <sheetFormatPr defaultRowHeight="15.75" zeroHeight="false" outlineLevelRow="0" outlineLevelCol="0"/>
  <cols>
    <col collapsed="false" customWidth="true" hidden="false" outlineLevel="0" max="1025" min="1" style="0" width="14.43"/>
  </cols>
  <sheetData>
    <row r="1" customFormat="false" ht="15.75" hidden="false" customHeight="false" outlineLevel="0" collapsed="false">
      <c r="A1" s="2" t="s">
        <v>24</v>
      </c>
    </row>
    <row r="2" customFormat="false" ht="15.75" hidden="false" customHeight="false" outlineLevel="0" collapsed="false">
      <c r="A2" s="3" t="s">
        <v>25</v>
      </c>
      <c r="B2" s="4"/>
      <c r="C2" s="4"/>
      <c r="D2" s="4"/>
      <c r="E2" s="4"/>
      <c r="F2" s="4"/>
      <c r="G2" s="4"/>
      <c r="H2" s="4"/>
      <c r="I2" s="4"/>
      <c r="J2" s="4"/>
      <c r="K2" s="4"/>
      <c r="M2" s="4"/>
      <c r="N2" s="18"/>
    </row>
    <row r="3" customFormat="false" ht="15.75" hidden="false" customHeight="false" outlineLevel="0" collapsed="false">
      <c r="A3" s="3" t="s">
        <v>26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18"/>
    </row>
    <row r="4" customFormat="false" ht="15.75" hidden="false" customHeight="false" outlineLevel="0" collapsed="false">
      <c r="A4" s="3" t="s">
        <v>27</v>
      </c>
      <c r="B4" s="4"/>
      <c r="C4" s="4"/>
      <c r="D4" s="4"/>
      <c r="E4" s="4"/>
      <c r="F4" s="4"/>
      <c r="H4" s="4"/>
      <c r="I4" s="4"/>
      <c r="J4" s="4"/>
      <c r="K4" s="4"/>
      <c r="L4" s="4"/>
      <c r="M4" s="4"/>
      <c r="N4" s="18"/>
    </row>
    <row r="5" customFormat="false" ht="15.75" hidden="false" customHeight="false" outlineLevel="0" collapsed="false">
      <c r="A5" s="5"/>
    </row>
    <row r="6" customFormat="false" ht="15.75" hidden="false" customHeight="false" outlineLevel="0" collapsed="false">
      <c r="A6" s="2" t="s">
        <v>28</v>
      </c>
    </row>
    <row r="8" customFormat="false" ht="15.75" hidden="false" customHeight="false" outlineLevel="0" collapsed="false">
      <c r="A8" s="2" t="s">
        <v>29</v>
      </c>
      <c r="B8" s="2" t="s">
        <v>30</v>
      </c>
    </row>
    <row r="9" customFormat="false" ht="15.75" hidden="false" customHeight="false" outlineLevel="0" collapsed="false">
      <c r="A9" s="19" t="n">
        <f aca="false">2^B15</f>
        <v>16</v>
      </c>
    </row>
    <row r="10" customFormat="false" ht="15.75" hidden="false" customHeight="false" outlineLevel="0" collapsed="false">
      <c r="H10" s="2" t="s">
        <v>31</v>
      </c>
    </row>
    <row r="11" customFormat="false" ht="15.75" hidden="false" customHeight="false" outlineLevel="0" collapsed="false">
      <c r="D11" s="20" t="s">
        <v>7</v>
      </c>
      <c r="E11" s="20" t="s">
        <v>8</v>
      </c>
      <c r="F11" s="20" t="s">
        <v>11</v>
      </c>
      <c r="G11" s="20" t="s">
        <v>32</v>
      </c>
      <c r="H11" s="2" t="s">
        <v>33</v>
      </c>
    </row>
    <row r="12" customFormat="false" ht="15.75" hidden="false" customHeight="false" outlineLevel="0" collapsed="false">
      <c r="A12" s="21" t="s">
        <v>34</v>
      </c>
      <c r="B12" s="22"/>
      <c r="D12" s="23" t="n">
        <v>0</v>
      </c>
      <c r="E12" s="23" t="n">
        <v>6</v>
      </c>
      <c r="F12" s="24" t="n">
        <f aca="false">MOD($B$17*E12+$B$16,$B$18)</f>
        <v>5</v>
      </c>
      <c r="G12" s="25" t="n">
        <f aca="false">E12/($B$18-1)</f>
        <v>0.4</v>
      </c>
      <c r="H12" s="12" t="s">
        <v>35</v>
      </c>
    </row>
    <row r="13" customFormat="false" ht="15.75" hidden="false" customHeight="false" outlineLevel="0" collapsed="false">
      <c r="A13" s="23" t="s">
        <v>36</v>
      </c>
      <c r="B13" s="23" t="n">
        <v>6</v>
      </c>
      <c r="D13" s="26" t="n">
        <f aca="false">D12+1</f>
        <v>1</v>
      </c>
      <c r="E13" s="23" t="n">
        <f aca="false">F12</f>
        <v>5</v>
      </c>
      <c r="F13" s="27" t="n">
        <f aca="false">MOD($B$17*E13+$B$16,$B$18)</f>
        <v>8</v>
      </c>
      <c r="G13" s="26" t="n">
        <f aca="false">E13/($B$18-1)</f>
        <v>0.333333333333333</v>
      </c>
      <c r="H13" s="12" t="s">
        <v>37</v>
      </c>
      <c r="I13" s="2"/>
    </row>
    <row r="14" customFormat="false" ht="15.75" hidden="false" customHeight="false" outlineLevel="0" collapsed="false">
      <c r="A14" s="23" t="s">
        <v>38</v>
      </c>
      <c r="B14" s="23" t="n">
        <v>3</v>
      </c>
      <c r="D14" s="26" t="n">
        <f aca="false">D13+1</f>
        <v>2</v>
      </c>
      <c r="E14" s="26" t="n">
        <f aca="false">F13</f>
        <v>8</v>
      </c>
      <c r="F14" s="27" t="n">
        <f aca="false">MOD($B$17*E14+$B$16,$B$18)</f>
        <v>15</v>
      </c>
      <c r="G14" s="26" t="n">
        <f aca="false">E14/($B$18-1)</f>
        <v>0.533333333333333</v>
      </c>
      <c r="H14" s="12" t="s">
        <v>39</v>
      </c>
    </row>
    <row r="15" customFormat="false" ht="15.75" hidden="false" customHeight="false" outlineLevel="0" collapsed="false">
      <c r="A15" s="23" t="s">
        <v>40</v>
      </c>
      <c r="B15" s="23" t="n">
        <v>4</v>
      </c>
      <c r="D15" s="26" t="n">
        <f aca="false">D14+1</f>
        <v>3</v>
      </c>
      <c r="E15" s="26" t="n">
        <f aca="false">F14</f>
        <v>15</v>
      </c>
      <c r="F15" s="27" t="n">
        <f aca="false">MOD($B$17*E15+$B$16,$B$18)</f>
        <v>10</v>
      </c>
      <c r="G15" s="26" t="n">
        <f aca="false">E15/($B$18-1)</f>
        <v>1</v>
      </c>
    </row>
    <row r="16" customFormat="false" ht="15.75" hidden="false" customHeight="false" outlineLevel="0" collapsed="false">
      <c r="A16" s="23" t="s">
        <v>41</v>
      </c>
      <c r="B16" s="23" t="n">
        <v>7</v>
      </c>
      <c r="D16" s="26" t="n">
        <f aca="false">D15+1</f>
        <v>4</v>
      </c>
      <c r="E16" s="26" t="n">
        <f aca="false">F15</f>
        <v>10</v>
      </c>
      <c r="F16" s="27" t="n">
        <f aca="false">MOD($B$17*E16+$B$16,$B$18)</f>
        <v>9</v>
      </c>
      <c r="G16" s="26" t="n">
        <f aca="false">E16/($B$18-1)</f>
        <v>0.666666666666667</v>
      </c>
    </row>
    <row r="17" customFormat="false" ht="15.75" hidden="false" customHeight="false" outlineLevel="0" collapsed="false">
      <c r="A17" s="23" t="s">
        <v>22</v>
      </c>
      <c r="B17" s="26" t="n">
        <f aca="false">1+4*B14</f>
        <v>13</v>
      </c>
      <c r="D17" s="26" t="n">
        <f aca="false">D16+1</f>
        <v>5</v>
      </c>
      <c r="E17" s="26" t="n">
        <f aca="false">F16</f>
        <v>9</v>
      </c>
      <c r="F17" s="27" t="n">
        <f aca="false">MOD($B$17*E17+$B$16,$B$18)</f>
        <v>12</v>
      </c>
      <c r="G17" s="26" t="n">
        <f aca="false">E17/($B$18-1)</f>
        <v>0.6</v>
      </c>
    </row>
    <row r="18" customFormat="false" ht="15.75" hidden="false" customHeight="false" outlineLevel="0" collapsed="false">
      <c r="A18" s="23" t="s">
        <v>42</v>
      </c>
      <c r="B18" s="26" t="n">
        <f aca="false">2^B15</f>
        <v>16</v>
      </c>
      <c r="D18" s="26" t="n">
        <f aca="false">D17+1</f>
        <v>6</v>
      </c>
      <c r="E18" s="26" t="n">
        <f aca="false">F17</f>
        <v>12</v>
      </c>
      <c r="F18" s="27" t="n">
        <f aca="false">MOD($B$17*E18+$B$16,$B$18)</f>
        <v>3</v>
      </c>
      <c r="G18" s="26" t="n">
        <f aca="false">E18/($B$18-1)</f>
        <v>0.8</v>
      </c>
    </row>
    <row r="19" customFormat="false" ht="15.75" hidden="false" customHeight="false" outlineLevel="0" collapsed="false">
      <c r="A19" s="23" t="s">
        <v>43</v>
      </c>
      <c r="B19" s="26" t="n">
        <f aca="false">B18</f>
        <v>16</v>
      </c>
      <c r="D19" s="26" t="n">
        <f aca="false">D18+1</f>
        <v>7</v>
      </c>
      <c r="E19" s="23" t="n">
        <v>7</v>
      </c>
      <c r="F19" s="27" t="n">
        <f aca="false">MOD($B$17*E19+$B$16,$B$18)</f>
        <v>2</v>
      </c>
      <c r="G19" s="26" t="n">
        <f aca="false">E19/($B$18-1)</f>
        <v>0.466666666666667</v>
      </c>
    </row>
    <row r="20" customFormat="false" ht="15.75" hidden="false" customHeight="false" outlineLevel="0" collapsed="false">
      <c r="D20" s="26" t="n">
        <f aca="false">D19+1</f>
        <v>8</v>
      </c>
      <c r="E20" s="23" t="n">
        <f aca="false">F19</f>
        <v>2</v>
      </c>
      <c r="F20" s="27" t="n">
        <f aca="false">MOD($B$17*E20+$B$16,$B$18)</f>
        <v>1</v>
      </c>
      <c r="G20" s="26" t="n">
        <f aca="false">E20/($B$18-1)</f>
        <v>0.133333333333333</v>
      </c>
    </row>
    <row r="21" customFormat="false" ht="15.75" hidden="false" customHeight="false" outlineLevel="0" collapsed="false">
      <c r="D21" s="26" t="n">
        <f aca="false">D20+1</f>
        <v>9</v>
      </c>
      <c r="E21" s="26" t="n">
        <f aca="false">F20</f>
        <v>1</v>
      </c>
      <c r="F21" s="27" t="n">
        <f aca="false">MOD($B$17*E21+$B$16,$B$18)</f>
        <v>4</v>
      </c>
      <c r="G21" s="26" t="n">
        <f aca="false">E21/($B$18-1)</f>
        <v>0.0666666666666667</v>
      </c>
      <c r="H21" s="2"/>
    </row>
    <row r="22" customFormat="false" ht="15.75" hidden="false" customHeight="false" outlineLevel="0" collapsed="false">
      <c r="D22" s="26" t="n">
        <f aca="false">D21+1</f>
        <v>10</v>
      </c>
      <c r="E22" s="26" t="n">
        <f aca="false">F21</f>
        <v>4</v>
      </c>
      <c r="F22" s="27" t="n">
        <f aca="false">MOD($B$17*E22+$B$16,$B$18)</f>
        <v>11</v>
      </c>
      <c r="G22" s="26" t="n">
        <f aca="false">E22/($B$18-1)</f>
        <v>0.266666666666667</v>
      </c>
    </row>
    <row r="23" customFormat="false" ht="15.75" hidden="false" customHeight="false" outlineLevel="0" collapsed="false">
      <c r="D23" s="26" t="n">
        <f aca="false">D22+1</f>
        <v>11</v>
      </c>
      <c r="E23" s="26" t="n">
        <f aca="false">F22</f>
        <v>11</v>
      </c>
      <c r="F23" s="27" t="n">
        <f aca="false">MOD($B$17*E23+$B$16,$B$18)</f>
        <v>6</v>
      </c>
      <c r="G23" s="26" t="n">
        <f aca="false">E23/($B$18-1)</f>
        <v>0.733333333333333</v>
      </c>
    </row>
    <row r="24" customFormat="false" ht="15.75" hidden="false" customHeight="false" outlineLevel="0" collapsed="false">
      <c r="D24" s="28" t="n">
        <f aca="false">D23+1</f>
        <v>12</v>
      </c>
      <c r="E24" s="28" t="n">
        <f aca="false">F23</f>
        <v>6</v>
      </c>
      <c r="F24" s="29" t="n">
        <f aca="false">MOD($B$17*E24+$B$16,$B$18)</f>
        <v>5</v>
      </c>
      <c r="G24" s="28" t="n">
        <f aca="false">E24/($B$18-1)</f>
        <v>0.4</v>
      </c>
    </row>
    <row r="25" customFormat="false" ht="15.75" hidden="false" customHeight="false" outlineLevel="0" collapsed="false">
      <c r="D25" s="28" t="n">
        <f aca="false">D24+1</f>
        <v>13</v>
      </c>
      <c r="E25" s="28" t="n">
        <f aca="false">F24</f>
        <v>5</v>
      </c>
      <c r="F25" s="29" t="n">
        <f aca="false">MOD($B$17*E25+$B$16,$B$18)</f>
        <v>8</v>
      </c>
      <c r="G25" s="28" t="n">
        <f aca="false">E25/($B$18-1)</f>
        <v>0.333333333333333</v>
      </c>
    </row>
    <row r="26" customFormat="false" ht="15.75" hidden="false" customHeight="false" outlineLevel="0" collapsed="false">
      <c r="D26" s="28" t="n">
        <f aca="false">D25+1</f>
        <v>14</v>
      </c>
      <c r="E26" s="28" t="n">
        <f aca="false">F25</f>
        <v>8</v>
      </c>
      <c r="F26" s="29" t="n">
        <f aca="false">MOD($B$17*E26+$B$16,$B$18)</f>
        <v>15</v>
      </c>
      <c r="G26" s="28" t="n">
        <f aca="false">E26/($B$18-1)</f>
        <v>0.533333333333333</v>
      </c>
    </row>
    <row r="27" customFormat="false" ht="15.75" hidden="false" customHeight="false" outlineLevel="0" collapsed="false">
      <c r="D27" s="28" t="n">
        <f aca="false">D26+1</f>
        <v>15</v>
      </c>
      <c r="E27" s="28" t="n">
        <f aca="false">F26</f>
        <v>15</v>
      </c>
      <c r="F27" s="29" t="n">
        <f aca="false">MOD($B$17*E27+$B$16,$B$18)</f>
        <v>10</v>
      </c>
      <c r="G27" s="28" t="n">
        <f aca="false">E27/($B$18-1)</f>
        <v>1</v>
      </c>
    </row>
    <row r="28" customFormat="false" ht="15.75" hidden="false" customHeight="false" outlineLevel="0" collapsed="false">
      <c r="D28" s="28" t="n">
        <f aca="false">D27+1</f>
        <v>16</v>
      </c>
      <c r="E28" s="28" t="n">
        <f aca="false">F27</f>
        <v>10</v>
      </c>
      <c r="F28" s="29" t="n">
        <f aca="false">MOD($B$17*E28+$B$16,$B$18)</f>
        <v>9</v>
      </c>
      <c r="G28" s="28" t="n">
        <f aca="false">E28/($B$18-1)</f>
        <v>0.666666666666667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N28"/>
  <sheetViews>
    <sheetView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I16" activeCellId="0" sqref="I16"/>
    </sheetView>
  </sheetViews>
  <sheetFormatPr defaultRowHeight="15.75" zeroHeight="false" outlineLevelRow="0" outlineLevelCol="0"/>
  <cols>
    <col collapsed="false" customWidth="true" hidden="false" outlineLevel="0" max="1025" min="1" style="0" width="14.43"/>
  </cols>
  <sheetData>
    <row r="2" customFormat="false" ht="15.75" hidden="false" customHeight="false" outlineLevel="0" collapsed="false">
      <c r="A2" s="3" t="s">
        <v>44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5"/>
      <c r="M2" s="13"/>
      <c r="N2" s="30"/>
    </row>
    <row r="3" customFormat="false" ht="15.75" hidden="false" customHeight="false" outlineLevel="0" collapsed="false">
      <c r="A3" s="3" t="s">
        <v>45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30"/>
    </row>
    <row r="4" customFormat="false" ht="15.75" hidden="false" customHeight="false" outlineLevel="0" collapsed="false">
      <c r="A4" s="3" t="s">
        <v>26</v>
      </c>
      <c r="B4" s="13"/>
      <c r="C4" s="13"/>
      <c r="D4" s="13"/>
      <c r="E4" s="13"/>
      <c r="F4" s="13"/>
      <c r="G4" s="5"/>
      <c r="H4" s="13"/>
      <c r="I4" s="13"/>
      <c r="J4" s="13"/>
      <c r="K4" s="13"/>
      <c r="L4" s="13"/>
      <c r="M4" s="13"/>
      <c r="N4" s="30"/>
    </row>
    <row r="5" customFormat="false" ht="15.75" hidden="false" customHeight="false" outlineLevel="0" collapsed="false">
      <c r="A5" s="3" t="s">
        <v>46</v>
      </c>
      <c r="B5" s="13"/>
      <c r="C5" s="13"/>
      <c r="D5" s="5"/>
      <c r="E5" s="5"/>
      <c r="F5" s="5"/>
      <c r="G5" s="5"/>
      <c r="H5" s="5"/>
      <c r="I5" s="5"/>
      <c r="J5" s="5"/>
      <c r="K5" s="5"/>
      <c r="L5" s="5"/>
      <c r="M5" s="5"/>
      <c r="N5" s="5"/>
    </row>
    <row r="8" customFormat="false" ht="15.75" hidden="false" customHeight="false" outlineLevel="0" collapsed="false">
      <c r="A8" s="2"/>
      <c r="D8" s="2"/>
      <c r="E8" s="2"/>
      <c r="F8" s="2"/>
      <c r="G8" s="2"/>
    </row>
    <row r="9" customFormat="false" ht="15.75" hidden="false" customHeight="false" outlineLevel="0" collapsed="false">
      <c r="A9" s="2"/>
      <c r="B9" s="2"/>
      <c r="D9" s="2"/>
      <c r="E9" s="2"/>
      <c r="F9" s="5"/>
    </row>
    <row r="10" customFormat="false" ht="15.75" hidden="false" customHeight="false" outlineLevel="0" collapsed="false">
      <c r="A10" s="2"/>
      <c r="B10" s="2"/>
      <c r="E10" s="2"/>
      <c r="F10" s="5"/>
    </row>
    <row r="11" customFormat="false" ht="15.75" hidden="false" customHeight="false" outlineLevel="0" collapsed="false">
      <c r="A11" s="2"/>
      <c r="B11" s="2"/>
      <c r="D11" s="20" t="s">
        <v>7</v>
      </c>
      <c r="E11" s="20" t="s">
        <v>8</v>
      </c>
      <c r="F11" s="20" t="s">
        <v>11</v>
      </c>
      <c r="G11" s="20" t="s">
        <v>32</v>
      </c>
      <c r="I11" s="2" t="s">
        <v>47</v>
      </c>
    </row>
    <row r="12" customFormat="false" ht="15.75" hidden="false" customHeight="false" outlineLevel="0" collapsed="false">
      <c r="A12" s="21" t="s">
        <v>34</v>
      </c>
      <c r="B12" s="22"/>
      <c r="D12" s="23" t="n">
        <v>0</v>
      </c>
      <c r="E12" s="23" t="n">
        <v>6</v>
      </c>
      <c r="F12" s="24" t="n">
        <f aca="false">MOD($B$17*E12+$B$16,$B$18)</f>
        <v>12</v>
      </c>
      <c r="G12" s="25" t="n">
        <f aca="false">E12/($B$18-1)</f>
        <v>0.25</v>
      </c>
      <c r="I12" s="2" t="s">
        <v>48</v>
      </c>
    </row>
    <row r="13" customFormat="false" ht="15.75" hidden="false" customHeight="false" outlineLevel="0" collapsed="false">
      <c r="A13" s="23" t="s">
        <v>36</v>
      </c>
      <c r="B13" s="23" t="n">
        <v>2</v>
      </c>
      <c r="D13" s="26" t="n">
        <f aca="false">D12+1</f>
        <v>1</v>
      </c>
      <c r="E13" s="23" t="n">
        <f aca="false">F12</f>
        <v>12</v>
      </c>
      <c r="F13" s="27" t="n">
        <f aca="false">MOD($B$17*E13+$B$16,$B$18)</f>
        <v>15</v>
      </c>
      <c r="G13" s="26" t="n">
        <f aca="false">E13/($B$18-1)</f>
        <v>0.5</v>
      </c>
      <c r="H13" s="12" t="s">
        <v>49</v>
      </c>
    </row>
    <row r="14" customFormat="false" ht="15.75" hidden="false" customHeight="false" outlineLevel="0" collapsed="false">
      <c r="A14" s="23" t="s">
        <v>38</v>
      </c>
      <c r="B14" s="23" t="n">
        <v>3</v>
      </c>
      <c r="D14" s="26" t="n">
        <f aca="false">D13+1</f>
        <v>2</v>
      </c>
      <c r="E14" s="26" t="n">
        <f aca="false">F13</f>
        <v>15</v>
      </c>
      <c r="F14" s="27" t="n">
        <f aca="false">MOD($B$17*E14+$B$16,$B$18)</f>
        <v>4</v>
      </c>
      <c r="G14" s="26" t="n">
        <f aca="false">E14/($B$18-1)</f>
        <v>0.625</v>
      </c>
      <c r="H14" s="12" t="s">
        <v>50</v>
      </c>
    </row>
    <row r="15" customFormat="false" ht="15.75" hidden="false" customHeight="false" outlineLevel="0" collapsed="false">
      <c r="A15" s="23" t="s">
        <v>40</v>
      </c>
      <c r="B15" s="23" t="n">
        <v>4</v>
      </c>
      <c r="D15" s="26" t="n">
        <f aca="false">D14+1</f>
        <v>3</v>
      </c>
      <c r="E15" s="26" t="n">
        <f aca="false">F14</f>
        <v>4</v>
      </c>
      <c r="F15" s="27" t="n">
        <f aca="false">MOD($B$17*E15+$B$16,$B$18)</f>
        <v>11</v>
      </c>
      <c r="G15" s="26" t="n">
        <f aca="false">E15/($B$18-1)</f>
        <v>0.166666666666667</v>
      </c>
    </row>
    <row r="16" customFormat="false" ht="15.75" hidden="false" customHeight="false" outlineLevel="0" collapsed="false">
      <c r="A16" s="23" t="s">
        <v>41</v>
      </c>
      <c r="B16" s="23" t="n">
        <v>9</v>
      </c>
      <c r="D16" s="26" t="n">
        <f aca="false">D15+1</f>
        <v>4</v>
      </c>
      <c r="E16" s="26" t="n">
        <f aca="false">F15</f>
        <v>11</v>
      </c>
      <c r="F16" s="27" t="n">
        <f aca="false">MOD($B$17*E16+$B$16,$B$18)</f>
        <v>2</v>
      </c>
      <c r="G16" s="26" t="n">
        <f aca="false">E16/($B$18-1)</f>
        <v>0.458333333333333</v>
      </c>
    </row>
    <row r="17" customFormat="false" ht="15.75" hidden="false" customHeight="false" outlineLevel="0" collapsed="false">
      <c r="A17" s="23" t="s">
        <v>22</v>
      </c>
      <c r="B17" s="26" t="n">
        <f aca="false">1+4*B14</f>
        <v>13</v>
      </c>
      <c r="D17" s="26" t="n">
        <f aca="false">D16+1</f>
        <v>5</v>
      </c>
      <c r="E17" s="26" t="n">
        <f aca="false">F16</f>
        <v>2</v>
      </c>
      <c r="F17" s="27" t="n">
        <f aca="false">MOD($B$17*E17+$B$16,$B$18)</f>
        <v>10</v>
      </c>
      <c r="G17" s="26" t="n">
        <f aca="false">E17/($B$18-1)</f>
        <v>0.0833333333333333</v>
      </c>
    </row>
    <row r="18" customFormat="false" ht="15.75" hidden="false" customHeight="false" outlineLevel="0" collapsed="false">
      <c r="A18" s="23" t="s">
        <v>42</v>
      </c>
      <c r="B18" s="23" t="n">
        <v>25</v>
      </c>
      <c r="D18" s="26" t="n">
        <f aca="false">D17+1</f>
        <v>6</v>
      </c>
      <c r="E18" s="26" t="n">
        <f aca="false">F17</f>
        <v>10</v>
      </c>
      <c r="F18" s="27" t="n">
        <f aca="false">MOD($B$17*E18+$B$16,$B$18)</f>
        <v>14</v>
      </c>
      <c r="G18" s="26" t="n">
        <f aca="false">E18/($B$18-1)</f>
        <v>0.416666666666667</v>
      </c>
    </row>
    <row r="19" customFormat="false" ht="15.75" hidden="false" customHeight="false" outlineLevel="0" collapsed="false">
      <c r="A19" s="23" t="s">
        <v>43</v>
      </c>
      <c r="B19" s="26" t="n">
        <f aca="false">B18</f>
        <v>25</v>
      </c>
      <c r="D19" s="26" t="n">
        <f aca="false">D18+1</f>
        <v>7</v>
      </c>
      <c r="E19" s="23" t="n">
        <v>7</v>
      </c>
      <c r="F19" s="27" t="n">
        <f aca="false">MOD($B$17*E19+$B$16,$B$18)</f>
        <v>0</v>
      </c>
      <c r="G19" s="26" t="n">
        <f aca="false">E19/($B$18-1)</f>
        <v>0.291666666666667</v>
      </c>
    </row>
    <row r="20" customFormat="false" ht="15.75" hidden="false" customHeight="false" outlineLevel="0" collapsed="false">
      <c r="D20" s="26" t="n">
        <f aca="false">D19+1</f>
        <v>8</v>
      </c>
      <c r="E20" s="23" t="n">
        <f aca="false">F19</f>
        <v>0</v>
      </c>
      <c r="F20" s="27" t="n">
        <f aca="false">MOD($B$17*E20+$B$16,$B$18)</f>
        <v>9</v>
      </c>
      <c r="G20" s="26" t="n">
        <f aca="false">E20/($B$18-1)</f>
        <v>0</v>
      </c>
    </row>
    <row r="21" customFormat="false" ht="15.75" hidden="false" customHeight="false" outlineLevel="0" collapsed="false">
      <c r="D21" s="26" t="n">
        <f aca="false">D20+1</f>
        <v>9</v>
      </c>
      <c r="E21" s="26" t="n">
        <f aca="false">F20</f>
        <v>9</v>
      </c>
      <c r="F21" s="27" t="n">
        <f aca="false">MOD($B$17*E21+$B$16,$B$18)</f>
        <v>1</v>
      </c>
      <c r="G21" s="26" t="n">
        <f aca="false">E21/($B$18-1)</f>
        <v>0.375</v>
      </c>
    </row>
    <row r="22" customFormat="false" ht="15.75" hidden="false" customHeight="false" outlineLevel="0" collapsed="false">
      <c r="D22" s="28" t="n">
        <f aca="false">D21+1</f>
        <v>10</v>
      </c>
      <c r="E22" s="28" t="n">
        <f aca="false">F21</f>
        <v>1</v>
      </c>
      <c r="F22" s="29" t="n">
        <f aca="false">MOD($B$17*E22+$B$16,$B$18)</f>
        <v>22</v>
      </c>
      <c r="G22" s="28" t="n">
        <f aca="false">E22/($B$18-1)</f>
        <v>0.0416666666666667</v>
      </c>
    </row>
    <row r="23" customFormat="false" ht="15.75" hidden="false" customHeight="false" outlineLevel="0" collapsed="false">
      <c r="D23" s="31"/>
      <c r="E23" s="31"/>
      <c r="F23" s="32"/>
      <c r="G23" s="31"/>
    </row>
    <row r="24" customFormat="false" ht="15.75" hidden="false" customHeight="false" outlineLevel="0" collapsed="false">
      <c r="D24" s="31"/>
      <c r="E24" s="31"/>
      <c r="F24" s="32"/>
      <c r="G24" s="31"/>
    </row>
    <row r="25" customFormat="false" ht="15.75" hidden="false" customHeight="false" outlineLevel="0" collapsed="false">
      <c r="D25" s="31"/>
      <c r="E25" s="31"/>
      <c r="F25" s="32"/>
      <c r="G25" s="31"/>
    </row>
    <row r="26" customFormat="false" ht="15.75" hidden="false" customHeight="false" outlineLevel="0" collapsed="false">
      <c r="D26" s="31"/>
      <c r="E26" s="31"/>
      <c r="F26" s="32"/>
      <c r="G26" s="31"/>
    </row>
    <row r="27" customFormat="false" ht="15.75" hidden="false" customHeight="false" outlineLevel="0" collapsed="false">
      <c r="D27" s="31"/>
      <c r="E27" s="31"/>
      <c r="F27" s="32"/>
      <c r="G27" s="31"/>
    </row>
    <row r="28" customFormat="false" ht="15.75" hidden="false" customHeight="false" outlineLevel="0" collapsed="false">
      <c r="D28" s="31"/>
      <c r="E28" s="31"/>
      <c r="F28" s="32"/>
      <c r="G28" s="3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94"/>
  <sheetViews>
    <sheetView showFormulas="false" showGridLines="true" showRowColHeaders="true" showZeros="true" rightToLeft="false" tabSelected="false" showOutlineSymbols="true" defaultGridColor="true" view="normal" topLeftCell="A61" colorId="64" zoomScale="100" zoomScaleNormal="100" zoomScalePageLayoutView="100" workbookViewId="0">
      <selection pane="topLeft" activeCell="C75" activeCellId="0" sqref="C75"/>
    </sheetView>
  </sheetViews>
  <sheetFormatPr defaultRowHeight="15.75" zeroHeight="false" outlineLevelRow="0" outlineLevelCol="0"/>
  <cols>
    <col collapsed="false" customWidth="true" hidden="false" outlineLevel="0" max="1" min="1" style="0" width="18.71"/>
    <col collapsed="false" customWidth="true" hidden="false" outlineLevel="0" max="6" min="2" style="0" width="14.43"/>
    <col collapsed="false" customWidth="true" hidden="false" outlineLevel="0" max="7" min="7" style="0" width="16.14"/>
    <col collapsed="false" customWidth="true" hidden="false" outlineLevel="0" max="9" min="8" style="0" width="14.43"/>
    <col collapsed="false" customWidth="true" hidden="false" outlineLevel="0" max="10" min="10" style="0" width="18.13"/>
    <col collapsed="false" customWidth="true" hidden="false" outlineLevel="0" max="1025" min="11" style="0" width="14.43"/>
  </cols>
  <sheetData>
    <row r="1" customFormat="false" ht="12.75" hidden="false" customHeight="false" outlineLevel="0" collapsed="false">
      <c r="A1" s="2" t="s">
        <v>51</v>
      </c>
    </row>
    <row r="2" customFormat="false" ht="15.75" hidden="false" customHeight="false" outlineLevel="0" collapsed="false">
      <c r="A2" s="2" t="s">
        <v>52</v>
      </c>
    </row>
    <row r="3" customFormat="false" ht="15.75" hidden="false" customHeight="false" outlineLevel="0" collapsed="false">
      <c r="A3" s="2" t="s">
        <v>53</v>
      </c>
    </row>
    <row r="4" customFormat="false" ht="15.75" hidden="false" customHeight="false" outlineLevel="0" collapsed="false">
      <c r="A4" s="2" t="s">
        <v>54</v>
      </c>
    </row>
    <row r="5" customFormat="false" ht="15.75" hidden="false" customHeight="false" outlineLevel="0" collapsed="false">
      <c r="A5" s="2" t="s">
        <v>55</v>
      </c>
    </row>
    <row r="6" customFormat="false" ht="15.75" hidden="false" customHeight="false" outlineLevel="0" collapsed="false">
      <c r="A6" s="2" t="s">
        <v>56</v>
      </c>
    </row>
    <row r="7" customFormat="false" ht="15.75" hidden="false" customHeight="false" outlineLevel="0" collapsed="false">
      <c r="A7" s="2" t="s">
        <v>57</v>
      </c>
    </row>
    <row r="8" customFormat="false" ht="15.75" hidden="false" customHeight="true" outlineLevel="0" collapsed="false">
      <c r="A8" s="2" t="s">
        <v>58</v>
      </c>
      <c r="F8" s="33" t="s">
        <v>59</v>
      </c>
    </row>
    <row r="9" customFormat="false" ht="15.75" hidden="false" customHeight="false" outlineLevel="0" collapsed="false">
      <c r="A9" s="2" t="s">
        <v>60</v>
      </c>
    </row>
    <row r="10" customFormat="false" ht="15.75" hidden="false" customHeight="true" outlineLevel="0" collapsed="false">
      <c r="F10" s="34"/>
      <c r="G10" s="35" t="s">
        <v>61</v>
      </c>
      <c r="H10" s="11" t="n">
        <v>10</v>
      </c>
    </row>
    <row r="11" customFormat="false" ht="15.75" hidden="false" customHeight="false" outlineLevel="0" collapsed="false">
      <c r="A11" s="36" t="s">
        <v>62</v>
      </c>
      <c r="B11" s="36" t="s">
        <v>63</v>
      </c>
      <c r="F11" s="37" t="s">
        <v>64</v>
      </c>
      <c r="G11" s="37"/>
      <c r="H11" s="37"/>
    </row>
    <row r="12" customFormat="false" ht="14.25" hidden="false" customHeight="false" outlineLevel="0" collapsed="false">
      <c r="A12" s="38" t="n">
        <v>0.1428</v>
      </c>
      <c r="B12" s="23" t="n">
        <v>0</v>
      </c>
      <c r="F12" s="8" t="s">
        <v>65</v>
      </c>
      <c r="G12" s="8"/>
      <c r="H12" s="39" t="n">
        <v>0.05</v>
      </c>
      <c r="I12" s="12" t="s">
        <v>66</v>
      </c>
    </row>
    <row r="13" customFormat="false" ht="15.75" hidden="false" customHeight="false" outlineLevel="0" collapsed="false">
      <c r="A13" s="38" t="n">
        <v>0.238</v>
      </c>
      <c r="B13" s="26" t="n">
        <f aca="false">B12+1</f>
        <v>1</v>
      </c>
      <c r="F13" s="8" t="s">
        <v>67</v>
      </c>
      <c r="G13" s="8"/>
      <c r="H13" s="40" t="n">
        <f aca="false">1-(H12/2)</f>
        <v>0.975</v>
      </c>
    </row>
    <row r="14" customFormat="false" ht="15.75" hidden="false" customHeight="true" outlineLevel="0" collapsed="false">
      <c r="A14" s="23" t="n">
        <v>0.1587</v>
      </c>
      <c r="B14" s="26" t="n">
        <f aca="false">B13+1</f>
        <v>2</v>
      </c>
      <c r="F14" s="41" t="s">
        <v>68</v>
      </c>
      <c r="G14" s="41"/>
      <c r="H14" s="42" t="n">
        <f aca="false">NORMSINV(H13)</f>
        <v>1.95996398454005</v>
      </c>
    </row>
    <row r="15" customFormat="false" ht="15.75" hidden="false" customHeight="true" outlineLevel="0" collapsed="false">
      <c r="A15" s="38" t="n">
        <v>0.6349</v>
      </c>
      <c r="B15" s="26" t="n">
        <f aca="false">B14+1</f>
        <v>3</v>
      </c>
      <c r="F15" s="43" t="s">
        <v>69</v>
      </c>
      <c r="G15" s="43"/>
      <c r="H15" s="44" t="n">
        <f aca="false">1/2-H14*(1/SQRT(12*H10))</f>
        <v>0.321080585628284</v>
      </c>
    </row>
    <row r="16" customFormat="false" ht="15.75" hidden="false" customHeight="true" outlineLevel="0" collapsed="false">
      <c r="A16" s="38" t="n">
        <v>0.9523</v>
      </c>
      <c r="B16" s="26" t="n">
        <f aca="false">B15+1</f>
        <v>4</v>
      </c>
      <c r="F16" s="45" t="s">
        <v>70</v>
      </c>
      <c r="G16" s="45"/>
      <c r="H16" s="46" t="n">
        <f aca="false">AVERAGE(A12:A21)</f>
        <v>0.47455</v>
      </c>
    </row>
    <row r="17" customFormat="false" ht="15.75" hidden="false" customHeight="true" outlineLevel="0" collapsed="false">
      <c r="A17" s="38" t="n">
        <v>0.2539</v>
      </c>
      <c r="B17" s="26" t="n">
        <f aca="false">B16+1</f>
        <v>5</v>
      </c>
      <c r="F17" s="47" t="s">
        <v>71</v>
      </c>
      <c r="G17" s="47"/>
      <c r="H17" s="48" t="n">
        <f aca="false">1/2+H14*(1/SQRT(12*H10))</f>
        <v>0.678919414371716</v>
      </c>
      <c r="I17" s="49" t="s">
        <v>72</v>
      </c>
    </row>
    <row r="18" customFormat="false" ht="15.75" hidden="false" customHeight="true" outlineLevel="0" collapsed="false">
      <c r="A18" s="38" t="n">
        <v>0.9841</v>
      </c>
      <c r="B18" s="26" t="n">
        <f aca="false">B17+1</f>
        <v>6</v>
      </c>
      <c r="F18" s="34"/>
      <c r="G18" s="34"/>
      <c r="H18" s="34"/>
    </row>
    <row r="19" customFormat="false" ht="15.75" hidden="false" customHeight="true" outlineLevel="0" collapsed="false">
      <c r="A19" s="38" t="n">
        <v>0.7142</v>
      </c>
      <c r="B19" s="26" t="n">
        <f aca="false">B18+1</f>
        <v>7</v>
      </c>
      <c r="F19" s="33" t="s">
        <v>73</v>
      </c>
    </row>
    <row r="20" customFormat="false" ht="15.75" hidden="false" customHeight="false" outlineLevel="0" collapsed="false">
      <c r="A20" s="38" t="n">
        <v>0.3015</v>
      </c>
      <c r="B20" s="26" t="n">
        <f aca="false">B19+1</f>
        <v>8</v>
      </c>
      <c r="F20" s="50" t="s">
        <v>74</v>
      </c>
      <c r="G20" s="50"/>
      <c r="H20" s="50"/>
    </row>
    <row r="21" customFormat="false" ht="15.75" hidden="false" customHeight="true" outlineLevel="0" collapsed="false">
      <c r="A21" s="51" t="n">
        <v>0.3651</v>
      </c>
      <c r="B21" s="52" t="n">
        <f aca="false">B20+1</f>
        <v>9</v>
      </c>
      <c r="E21" s="53"/>
      <c r="F21" s="8" t="s">
        <v>65</v>
      </c>
      <c r="G21" s="8"/>
      <c r="H21" s="54" t="n">
        <v>0.05</v>
      </c>
    </row>
    <row r="22" customFormat="false" ht="15.75" hidden="false" customHeight="true" outlineLevel="0" collapsed="false">
      <c r="E22" s="55"/>
      <c r="F22" s="8" t="s">
        <v>67</v>
      </c>
      <c r="G22" s="8"/>
      <c r="H22" s="54" t="n">
        <f aca="false">1-H21/2</f>
        <v>0.975</v>
      </c>
    </row>
    <row r="23" customFormat="false" ht="15.75" hidden="false" customHeight="true" outlineLevel="0" collapsed="false">
      <c r="F23" s="26"/>
      <c r="G23" s="56" t="s">
        <v>75</v>
      </c>
      <c r="H23" s="54" t="n">
        <f aca="false">_xlfn.CHISQ.INV.RT(H21/2,9)</f>
        <v>19.0227677986416</v>
      </c>
    </row>
    <row r="24" customFormat="false" ht="15.75" hidden="false" customHeight="false" outlineLevel="0" collapsed="false">
      <c r="F24" s="26"/>
      <c r="G24" s="57" t="s">
        <v>76</v>
      </c>
      <c r="H24" s="54" t="n">
        <f aca="false">_xlfn.CHISQ.INV.RT(H22,9)</f>
        <v>2.70038949998036</v>
      </c>
    </row>
    <row r="25" customFormat="false" ht="12.75" hidden="false" customHeight="false" outlineLevel="0" collapsed="false">
      <c r="F25" s="26"/>
      <c r="G25" s="58" t="s">
        <v>77</v>
      </c>
      <c r="H25" s="59" t="n">
        <f aca="false">_xlfn.VAR.S(A11:A21)</f>
        <v>0.103046413888889</v>
      </c>
    </row>
    <row r="26" customFormat="false" ht="12.75" hidden="false" customHeight="false" outlineLevel="0" collapsed="false">
      <c r="F26" s="26"/>
      <c r="G26" s="60" t="s">
        <v>78</v>
      </c>
      <c r="H26" s="54" t="n">
        <f aca="false">H24/(12*9)</f>
        <v>0.0250036064812996</v>
      </c>
    </row>
    <row r="27" customFormat="false" ht="12.75" hidden="false" customHeight="false" outlineLevel="0" collapsed="false">
      <c r="F27" s="26"/>
      <c r="G27" s="60" t="s">
        <v>79</v>
      </c>
      <c r="H27" s="54" t="n">
        <f aca="false">H23/(12*9)</f>
        <v>0.176136738876311</v>
      </c>
    </row>
    <row r="28" customFormat="false" ht="23.25" hidden="false" customHeight="false" outlineLevel="0" collapsed="false">
      <c r="F28" s="26"/>
      <c r="G28" s="58" t="s">
        <v>80</v>
      </c>
      <c r="H28" s="61" t="str">
        <f aca="false">IF(AND(H26&lt;H25,H25&lt;H27),"No se puede rechazar","Se puede rechazar")</f>
        <v>No se puede rechazar</v>
      </c>
    </row>
    <row r="33" customFormat="false" ht="15" hidden="false" customHeight="false" outlineLevel="0" collapsed="false">
      <c r="F33" s="34"/>
      <c r="G33" s="34"/>
      <c r="H33" s="34"/>
      <c r="I33" s="34"/>
      <c r="J33" s="34"/>
      <c r="K33" s="34"/>
      <c r="L33" s="34"/>
      <c r="M33" s="62"/>
    </row>
    <row r="34" customFormat="false" ht="15" hidden="false" customHeight="false" outlineLevel="0" collapsed="false">
      <c r="F34" s="34"/>
      <c r="G34" s="34"/>
      <c r="H34" s="34"/>
      <c r="I34" s="34"/>
      <c r="J34" s="34"/>
      <c r="K34" s="34"/>
      <c r="L34" s="34"/>
      <c r="M34" s="62"/>
    </row>
    <row r="35" customFormat="false" ht="21" hidden="false" customHeight="false" outlineLevel="0" collapsed="false">
      <c r="F35" s="34"/>
      <c r="G35" s="63" t="s">
        <v>81</v>
      </c>
      <c r="H35" s="63"/>
      <c r="I35" s="63"/>
      <c r="J35" s="63"/>
      <c r="K35" s="64" t="s">
        <v>82</v>
      </c>
      <c r="L35" s="34"/>
      <c r="M35" s="34"/>
    </row>
    <row r="36" customFormat="false" ht="15" hidden="false" customHeight="false" outlineLevel="0" collapsed="false">
      <c r="F36" s="34"/>
      <c r="G36" s="65" t="s">
        <v>83</v>
      </c>
      <c r="H36" s="66" t="n">
        <v>3</v>
      </c>
      <c r="I36" s="67" t="s">
        <v>61</v>
      </c>
      <c r="J36" s="67" t="n">
        <v>10</v>
      </c>
      <c r="K36" s="64" t="s">
        <v>84</v>
      </c>
      <c r="L36" s="34"/>
      <c r="M36" s="34"/>
    </row>
    <row r="37" customFormat="false" ht="15" hidden="false" customHeight="false" outlineLevel="0" collapsed="false">
      <c r="F37" s="34"/>
      <c r="G37" s="68" t="s">
        <v>85</v>
      </c>
      <c r="H37" s="69" t="s">
        <v>86</v>
      </c>
      <c r="I37" s="69" t="s">
        <v>87</v>
      </c>
      <c r="J37" s="69" t="s">
        <v>88</v>
      </c>
      <c r="K37" s="64" t="s">
        <v>89</v>
      </c>
      <c r="L37" s="34"/>
      <c r="M37" s="34"/>
    </row>
    <row r="38" customFormat="false" ht="15" hidden="false" customHeight="false" outlineLevel="0" collapsed="false">
      <c r="F38" s="34"/>
      <c r="G38" s="70" t="s">
        <v>90</v>
      </c>
      <c r="H38" s="71" t="n">
        <f aca="false">COUNTIFS(A12:A21,"&gt;=0.0", A12:A21, "&lt;=0.32")</f>
        <v>0</v>
      </c>
      <c r="I38" s="72" t="n">
        <f aca="false">J36/H36</f>
        <v>3.33333333333333</v>
      </c>
      <c r="J38" s="73" t="n">
        <f aca="false">(I38-H38)^2/I38</f>
        <v>3.33333333333333</v>
      </c>
      <c r="K38" s="64" t="s">
        <v>91</v>
      </c>
      <c r="L38" s="34"/>
      <c r="M38" s="34"/>
    </row>
    <row r="39" customFormat="false" ht="15" hidden="false" customHeight="false" outlineLevel="0" collapsed="false">
      <c r="F39" s="34"/>
      <c r="G39" s="70" t="s">
        <v>92</v>
      </c>
      <c r="H39" s="74" t="n">
        <f aca="false">COUNTIFS(A12:A21,"&gt;=0.33", A12:A21, "&lt;=0.66")</f>
        <v>0</v>
      </c>
      <c r="I39" s="72" t="n">
        <f aca="false">J36/H36</f>
        <v>3.33333333333333</v>
      </c>
      <c r="J39" s="73" t="n">
        <f aca="false">(I39-H39)^2/I39</f>
        <v>3.33333333333333</v>
      </c>
      <c r="K39" s="34"/>
      <c r="L39" s="34"/>
      <c r="M39" s="34"/>
    </row>
    <row r="40" customFormat="false" ht="15" hidden="false" customHeight="false" outlineLevel="0" collapsed="false">
      <c r="F40" s="34"/>
      <c r="G40" s="70" t="s">
        <v>93</v>
      </c>
      <c r="H40" s="74" t="n">
        <f aca="false">COUNTIFS(A12:A21,"&gt;0.67", A12:A21, "&lt;10")</f>
        <v>0</v>
      </c>
      <c r="I40" s="72" t="n">
        <f aca="false">J36/H36</f>
        <v>3.33333333333333</v>
      </c>
      <c r="J40" s="73" t="n">
        <f aca="false">(I40-H40)^2/I40</f>
        <v>3.33333333333333</v>
      </c>
      <c r="K40" s="34"/>
      <c r="L40" s="34"/>
      <c r="M40" s="34" t="n">
        <f aca="false">SQRT(10)</f>
        <v>3.16227766016838</v>
      </c>
      <c r="N40" s="12" t="s">
        <v>94</v>
      </c>
    </row>
    <row r="41" customFormat="false" ht="23.25" hidden="false" customHeight="false" outlineLevel="0" collapsed="false">
      <c r="F41" s="34"/>
      <c r="G41" s="75" t="s">
        <v>95</v>
      </c>
      <c r="H41" s="76" t="n">
        <f aca="false">SUM(H38:H40)</f>
        <v>0</v>
      </c>
      <c r="I41" s="77" t="n">
        <f aca="false">SUM(I38:I40)</f>
        <v>10</v>
      </c>
      <c r="J41" s="78" t="n">
        <f aca="false">SUM(J38:J40)</f>
        <v>10</v>
      </c>
      <c r="K41" s="79"/>
      <c r="L41" s="34"/>
      <c r="M41" s="34"/>
    </row>
    <row r="42" customFormat="false" ht="15" hidden="false" customHeight="false" outlineLevel="0" collapsed="false">
      <c r="F42" s="34"/>
      <c r="G42" s="34"/>
      <c r="H42" s="65" t="s">
        <v>65</v>
      </c>
      <c r="I42" s="80" t="n">
        <v>0.05</v>
      </c>
      <c r="J42" s="34"/>
      <c r="K42" s="34"/>
      <c r="L42" s="34"/>
      <c r="M42" s="34"/>
    </row>
    <row r="43" customFormat="false" ht="23.25" hidden="false" customHeight="false" outlineLevel="0" collapsed="false">
      <c r="F43" s="34"/>
      <c r="G43" s="34"/>
      <c r="H43" s="81" t="s">
        <v>96</v>
      </c>
      <c r="I43" s="82" t="n">
        <f aca="false">_xlfn.CHISQ.INV.RT(I42,2)</f>
        <v>5.99146454710798</v>
      </c>
      <c r="J43" s="34"/>
      <c r="K43" s="83" t="s">
        <v>97</v>
      </c>
      <c r="L43" s="83"/>
      <c r="M43" s="34"/>
    </row>
    <row r="44" customFormat="false" ht="15.75" hidden="false" customHeight="true" outlineLevel="0" collapsed="false">
      <c r="K44" s="12" t="s">
        <v>98</v>
      </c>
    </row>
    <row r="45" customFormat="false" ht="21" hidden="false" customHeight="false" outlineLevel="0" collapsed="false">
      <c r="A45" s="84" t="s">
        <v>99</v>
      </c>
    </row>
    <row r="47" customFormat="false" ht="12.75" hidden="false" customHeight="false" outlineLevel="0" collapsed="false">
      <c r="A47" s="85" t="s">
        <v>7</v>
      </c>
      <c r="B47" s="85" t="s">
        <v>100</v>
      </c>
      <c r="C47" s="85" t="s">
        <v>101</v>
      </c>
      <c r="D47" s="85" t="s">
        <v>102</v>
      </c>
      <c r="E47" s="85" t="s">
        <v>103</v>
      </c>
      <c r="F47" s="86" t="s">
        <v>104</v>
      </c>
      <c r="H47" s="2" t="s">
        <v>105</v>
      </c>
    </row>
    <row r="48" customFormat="false" ht="12.75" hidden="false" customHeight="false" outlineLevel="0" collapsed="false">
      <c r="A48" s="7" t="n">
        <v>1</v>
      </c>
      <c r="B48" s="7" t="n">
        <v>0.1428</v>
      </c>
      <c r="C48" s="7" t="n">
        <v>0.1428</v>
      </c>
      <c r="D48" s="15" t="n">
        <f aca="false">(1/$C$59)-C48</f>
        <v>-0.0428</v>
      </c>
      <c r="E48" s="7" t="n">
        <f aca="false">C48-((A48-1)/$C$59)</f>
        <v>0.1428</v>
      </c>
      <c r="F48" s="15" t="n">
        <f aca="false">MAX(D58:E58)</f>
        <v>0.1523</v>
      </c>
    </row>
    <row r="49" customFormat="false" ht="14.25" hidden="false" customHeight="false" outlineLevel="0" collapsed="false">
      <c r="A49" s="7" t="n">
        <v>2</v>
      </c>
      <c r="B49" s="7" t="n">
        <v>0.238</v>
      </c>
      <c r="C49" s="7" t="n">
        <v>0.1587</v>
      </c>
      <c r="D49" s="15" t="n">
        <f aca="false">(1/$C$59)-C49</f>
        <v>-0.0587</v>
      </c>
      <c r="E49" s="7" t="n">
        <f aca="false">C49-((A49-1)/$C$59)</f>
        <v>0.0587</v>
      </c>
      <c r="F49" s="10"/>
      <c r="H49" s="62" t="s">
        <v>106</v>
      </c>
    </row>
    <row r="50" customFormat="false" ht="12.75" hidden="false" customHeight="false" outlineLevel="0" collapsed="false">
      <c r="A50" s="7" t="n">
        <v>3</v>
      </c>
      <c r="B50" s="7" t="n">
        <v>0.1587</v>
      </c>
      <c r="C50" s="7" t="n">
        <v>0.238</v>
      </c>
      <c r="D50" s="15" t="n">
        <f aca="false">(1/$C$59)-C50</f>
        <v>-0.138</v>
      </c>
      <c r="E50" s="7" t="n">
        <f aca="false">C50-((A50-1)/$C$59)</f>
        <v>0.038</v>
      </c>
      <c r="F50" s="10"/>
      <c r="H50" s="2" t="s">
        <v>107</v>
      </c>
      <c r="I50" s="2" t="n">
        <v>0.41</v>
      </c>
    </row>
    <row r="51" customFormat="false" ht="12.75" hidden="false" customHeight="false" outlineLevel="0" collapsed="false">
      <c r="A51" s="7" t="n">
        <v>4</v>
      </c>
      <c r="B51" s="7" t="n">
        <v>0.6349</v>
      </c>
      <c r="C51" s="7" t="n">
        <v>0.2539</v>
      </c>
      <c r="D51" s="15" t="n">
        <f aca="false">(1/$C$59)-C51</f>
        <v>-0.1539</v>
      </c>
      <c r="E51" s="7" t="n">
        <f aca="false">C51-((A51-1)/$C$59)</f>
        <v>-0.0461</v>
      </c>
      <c r="F51" s="87"/>
    </row>
    <row r="52" customFormat="false" ht="12.75" hidden="false" customHeight="false" outlineLevel="0" collapsed="false">
      <c r="A52" s="7" t="n">
        <v>5</v>
      </c>
      <c r="B52" s="7" t="n">
        <v>0.9523</v>
      </c>
      <c r="C52" s="7" t="n">
        <v>0.3015</v>
      </c>
      <c r="D52" s="15" t="n">
        <f aca="false">(1/$C$59)-C52</f>
        <v>-0.2015</v>
      </c>
      <c r="E52" s="7" t="n">
        <f aca="false">C52-((A52-1)/$C$59)</f>
        <v>-0.0985</v>
      </c>
      <c r="F52" s="10"/>
    </row>
    <row r="53" customFormat="false" ht="12.75" hidden="false" customHeight="false" outlineLevel="0" collapsed="false">
      <c r="A53" s="7" t="n">
        <v>6</v>
      </c>
      <c r="B53" s="7" t="n">
        <v>0.2539</v>
      </c>
      <c r="C53" s="7" t="n">
        <v>0.3651</v>
      </c>
      <c r="D53" s="15" t="n">
        <f aca="false">(1/$C$59)-C53</f>
        <v>-0.2651</v>
      </c>
      <c r="E53" s="7" t="n">
        <f aca="false">C53-((A53-1)/$C$59)</f>
        <v>-0.1349</v>
      </c>
      <c r="F53" s="10"/>
    </row>
    <row r="54" customFormat="false" ht="12.75" hidden="false" customHeight="false" outlineLevel="0" collapsed="false">
      <c r="A54" s="7" t="n">
        <v>7</v>
      </c>
      <c r="B54" s="7" t="n">
        <v>0.9841</v>
      </c>
      <c r="C54" s="7" t="n">
        <v>0.6349</v>
      </c>
      <c r="D54" s="15" t="n">
        <f aca="false">(1/$C$59)-C54</f>
        <v>-0.5349</v>
      </c>
      <c r="E54" s="7" t="n">
        <f aca="false">C54-((A54-1)/$C$59)</f>
        <v>0.0349</v>
      </c>
      <c r="F54" s="10"/>
    </row>
    <row r="55" customFormat="false" ht="12.75" hidden="false" customHeight="false" outlineLevel="0" collapsed="false">
      <c r="A55" s="7" t="n">
        <v>8</v>
      </c>
      <c r="B55" s="7" t="n">
        <v>0.7142</v>
      </c>
      <c r="C55" s="7" t="n">
        <v>0.7142</v>
      </c>
      <c r="D55" s="15" t="n">
        <f aca="false">(1/$C$59)-C55</f>
        <v>-0.6142</v>
      </c>
      <c r="E55" s="7" t="n">
        <f aca="false">C55-((A55-1)/$C$59)</f>
        <v>0.0142000000000001</v>
      </c>
      <c r="F55" s="10"/>
    </row>
    <row r="56" customFormat="false" ht="12.75" hidden="false" customHeight="false" outlineLevel="0" collapsed="false">
      <c r="A56" s="7" t="n">
        <v>9</v>
      </c>
      <c r="B56" s="7" t="n">
        <v>0.3015</v>
      </c>
      <c r="C56" s="7" t="n">
        <v>0.9523</v>
      </c>
      <c r="D56" s="15" t="n">
        <f aca="false">(1/$C$59)-C56</f>
        <v>-0.8523</v>
      </c>
      <c r="E56" s="7" t="n">
        <f aca="false">C56-((A56-1)/$C$59)</f>
        <v>0.1523</v>
      </c>
      <c r="F56" s="10"/>
      <c r="G56" s="2" t="s">
        <v>108</v>
      </c>
    </row>
    <row r="57" customFormat="false" ht="12.75" hidden="false" customHeight="false" outlineLevel="0" collapsed="false">
      <c r="A57" s="7" t="n">
        <v>10</v>
      </c>
      <c r="B57" s="7" t="n">
        <v>0.3651</v>
      </c>
      <c r="C57" s="7" t="n">
        <v>0.9841</v>
      </c>
      <c r="D57" s="15" t="n">
        <f aca="false">(1/$C$59)-C57</f>
        <v>-0.8841</v>
      </c>
      <c r="E57" s="7" t="n">
        <f aca="false">C57-((A57-1)/$C$59)</f>
        <v>0.0841000000000001</v>
      </c>
      <c r="F57" s="10"/>
    </row>
    <row r="58" customFormat="false" ht="18.75" hidden="false" customHeight="false" outlineLevel="0" collapsed="false">
      <c r="C58" s="88" t="s">
        <v>109</v>
      </c>
      <c r="D58" s="25" t="n">
        <f aca="false">MAX(D48:D57)</f>
        <v>-0.0428</v>
      </c>
      <c r="E58" s="89" t="n">
        <f aca="false">MAX(E48:E57)</f>
        <v>0.1523</v>
      </c>
      <c r="F58" s="90" t="s">
        <v>80</v>
      </c>
      <c r="G58" s="91" t="str">
        <f aca="false">IF(I50&gt;F48,"No se puede rechazar", "Se puede rechazar")</f>
        <v>No se puede rechazar</v>
      </c>
    </row>
    <row r="59" customFormat="false" ht="12.75" hidden="false" customHeight="false" outlineLevel="0" collapsed="false">
      <c r="B59" s="10" t="s">
        <v>61</v>
      </c>
      <c r="C59" s="2" t="n">
        <v>10</v>
      </c>
      <c r="D59" s="12" t="s">
        <v>110</v>
      </c>
    </row>
    <row r="60" customFormat="false" ht="12.75" hidden="false" customHeight="false" outlineLevel="0" collapsed="false">
      <c r="B60" s="10"/>
      <c r="D60" s="12" t="s">
        <v>111</v>
      </c>
    </row>
    <row r="62" customFormat="false" ht="20.25" hidden="false" customHeight="false" outlineLevel="0" collapsed="false">
      <c r="A62" s="92" t="s">
        <v>112</v>
      </c>
      <c r="B62" s="93"/>
      <c r="C62" s="93"/>
      <c r="D62" s="2"/>
    </row>
    <row r="63" customFormat="false" ht="12.75" hidden="false" customHeight="false" outlineLevel="0" collapsed="false">
      <c r="A63" s="2"/>
      <c r="B63" s="2"/>
      <c r="C63" s="2"/>
      <c r="D63" s="2"/>
    </row>
    <row r="64" customFormat="false" ht="12.75" hidden="false" customHeight="false" outlineLevel="0" collapsed="false">
      <c r="A64" s="94" t="s">
        <v>113</v>
      </c>
      <c r="B64" s="95" t="s">
        <v>114</v>
      </c>
      <c r="C64" s="95" t="s">
        <v>115</v>
      </c>
      <c r="D64" s="2"/>
      <c r="E64" s="2"/>
    </row>
    <row r="65" customFormat="false" ht="12.75" hidden="false" customHeight="false" outlineLevel="0" collapsed="false">
      <c r="A65" s="96" t="n">
        <v>0.1428</v>
      </c>
      <c r="B65" s="7" t="n">
        <f aca="false">IF(A65&lt;=A66,1,0)</f>
        <v>1</v>
      </c>
      <c r="C65" s="23" t="n">
        <v>7</v>
      </c>
      <c r="D65" s="2"/>
    </row>
    <row r="66" customFormat="false" ht="12.75" hidden="false" customHeight="false" outlineLevel="0" collapsed="false">
      <c r="A66" s="96" t="n">
        <v>0.238</v>
      </c>
      <c r="B66" s="7" t="n">
        <f aca="false">IF(A66&lt;=A67,1,0)</f>
        <v>0</v>
      </c>
      <c r="C66" s="95" t="s">
        <v>116</v>
      </c>
      <c r="D66" s="2"/>
    </row>
    <row r="67" customFormat="false" ht="12.75" hidden="false" customHeight="false" outlineLevel="0" collapsed="false">
      <c r="A67" s="7" t="n">
        <v>0.1587</v>
      </c>
      <c r="B67" s="7" t="n">
        <f aca="false">IF(A67&lt;=A68,1,0)</f>
        <v>1</v>
      </c>
      <c r="C67" s="97" t="n">
        <v>10</v>
      </c>
      <c r="D67" s="2"/>
    </row>
    <row r="68" customFormat="false" ht="12.75" hidden="false" customHeight="false" outlineLevel="0" collapsed="false">
      <c r="A68" s="96" t="n">
        <v>0.6349</v>
      </c>
      <c r="B68" s="7" t="n">
        <f aca="false">IF(A68&lt;=A69,1,0)</f>
        <v>1</v>
      </c>
      <c r="C68" s="95" t="s">
        <v>117</v>
      </c>
      <c r="D68" s="2"/>
    </row>
    <row r="69" customFormat="false" ht="12.75" hidden="false" customHeight="false" outlineLevel="0" collapsed="false">
      <c r="A69" s="96" t="n">
        <v>0.9523</v>
      </c>
      <c r="B69" s="7" t="n">
        <f aca="false">IF(A69&lt;=A70,1,0)</f>
        <v>0</v>
      </c>
      <c r="C69" s="98" t="n">
        <f aca="false">(2*C67-1)/3</f>
        <v>6.33333333333333</v>
      </c>
      <c r="D69" s="2"/>
    </row>
    <row r="70" customFormat="false" ht="15" hidden="false" customHeight="false" outlineLevel="0" collapsed="false">
      <c r="A70" s="96" t="n">
        <v>0.2539</v>
      </c>
      <c r="B70" s="7" t="n">
        <f aca="false">IF(A70&lt;=A71,1,0)</f>
        <v>1</v>
      </c>
      <c r="C70" s="99" t="s">
        <v>118</v>
      </c>
      <c r="D70" s="2"/>
    </row>
    <row r="71" customFormat="false" ht="12.75" hidden="false" customHeight="false" outlineLevel="0" collapsed="false">
      <c r="A71" s="96" t="n">
        <v>0.9841</v>
      </c>
      <c r="B71" s="7" t="n">
        <f aca="false">IF(A71&lt;=A72,1,0)</f>
        <v>0</v>
      </c>
      <c r="C71" s="23" t="n">
        <f aca="false">(16*C67-29)/90</f>
        <v>1.45555555555556</v>
      </c>
      <c r="D71" s="2"/>
    </row>
    <row r="72" customFormat="false" ht="12.75" hidden="false" customHeight="false" outlineLevel="0" collapsed="false">
      <c r="A72" s="96" t="n">
        <v>0.7142</v>
      </c>
      <c r="B72" s="7" t="n">
        <f aca="false">IF(A72&lt;=A73,1,0)</f>
        <v>0</v>
      </c>
      <c r="C72" s="95" t="s">
        <v>119</v>
      </c>
      <c r="D72" s="2"/>
    </row>
    <row r="73" customFormat="false" ht="12.75" hidden="false" customHeight="false" outlineLevel="0" collapsed="false">
      <c r="A73" s="96" t="n">
        <v>0.3015</v>
      </c>
      <c r="B73" s="7" t="n">
        <f aca="false">IF(A73&lt;=A74,1,0)</f>
        <v>1</v>
      </c>
      <c r="C73" s="23" t="n">
        <f aca="false">ABS((C65-C69)/SQRT(C71))</f>
        <v>0.552578963995538</v>
      </c>
      <c r="D73" s="2"/>
    </row>
    <row r="74" customFormat="false" ht="18" hidden="false" customHeight="false" outlineLevel="0" collapsed="false">
      <c r="A74" s="100" t="n">
        <v>0.3651</v>
      </c>
      <c r="B74" s="7"/>
      <c r="C74" s="101" t="s">
        <v>120</v>
      </c>
      <c r="D74" s="2" t="s">
        <v>121</v>
      </c>
    </row>
    <row r="75" customFormat="false" ht="12.75" hidden="false" customHeight="false" outlineLevel="0" collapsed="false">
      <c r="A75" s="2"/>
      <c r="B75" s="2"/>
      <c r="C75" s="102" t="n">
        <f aca="false">_xlfn.NORM.S.INV(0.975)</f>
        <v>1.95996398454005</v>
      </c>
      <c r="D75" s="2"/>
    </row>
    <row r="76" customFormat="false" ht="18" hidden="false" customHeight="false" outlineLevel="0" collapsed="false">
      <c r="A76" s="103" t="s">
        <v>122</v>
      </c>
      <c r="C76" s="104" t="str">
        <f aca="false">IF(C75&gt;C73,"No se puede rechazar", "Se puede rechazar")</f>
        <v>No se puede rechazar</v>
      </c>
    </row>
    <row r="77" customFormat="false" ht="15.75" hidden="false" customHeight="true" outlineLevel="0" collapsed="false">
      <c r="A77" s="12" t="s">
        <v>123</v>
      </c>
    </row>
    <row r="80" customFormat="false" ht="20.25" hidden="false" customHeight="false" outlineLevel="0" collapsed="false">
      <c r="A80" s="105" t="s">
        <v>124</v>
      </c>
      <c r="B80" s="5"/>
      <c r="C80" s="5"/>
      <c r="D80" s="5"/>
    </row>
    <row r="81" customFormat="false" ht="14.25" hidden="false" customHeight="false" outlineLevel="0" collapsed="false">
      <c r="A81" s="5"/>
      <c r="B81" s="62" t="s">
        <v>125</v>
      </c>
      <c r="C81" s="62" t="s">
        <v>126</v>
      </c>
      <c r="D81" s="62" t="s">
        <v>127</v>
      </c>
      <c r="E81" s="2" t="s">
        <v>128</v>
      </c>
    </row>
    <row r="82" customFormat="false" ht="18" hidden="false" customHeight="false" outlineLevel="0" collapsed="false">
      <c r="A82" s="106" t="s">
        <v>113</v>
      </c>
      <c r="B82" s="107" t="s">
        <v>114</v>
      </c>
      <c r="C82" s="107" t="s">
        <v>115</v>
      </c>
      <c r="D82" s="95" t="s">
        <v>117</v>
      </c>
      <c r="E82" s="101" t="s">
        <v>120</v>
      </c>
    </row>
    <row r="83" customFormat="false" ht="14.25" hidden="false" customHeight="false" outlineLevel="0" collapsed="false">
      <c r="A83" s="108" t="n">
        <v>0.1428</v>
      </c>
      <c r="B83" s="109" t="n">
        <f aca="false">ROUND(A83,0)</f>
        <v>0</v>
      </c>
      <c r="C83" s="110" t="n">
        <v>5</v>
      </c>
      <c r="D83" s="27" t="n">
        <f aca="false">((2*C85*C87)/D88)+1/2</f>
        <v>5.3</v>
      </c>
      <c r="E83" s="111" t="n">
        <f aca="false">_xlfn.NORM.S.INV(0.975)</f>
        <v>1.95996398454005</v>
      </c>
    </row>
    <row r="84" customFormat="false" ht="15" hidden="false" customHeight="false" outlineLevel="0" collapsed="false">
      <c r="A84" s="108" t="n">
        <v>0.238</v>
      </c>
      <c r="B84" s="109" t="n">
        <f aca="false">ROUND(A84,0)</f>
        <v>0</v>
      </c>
      <c r="C84" s="107" t="s">
        <v>129</v>
      </c>
      <c r="D84" s="99" t="s">
        <v>118</v>
      </c>
      <c r="E84" s="2" t="s">
        <v>80</v>
      </c>
    </row>
    <row r="85" customFormat="false" ht="15" hidden="false" customHeight="false" outlineLevel="0" collapsed="false">
      <c r="A85" s="110" t="n">
        <v>0.1587</v>
      </c>
      <c r="B85" s="109" t="n">
        <f aca="false">ROUND(A85,0)</f>
        <v>0</v>
      </c>
      <c r="C85" s="26" t="n">
        <f aca="false">COUNTIF(B83:B92,0)</f>
        <v>6</v>
      </c>
      <c r="D85" s="27" t="n">
        <f aca="false">2*C85*C87*(2*C85*C87-$D$88)/($D$88*$D$88*($D$88-1))</f>
        <v>2.02666666666667</v>
      </c>
      <c r="E85" s="112" t="str">
        <f aca="false">IF(E83&gt;D87,"No se puede rechazar", "Se puede rechazar")</f>
        <v>No se puede rechazar</v>
      </c>
    </row>
    <row r="86" customFormat="false" ht="14.25" hidden="false" customHeight="false" outlineLevel="0" collapsed="false">
      <c r="A86" s="108" t="n">
        <v>0.6349</v>
      </c>
      <c r="B86" s="109" t="n">
        <f aca="false">ROUND(A86,0)</f>
        <v>1</v>
      </c>
      <c r="C86" s="107" t="s">
        <v>130</v>
      </c>
      <c r="D86" s="95" t="s">
        <v>119</v>
      </c>
    </row>
    <row r="87" customFormat="false" ht="14.25" hidden="false" customHeight="false" outlineLevel="0" collapsed="false">
      <c r="A87" s="108" t="n">
        <v>0.9523</v>
      </c>
      <c r="B87" s="109" t="n">
        <f aca="false">ROUND(A87,0)</f>
        <v>1</v>
      </c>
      <c r="C87" s="26" t="n">
        <f aca="false">COUNTIF(B83:B92,1)</f>
        <v>4</v>
      </c>
      <c r="D87" s="27" t="n">
        <f aca="false">(C83-D83)/SQRT(D85)</f>
        <v>-0.210731807605881</v>
      </c>
    </row>
    <row r="88" customFormat="false" ht="14.25" hidden="false" customHeight="false" outlineLevel="0" collapsed="false">
      <c r="A88" s="108" t="n">
        <v>0.2539</v>
      </c>
      <c r="B88" s="109" t="n">
        <f aca="false">ROUND(A88,0)</f>
        <v>0</v>
      </c>
      <c r="C88" s="107" t="s">
        <v>116</v>
      </c>
      <c r="D88" s="106" t="n">
        <v>10</v>
      </c>
    </row>
    <row r="89" customFormat="false" ht="14.25" hidden="false" customHeight="false" outlineLevel="0" collapsed="false">
      <c r="A89" s="108" t="n">
        <v>0.9841</v>
      </c>
      <c r="B89" s="109" t="n">
        <f aca="false">ROUND(A89,0)</f>
        <v>1</v>
      </c>
      <c r="C89" s="5"/>
      <c r="D89" s="5"/>
    </row>
    <row r="90" customFormat="false" ht="18" hidden="false" customHeight="false" outlineLevel="0" collapsed="false">
      <c r="A90" s="108" t="n">
        <v>0.7142</v>
      </c>
      <c r="B90" s="109" t="n">
        <f aca="false">ROUND(A90,0)</f>
        <v>1</v>
      </c>
      <c r="C90" s="5"/>
      <c r="D90" s="103" t="s">
        <v>122</v>
      </c>
      <c r="E90" s="103"/>
    </row>
    <row r="91" customFormat="false" ht="14.25" hidden="false" customHeight="false" outlineLevel="0" collapsed="false">
      <c r="A91" s="108" t="n">
        <v>0.3015</v>
      </c>
      <c r="B91" s="109" t="n">
        <f aca="false">ROUND(A91,0)</f>
        <v>0</v>
      </c>
      <c r="C91" s="5"/>
      <c r="D91" s="5"/>
    </row>
    <row r="92" customFormat="false" ht="14.25" hidden="false" customHeight="false" outlineLevel="0" collapsed="false">
      <c r="A92" s="113" t="n">
        <v>0.3651</v>
      </c>
      <c r="B92" s="109" t="n">
        <f aca="false">ROUND(A92,0)</f>
        <v>0</v>
      </c>
      <c r="C92" s="32" t="s">
        <v>131</v>
      </c>
      <c r="D92" s="5"/>
    </row>
    <row r="94" customFormat="false" ht="15.75" hidden="false" customHeight="true" outlineLevel="0" collapsed="false">
      <c r="A94" s="12" t="s">
        <v>132</v>
      </c>
    </row>
  </sheetData>
  <mergeCells count="12">
    <mergeCell ref="F11:H11"/>
    <mergeCell ref="F12:G12"/>
    <mergeCell ref="F13:G13"/>
    <mergeCell ref="F14:G14"/>
    <mergeCell ref="F15:G15"/>
    <mergeCell ref="F16:G16"/>
    <mergeCell ref="F17:G17"/>
    <mergeCell ref="F20:H20"/>
    <mergeCell ref="F21:G21"/>
    <mergeCell ref="F22:G22"/>
    <mergeCell ref="G35:J35"/>
    <mergeCell ref="K43:L43"/>
  </mergeCells>
  <conditionalFormatting sqref="A21 A92">
    <cfRule type="expression" priority="2" aboveAverage="0" equalAverage="0" bottom="0" percent="0" rank="0" text="" dxfId="0">
      <formula>LEN(TRIM(A21))&gt;0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95" activeCellId="0" sqref="C95"/>
    </sheetView>
  </sheetViews>
  <sheetFormatPr defaultRowHeight="15.75" zeroHeight="false" outlineLevelRow="0" outlineLevelCol="0"/>
  <cols>
    <col collapsed="false" customWidth="true" hidden="false" outlineLevel="0" max="2" min="1" style="0" width="14.43"/>
    <col collapsed="false" customWidth="true" hidden="false" outlineLevel="0" max="3" min="3" style="0" width="12.29"/>
    <col collapsed="false" customWidth="true" hidden="false" outlineLevel="0" max="6" min="4" style="0" width="14.43"/>
    <col collapsed="false" customWidth="true" hidden="false" outlineLevel="0" max="7" min="7" style="0" width="19"/>
    <col collapsed="false" customWidth="true" hidden="false" outlineLevel="0" max="1025" min="8" style="0" width="14.43"/>
  </cols>
  <sheetData>
    <row r="1" customFormat="false" ht="15.75" hidden="false" customHeight="false" outlineLevel="0" collapsed="false">
      <c r="A1" s="114" t="s">
        <v>133</v>
      </c>
    </row>
    <row r="2" customFormat="false" ht="15.75" hidden="false" customHeight="false" outlineLevel="0" collapsed="false">
      <c r="A2" s="114" t="s">
        <v>134</v>
      </c>
    </row>
    <row r="3" customFormat="false" ht="15.75" hidden="false" customHeight="false" outlineLevel="0" collapsed="false">
      <c r="A3" s="114" t="s">
        <v>52</v>
      </c>
    </row>
    <row r="4" customFormat="false" ht="15.75" hidden="false" customHeight="false" outlineLevel="0" collapsed="false">
      <c r="A4" s="114" t="s">
        <v>53</v>
      </c>
    </row>
    <row r="5" customFormat="false" ht="15.75" hidden="false" customHeight="false" outlineLevel="0" collapsed="false">
      <c r="A5" s="114" t="s">
        <v>135</v>
      </c>
    </row>
    <row r="6" customFormat="false" ht="15.75" hidden="false" customHeight="false" outlineLevel="0" collapsed="false">
      <c r="A6" s="114" t="s">
        <v>55</v>
      </c>
    </row>
    <row r="7" customFormat="false" ht="15.75" hidden="false" customHeight="false" outlineLevel="0" collapsed="false">
      <c r="A7" s="114" t="s">
        <v>56</v>
      </c>
    </row>
    <row r="8" customFormat="false" ht="15.75" hidden="false" customHeight="false" outlineLevel="0" collapsed="false">
      <c r="A8" s="114" t="s">
        <v>57</v>
      </c>
    </row>
    <row r="9" customFormat="false" ht="15.75" hidden="false" customHeight="false" outlineLevel="0" collapsed="false">
      <c r="A9" s="114" t="s">
        <v>58</v>
      </c>
    </row>
    <row r="10" customFormat="false" ht="15.75" hidden="false" customHeight="false" outlineLevel="0" collapsed="false">
      <c r="A10" s="114" t="s">
        <v>60</v>
      </c>
    </row>
    <row r="11" customFormat="false" ht="15.75" hidden="false" customHeight="false" outlineLevel="0" collapsed="false">
      <c r="A11" s="115" t="s">
        <v>136</v>
      </c>
    </row>
    <row r="12" customFormat="false" ht="15.75" hidden="false" customHeight="false" outlineLevel="0" collapsed="false">
      <c r="A12" s="115" t="s">
        <v>137</v>
      </c>
    </row>
    <row r="13" customFormat="false" ht="15.75" hidden="false" customHeight="false" outlineLevel="0" collapsed="false">
      <c r="A13" s="116" t="s">
        <v>138</v>
      </c>
    </row>
    <row r="14" customFormat="false" ht="15.75" hidden="false" customHeight="true" outlineLevel="0" collapsed="false">
      <c r="D14" s="33" t="s">
        <v>59</v>
      </c>
    </row>
    <row r="15" customFormat="false" ht="15.75" hidden="false" customHeight="false" outlineLevel="0" collapsed="false">
      <c r="A15" s="117" t="s">
        <v>63</v>
      </c>
      <c r="B15" s="117" t="s">
        <v>139</v>
      </c>
      <c r="D15" s="2" t="s">
        <v>140</v>
      </c>
      <c r="F15" s="19" t="n">
        <f aca="false">F16-1</f>
        <v>19</v>
      </c>
    </row>
    <row r="16" customFormat="false" ht="15.75" hidden="false" customHeight="false" outlineLevel="0" collapsed="false">
      <c r="A16" s="23" t="n">
        <v>0</v>
      </c>
      <c r="B16" s="118" t="n">
        <v>0.602</v>
      </c>
      <c r="D16" s="2" t="s">
        <v>116</v>
      </c>
      <c r="F16" s="2" t="n">
        <v>20</v>
      </c>
    </row>
    <row r="17" customFormat="false" ht="15.75" hidden="false" customHeight="false" outlineLevel="0" collapsed="false">
      <c r="A17" s="23" t="n">
        <v>1</v>
      </c>
      <c r="B17" s="118" t="n">
        <v>0.346</v>
      </c>
      <c r="D17" s="119" t="s">
        <v>141</v>
      </c>
      <c r="E17" s="119"/>
      <c r="F17" s="119"/>
    </row>
    <row r="18" customFormat="false" ht="15.75" hidden="false" customHeight="false" outlineLevel="0" collapsed="false">
      <c r="A18" s="23" t="n">
        <v>2</v>
      </c>
      <c r="B18" s="23" t="n">
        <v>0.6169</v>
      </c>
      <c r="D18" s="8" t="s">
        <v>65</v>
      </c>
      <c r="E18" s="8"/>
      <c r="F18" s="120" t="n">
        <v>0.05</v>
      </c>
    </row>
    <row r="19" customFormat="false" ht="15.75" hidden="false" customHeight="false" outlineLevel="0" collapsed="false">
      <c r="A19" s="23" t="n">
        <v>3</v>
      </c>
      <c r="B19" s="23" t="n">
        <v>0.6326</v>
      </c>
      <c r="D19" s="8" t="s">
        <v>67</v>
      </c>
      <c r="E19" s="8"/>
      <c r="F19" s="121" t="n">
        <f aca="false">1-(F18/2)</f>
        <v>0.975</v>
      </c>
    </row>
    <row r="20" customFormat="false" ht="15.75" hidden="false" customHeight="true" outlineLevel="0" collapsed="false">
      <c r="A20" s="23" t="n">
        <v>4</v>
      </c>
      <c r="B20" s="23" t="n">
        <v>0.4421</v>
      </c>
      <c r="D20" s="41" t="s">
        <v>68</v>
      </c>
      <c r="E20" s="41"/>
      <c r="F20" s="42" t="n">
        <f aca="false">NORMSINV(F19)</f>
        <v>1.95996398454005</v>
      </c>
    </row>
    <row r="21" customFormat="false" ht="15.75" hidden="false" customHeight="true" outlineLevel="0" collapsed="false">
      <c r="A21" s="23" t="n">
        <v>5</v>
      </c>
      <c r="B21" s="118" t="n">
        <v>0.1496</v>
      </c>
      <c r="D21" s="43" t="s">
        <v>69</v>
      </c>
      <c r="E21" s="43"/>
      <c r="F21" s="122" t="n">
        <f aca="false">1/2-F20*(1/SQRT(12*F16))</f>
        <v>0.373484868811834</v>
      </c>
    </row>
    <row r="22" customFormat="false" ht="15.75" hidden="false" customHeight="true" outlineLevel="0" collapsed="false">
      <c r="A22" s="23" t="n">
        <v>6</v>
      </c>
      <c r="B22" s="23" t="n">
        <v>0.2018</v>
      </c>
      <c r="D22" s="45" t="s">
        <v>70</v>
      </c>
      <c r="E22" s="45"/>
      <c r="F22" s="46" t="n">
        <f aca="false">AVERAGE(B16:B35)</f>
        <v>0.48989</v>
      </c>
    </row>
    <row r="23" customFormat="false" ht="15.75" hidden="false" customHeight="true" outlineLevel="0" collapsed="false">
      <c r="A23" s="23" t="n">
        <v>7</v>
      </c>
      <c r="B23" s="23" t="n">
        <v>0.1486</v>
      </c>
      <c r="D23" s="47" t="s">
        <v>71</v>
      </c>
      <c r="E23" s="47"/>
      <c r="F23" s="123" t="n">
        <f aca="false">1/2+F20*(1/SQRT(12*F16))</f>
        <v>0.626515131188166</v>
      </c>
    </row>
    <row r="24" customFormat="false" ht="18" hidden="false" customHeight="false" outlineLevel="0" collapsed="false">
      <c r="A24" s="23" t="n">
        <v>8</v>
      </c>
      <c r="B24" s="23" t="n">
        <v>0.5664</v>
      </c>
      <c r="E24" s="124" t="s">
        <v>142</v>
      </c>
    </row>
    <row r="25" customFormat="false" ht="12.75" hidden="false" customHeight="false" outlineLevel="0" collapsed="false">
      <c r="A25" s="23" t="n">
        <v>9</v>
      </c>
      <c r="B25" s="23" t="n">
        <v>0.294</v>
      </c>
    </row>
    <row r="26" customFormat="false" ht="20.25" hidden="false" customHeight="false" outlineLevel="0" collapsed="false">
      <c r="A26" s="23" t="n">
        <v>10</v>
      </c>
      <c r="B26" s="23" t="n">
        <v>0.0403</v>
      </c>
      <c r="D26" s="33" t="s">
        <v>73</v>
      </c>
    </row>
    <row r="27" customFormat="false" ht="12.75" hidden="false" customHeight="false" outlineLevel="0" collapsed="false">
      <c r="A27" s="23" t="n">
        <v>11</v>
      </c>
      <c r="B27" s="23" t="n">
        <v>0.9224</v>
      </c>
      <c r="E27" s="2" t="s">
        <v>143</v>
      </c>
      <c r="F27" s="2" t="n">
        <v>20</v>
      </c>
    </row>
    <row r="28" customFormat="false" ht="15" hidden="false" customHeight="false" outlineLevel="0" collapsed="false">
      <c r="A28" s="23" t="n">
        <v>12</v>
      </c>
      <c r="B28" s="23" t="n">
        <v>0.6007</v>
      </c>
      <c r="D28" s="119" t="s">
        <v>73</v>
      </c>
      <c r="E28" s="119"/>
      <c r="F28" s="119"/>
    </row>
    <row r="29" customFormat="false" ht="14.25" hidden="false" customHeight="false" outlineLevel="0" collapsed="false">
      <c r="A29" s="23" t="n">
        <v>13</v>
      </c>
      <c r="B29" s="23" t="n">
        <v>0.2688</v>
      </c>
      <c r="D29" s="8" t="s">
        <v>65</v>
      </c>
      <c r="E29" s="8"/>
      <c r="F29" s="120" t="n">
        <v>0.05</v>
      </c>
    </row>
    <row r="30" customFormat="false" ht="14.25" hidden="false" customHeight="false" outlineLevel="0" collapsed="false">
      <c r="A30" s="23" t="n">
        <v>14</v>
      </c>
      <c r="B30" s="23" t="n">
        <v>0.3292</v>
      </c>
      <c r="D30" s="8" t="s">
        <v>144</v>
      </c>
      <c r="E30" s="8"/>
      <c r="F30" s="120" t="n">
        <f aca="false">F29/2</f>
        <v>0.025</v>
      </c>
    </row>
    <row r="31" customFormat="false" ht="14.25" hidden="false" customHeight="false" outlineLevel="0" collapsed="false">
      <c r="A31" s="23" t="n">
        <v>15</v>
      </c>
      <c r="B31" s="23" t="n">
        <v>0.9017</v>
      </c>
      <c r="D31" s="8" t="s">
        <v>67</v>
      </c>
      <c r="E31" s="8"/>
      <c r="F31" s="121" t="n">
        <f aca="false">1-(F29/2)</f>
        <v>0.975</v>
      </c>
    </row>
    <row r="32" customFormat="false" ht="15" hidden="false" customHeight="false" outlineLevel="0" collapsed="false">
      <c r="A32" s="23" t="n">
        <v>16</v>
      </c>
      <c r="B32" s="23" t="n">
        <v>0.6598</v>
      </c>
      <c r="D32" s="125" t="s">
        <v>75</v>
      </c>
      <c r="E32" s="125"/>
      <c r="F32" s="126" t="n">
        <f aca="false">_xlfn.CHISQ.INV(F30,F27-1)</f>
        <v>8.90651648198797</v>
      </c>
    </row>
    <row r="33" customFormat="false" ht="15.75" hidden="false" customHeight="false" outlineLevel="0" collapsed="false">
      <c r="A33" s="23" t="n">
        <v>17</v>
      </c>
      <c r="B33" s="23" t="n">
        <v>0.4005</v>
      </c>
      <c r="D33" s="127" t="s">
        <v>76</v>
      </c>
      <c r="E33" s="127"/>
      <c r="F33" s="42" t="n">
        <f aca="false">_xlfn.CHISQ.INV(F31,F27-1)</f>
        <v>32.8523268617297</v>
      </c>
    </row>
    <row r="34" customFormat="false" ht="12.75" hidden="false" customHeight="false" outlineLevel="0" collapsed="false">
      <c r="A34" s="23" t="n">
        <v>18</v>
      </c>
      <c r="B34" s="23" t="n">
        <v>0.7988</v>
      </c>
      <c r="D34" s="128" t="s">
        <v>78</v>
      </c>
      <c r="E34" s="128"/>
      <c r="F34" s="129" t="n">
        <f aca="false">F32/(12*(F27-1))</f>
        <v>0.039063668780649</v>
      </c>
    </row>
    <row r="35" customFormat="false" ht="12.75" hidden="false" customHeight="false" outlineLevel="0" collapsed="false">
      <c r="A35" s="23" t="n">
        <v>19</v>
      </c>
      <c r="B35" s="23" t="n">
        <v>0.8756</v>
      </c>
      <c r="D35" s="130" t="s">
        <v>77</v>
      </c>
      <c r="E35" s="130"/>
      <c r="F35" s="131" t="n">
        <f aca="false">_xlfn.VAR.S(B16:B35)</f>
        <v>0.071493434631579</v>
      </c>
    </row>
    <row r="36" customFormat="false" ht="12.75" hidden="false" customHeight="false" outlineLevel="0" collapsed="false">
      <c r="D36" s="128" t="s">
        <v>79</v>
      </c>
      <c r="E36" s="128"/>
      <c r="F36" s="129" t="n">
        <f aca="false">F33/(12*(F27-1))</f>
        <v>0.144089152902323</v>
      </c>
    </row>
    <row r="37" customFormat="false" ht="18" hidden="false" customHeight="false" outlineLevel="0" collapsed="false">
      <c r="E37" s="124" t="s">
        <v>142</v>
      </c>
    </row>
    <row r="40" customFormat="false" ht="21" hidden="false" customHeight="false" outlineLevel="0" collapsed="false">
      <c r="D40" s="63" t="s">
        <v>81</v>
      </c>
      <c r="E40" s="63"/>
      <c r="F40" s="63"/>
      <c r="G40" s="63"/>
      <c r="H40" s="34"/>
      <c r="I40" s="34"/>
    </row>
    <row r="41" customFormat="false" ht="15" hidden="false" customHeight="false" outlineLevel="0" collapsed="false">
      <c r="D41" s="65" t="s">
        <v>83</v>
      </c>
      <c r="E41" s="132" t="n">
        <f aca="false">SQRT(F16)</f>
        <v>4.47213595499958</v>
      </c>
      <c r="F41" s="65" t="s">
        <v>61</v>
      </c>
      <c r="G41" s="66" t="n">
        <v>20</v>
      </c>
      <c r="H41" s="64" t="s">
        <v>145</v>
      </c>
      <c r="I41" s="34"/>
    </row>
    <row r="42" customFormat="false" ht="15" hidden="false" customHeight="false" outlineLevel="0" collapsed="false">
      <c r="D42" s="68" t="s">
        <v>85</v>
      </c>
      <c r="E42" s="69" t="s">
        <v>86</v>
      </c>
      <c r="F42" s="69" t="s">
        <v>87</v>
      </c>
      <c r="G42" s="69" t="s">
        <v>88</v>
      </c>
      <c r="H42" s="64" t="s">
        <v>146</v>
      </c>
      <c r="I42" s="34"/>
    </row>
    <row r="43" customFormat="false" ht="15" hidden="false" customHeight="false" outlineLevel="0" collapsed="false">
      <c r="D43" s="70" t="s">
        <v>147</v>
      </c>
      <c r="E43" s="71" t="n">
        <f aca="false">COUNTIFS(B16:B35,"&gt;=0.00", B16:B35, "&lt;=0.24")</f>
        <v>0</v>
      </c>
      <c r="F43" s="133" t="n">
        <f aca="false">G41/4</f>
        <v>5</v>
      </c>
      <c r="G43" s="73" t="n">
        <f aca="false">(F43-E43)^2/F43</f>
        <v>5</v>
      </c>
      <c r="H43" s="34"/>
      <c r="I43" s="34"/>
    </row>
    <row r="44" customFormat="false" ht="15" hidden="false" customHeight="false" outlineLevel="0" collapsed="false">
      <c r="D44" s="70" t="s">
        <v>148</v>
      </c>
      <c r="E44" s="74" t="n">
        <f aca="false">COUNTIFS(B16:B35,"&gt;=0.25", B16:B35, "&lt;=0.49")</f>
        <v>0</v>
      </c>
      <c r="F44" s="133" t="n">
        <f aca="false">G41/4</f>
        <v>5</v>
      </c>
      <c r="G44" s="73" t="n">
        <f aca="false">(F44-E44)^2/F44</f>
        <v>5</v>
      </c>
      <c r="H44" s="34"/>
      <c r="I44" s="34"/>
    </row>
    <row r="45" customFormat="false" ht="15" hidden="false" customHeight="false" outlineLevel="0" collapsed="false">
      <c r="D45" s="70" t="s">
        <v>149</v>
      </c>
      <c r="E45" s="74" t="n">
        <f aca="false">COUNTIFS(B16:B35,"&gt;0.50", B16:B35, "&lt;0.75")</f>
        <v>0</v>
      </c>
      <c r="F45" s="133" t="n">
        <f aca="false">G41/4</f>
        <v>5</v>
      </c>
      <c r="G45" s="73" t="n">
        <f aca="false">(F45-E45)^2/F45</f>
        <v>5</v>
      </c>
      <c r="H45" s="34"/>
      <c r="I45" s="34"/>
    </row>
    <row r="46" customFormat="false" ht="23.25" hidden="false" customHeight="false" outlineLevel="0" collapsed="false">
      <c r="D46" s="70" t="s">
        <v>150</v>
      </c>
      <c r="E46" s="74" t="n">
        <f aca="false">COUNTIFS(B16:B35,"&gt;0.75", B16:B35, "&lt;1")</f>
        <v>0</v>
      </c>
      <c r="F46" s="133" t="n">
        <f aca="false">G41/4</f>
        <v>5</v>
      </c>
      <c r="G46" s="73" t="n">
        <f aca="false">(F46-E46)^2/F46</f>
        <v>5</v>
      </c>
      <c r="H46" s="79"/>
      <c r="I46" s="34"/>
    </row>
    <row r="47" customFormat="false" ht="18.75" hidden="false" customHeight="false" outlineLevel="0" collapsed="false">
      <c r="D47" s="75" t="s">
        <v>95</v>
      </c>
      <c r="E47" s="76" t="n">
        <f aca="false">SUM(E43:E46)</f>
        <v>0</v>
      </c>
      <c r="F47" s="134" t="n">
        <f aca="false">SUM(F43:F46)</f>
        <v>20</v>
      </c>
      <c r="G47" s="78" t="n">
        <f aca="false">SUM(G43:G46)</f>
        <v>20</v>
      </c>
      <c r="H47" s="34"/>
      <c r="I47" s="34"/>
    </row>
    <row r="48" customFormat="false" ht="15" hidden="false" customHeight="false" outlineLevel="0" collapsed="false">
      <c r="D48" s="34"/>
      <c r="G48" s="34"/>
      <c r="H48" s="83"/>
      <c r="I48" s="83"/>
    </row>
    <row r="49" customFormat="false" ht="18" hidden="false" customHeight="false" outlineLevel="0" collapsed="false">
      <c r="F49" s="124" t="s">
        <v>142</v>
      </c>
    </row>
    <row r="50" customFormat="false" ht="15" hidden="false" customHeight="false" outlineLevel="0" collapsed="false">
      <c r="E50" s="35" t="s">
        <v>65</v>
      </c>
      <c r="F50" s="135" t="n">
        <v>0.05</v>
      </c>
    </row>
    <row r="51" customFormat="false" ht="23.25" hidden="false" customHeight="false" outlineLevel="0" collapsed="false">
      <c r="E51" s="81" t="s">
        <v>96</v>
      </c>
      <c r="F51" s="82" t="n">
        <f aca="false">_xlfn.CHISQ.INV.RT(F50,2)</f>
        <v>5.99146454710798</v>
      </c>
      <c r="G51" s="12" t="s">
        <v>151</v>
      </c>
    </row>
    <row r="55" customFormat="false" ht="21" hidden="false" customHeight="false" outlineLevel="0" collapsed="false">
      <c r="A55" s="84" t="s">
        <v>99</v>
      </c>
    </row>
    <row r="56" customFormat="false" ht="12.75" hidden="false" customHeight="false" outlineLevel="0" collapsed="false">
      <c r="C56" s="2" t="s">
        <v>61</v>
      </c>
      <c r="D56" s="2" t="n">
        <v>20</v>
      </c>
    </row>
    <row r="57" customFormat="false" ht="12.75" hidden="false" customHeight="false" outlineLevel="0" collapsed="false">
      <c r="A57" s="85" t="s">
        <v>7</v>
      </c>
      <c r="B57" s="85" t="s">
        <v>100</v>
      </c>
      <c r="C57" s="85" t="s">
        <v>101</v>
      </c>
      <c r="D57" s="15" t="s">
        <v>102</v>
      </c>
      <c r="E57" s="85" t="s">
        <v>103</v>
      </c>
      <c r="F57" s="86" t="s">
        <v>104</v>
      </c>
      <c r="H57" s="2" t="s">
        <v>105</v>
      </c>
    </row>
    <row r="58" customFormat="false" ht="12.75" hidden="false" customHeight="false" outlineLevel="0" collapsed="false">
      <c r="A58" s="7" t="n">
        <v>1</v>
      </c>
      <c r="B58" s="118" t="n">
        <v>0.602</v>
      </c>
      <c r="C58" s="23" t="n">
        <v>0.0403</v>
      </c>
      <c r="D58" s="15" t="n">
        <f aca="false">(1/$D$56)-C58</f>
        <v>0.0097</v>
      </c>
      <c r="E58" s="7" t="n">
        <f aca="false">C58-((A58-1)/$D$56)</f>
        <v>0.0403</v>
      </c>
      <c r="F58" s="15" t="n">
        <f aca="false">MAX(D78:E78)</f>
        <v>0.0986</v>
      </c>
    </row>
    <row r="59" customFormat="false" ht="14.25" hidden="false" customHeight="false" outlineLevel="0" collapsed="false">
      <c r="A59" s="7" t="n">
        <v>2</v>
      </c>
      <c r="B59" s="118" t="n">
        <v>0.346</v>
      </c>
      <c r="C59" s="23" t="n">
        <v>0.1486</v>
      </c>
      <c r="D59" s="15" t="n">
        <f aca="false">(1/$D$56)-C59</f>
        <v>-0.0986</v>
      </c>
      <c r="E59" s="7" t="n">
        <f aca="false">C59-((A59-1)/$D$56)</f>
        <v>0.0986</v>
      </c>
      <c r="F59" s="10"/>
      <c r="H59" s="62" t="s">
        <v>152</v>
      </c>
    </row>
    <row r="60" customFormat="false" ht="12.75" hidden="false" customHeight="false" outlineLevel="0" collapsed="false">
      <c r="A60" s="7" t="n">
        <v>3</v>
      </c>
      <c r="B60" s="23" t="n">
        <v>0.6169</v>
      </c>
      <c r="C60" s="118" t="n">
        <v>0.1496</v>
      </c>
      <c r="D60" s="136" t="n">
        <f aca="false">(1/$D$56)-C60</f>
        <v>-0.0996</v>
      </c>
      <c r="E60" s="137" t="n">
        <f aca="false">C60-((A60-1)/$D$56)</f>
        <v>0.0496</v>
      </c>
      <c r="F60" s="10"/>
      <c r="H60" s="2" t="s">
        <v>107</v>
      </c>
      <c r="I60" s="2" t="n">
        <v>0.294</v>
      </c>
    </row>
    <row r="61" customFormat="false" ht="12.75" hidden="false" customHeight="false" outlineLevel="0" collapsed="false">
      <c r="A61" s="7" t="n">
        <v>4</v>
      </c>
      <c r="B61" s="23" t="n">
        <v>0.6326</v>
      </c>
      <c r="C61" s="23" t="n">
        <v>0.2018</v>
      </c>
      <c r="D61" s="15" t="n">
        <f aca="false">(1/$D$56)-C61</f>
        <v>-0.1518</v>
      </c>
      <c r="E61" s="7" t="n">
        <f aca="false">C61-((A61-1)/$D$56)</f>
        <v>0.0518</v>
      </c>
      <c r="F61" s="10"/>
    </row>
    <row r="62" customFormat="false" ht="12.75" hidden="false" customHeight="false" outlineLevel="0" collapsed="false">
      <c r="A62" s="7" t="n">
        <v>5</v>
      </c>
      <c r="B62" s="23" t="n">
        <v>0.4421</v>
      </c>
      <c r="C62" s="23" t="n">
        <v>0.2688</v>
      </c>
      <c r="D62" s="15" t="n">
        <f aca="false">(1/$D$56)-C62</f>
        <v>-0.2188</v>
      </c>
      <c r="E62" s="7" t="n">
        <f aca="false">C62-((A62-1)/$D$56)</f>
        <v>0.0688</v>
      </c>
      <c r="F62" s="10"/>
    </row>
    <row r="63" customFormat="false" ht="12.75" hidden="false" customHeight="false" outlineLevel="0" collapsed="false">
      <c r="A63" s="7" t="n">
        <v>6</v>
      </c>
      <c r="B63" s="118" t="n">
        <v>0.1496</v>
      </c>
      <c r="C63" s="23" t="n">
        <v>0.294</v>
      </c>
      <c r="D63" s="15" t="n">
        <f aca="false">(1/$D$56)-C63</f>
        <v>-0.244</v>
      </c>
      <c r="E63" s="7" t="n">
        <f aca="false">C63-((A63-1)/$D$56)</f>
        <v>0.044</v>
      </c>
      <c r="F63" s="10"/>
    </row>
    <row r="64" customFormat="false" ht="12.75" hidden="false" customHeight="false" outlineLevel="0" collapsed="false">
      <c r="A64" s="7" t="n">
        <v>7</v>
      </c>
      <c r="B64" s="23" t="n">
        <v>0.2018</v>
      </c>
      <c r="C64" s="23" t="n">
        <v>0.3292</v>
      </c>
      <c r="D64" s="15" t="n">
        <f aca="false">(1/$D$56)-C64</f>
        <v>-0.2792</v>
      </c>
      <c r="E64" s="7" t="n">
        <f aca="false">C64-((A64-1)/$D$56)</f>
        <v>0.0292000000000001</v>
      </c>
      <c r="F64" s="10"/>
    </row>
    <row r="65" customFormat="false" ht="12.75" hidden="false" customHeight="false" outlineLevel="0" collapsed="false">
      <c r="A65" s="7" t="n">
        <v>8</v>
      </c>
      <c r="B65" s="23" t="n">
        <v>0.1486</v>
      </c>
      <c r="C65" s="118" t="n">
        <v>0.346</v>
      </c>
      <c r="D65" s="136" t="n">
        <f aca="false">(1/$D$56)-C65</f>
        <v>-0.296</v>
      </c>
      <c r="E65" s="137" t="n">
        <f aca="false">C65-((A65-1)/$D$56)</f>
        <v>-0.00399999999999995</v>
      </c>
      <c r="F65" s="10"/>
    </row>
    <row r="66" customFormat="false" ht="12.75" hidden="false" customHeight="false" outlineLevel="0" collapsed="false">
      <c r="A66" s="7" t="n">
        <v>9</v>
      </c>
      <c r="B66" s="23" t="n">
        <v>0.5664</v>
      </c>
      <c r="C66" s="23" t="n">
        <v>0.4005</v>
      </c>
      <c r="D66" s="15" t="n">
        <f aca="false">(1/$D$56)-C66</f>
        <v>-0.3505</v>
      </c>
      <c r="E66" s="7" t="n">
        <f aca="false">C66-((A66-1)/$D$56)</f>
        <v>0.0005</v>
      </c>
      <c r="F66" s="10"/>
      <c r="G66" s="2" t="s">
        <v>108</v>
      </c>
    </row>
    <row r="67" customFormat="false" ht="12.75" hidden="false" customHeight="false" outlineLevel="0" collapsed="false">
      <c r="A67" s="7" t="n">
        <v>10</v>
      </c>
      <c r="B67" s="23" t="n">
        <v>0.294</v>
      </c>
      <c r="C67" s="23" t="n">
        <v>0.4421</v>
      </c>
      <c r="D67" s="15" t="n">
        <f aca="false">(1/$D$56)-C67</f>
        <v>-0.3921</v>
      </c>
      <c r="E67" s="7" t="n">
        <f aca="false">C67-((A67-1)/$D$56)</f>
        <v>-0.00789999999999996</v>
      </c>
      <c r="F67" s="10"/>
    </row>
    <row r="68" customFormat="false" ht="18.75" hidden="false" customHeight="false" outlineLevel="0" collapsed="false">
      <c r="A68" s="7" t="n">
        <v>11</v>
      </c>
      <c r="B68" s="23" t="n">
        <v>0.0403</v>
      </c>
      <c r="C68" s="23" t="n">
        <v>0.5664</v>
      </c>
      <c r="D68" s="15" t="n">
        <f aca="false">(1/$D$56)-C68</f>
        <v>-0.5164</v>
      </c>
      <c r="E68" s="7" t="n">
        <f aca="false">C68-((A68-1)/$D$56)</f>
        <v>0.0664</v>
      </c>
      <c r="F68" s="90" t="s">
        <v>80</v>
      </c>
      <c r="G68" s="91" t="str">
        <f aca="false">IF(I60&gt;F58,"No se puede rechazar", "Se puede rechazar")</f>
        <v>No se puede rechazar</v>
      </c>
    </row>
    <row r="69" customFormat="false" ht="12.75" hidden="false" customHeight="false" outlineLevel="0" collapsed="false">
      <c r="A69" s="7" t="n">
        <v>12</v>
      </c>
      <c r="B69" s="23" t="n">
        <v>0.9224</v>
      </c>
      <c r="C69" s="23" t="n">
        <v>0.6007</v>
      </c>
      <c r="D69" s="15" t="n">
        <f aca="false">(1/$D$56)-C69</f>
        <v>-0.5507</v>
      </c>
      <c r="E69" s="7" t="n">
        <f aca="false">C69-((A69-1)/$D$56)</f>
        <v>0.0507</v>
      </c>
    </row>
    <row r="70" customFormat="false" ht="12.75" hidden="false" customHeight="false" outlineLevel="0" collapsed="false">
      <c r="A70" s="7" t="n">
        <v>13</v>
      </c>
      <c r="B70" s="23" t="n">
        <v>0.6007</v>
      </c>
      <c r="C70" s="118" t="n">
        <v>0.602</v>
      </c>
      <c r="D70" s="136" t="n">
        <f aca="false">(1/$D$56)-C70</f>
        <v>-0.552</v>
      </c>
      <c r="E70" s="137" t="n">
        <f aca="false">C70-((A70-1)/$D$56)</f>
        <v>0.00200000000000011</v>
      </c>
    </row>
    <row r="71" customFormat="false" ht="12.75" hidden="false" customHeight="false" outlineLevel="0" collapsed="false">
      <c r="A71" s="7" t="n">
        <v>14</v>
      </c>
      <c r="B71" s="23" t="n">
        <v>0.2688</v>
      </c>
      <c r="C71" s="23" t="n">
        <v>0.6169</v>
      </c>
      <c r="D71" s="15" t="n">
        <f aca="false">(1/$D$56)-C71</f>
        <v>-0.5669</v>
      </c>
      <c r="E71" s="7" t="n">
        <f aca="false">C71-((A71-1)/$D$56)</f>
        <v>-0.0331</v>
      </c>
    </row>
    <row r="72" customFormat="false" ht="12.75" hidden="false" customHeight="false" outlineLevel="0" collapsed="false">
      <c r="A72" s="7" t="n">
        <v>15</v>
      </c>
      <c r="B72" s="23" t="n">
        <v>0.3292</v>
      </c>
      <c r="C72" s="23" t="n">
        <v>0.6326</v>
      </c>
      <c r="D72" s="15" t="n">
        <f aca="false">(1/$D$56)-C72</f>
        <v>-0.5826</v>
      </c>
      <c r="E72" s="7" t="n">
        <f aca="false">C72-((A72-1)/$D$56)</f>
        <v>-0.0673999999999998</v>
      </c>
    </row>
    <row r="73" customFormat="false" ht="12.75" hidden="false" customHeight="false" outlineLevel="0" collapsed="false">
      <c r="A73" s="7" t="n">
        <v>16</v>
      </c>
      <c r="B73" s="23" t="n">
        <v>0.9017</v>
      </c>
      <c r="C73" s="23" t="n">
        <v>0.6598</v>
      </c>
      <c r="D73" s="15" t="n">
        <f aca="false">(1/$D$56)-C73</f>
        <v>-0.6098</v>
      </c>
      <c r="E73" s="7" t="n">
        <f aca="false">C73-((A73-1)/$D$56)</f>
        <v>-0.0901999999999998</v>
      </c>
    </row>
    <row r="74" customFormat="false" ht="12.75" hidden="false" customHeight="false" outlineLevel="0" collapsed="false">
      <c r="A74" s="7" t="n">
        <v>17</v>
      </c>
      <c r="B74" s="23" t="n">
        <v>0.6598</v>
      </c>
      <c r="C74" s="23" t="n">
        <v>0.7988</v>
      </c>
      <c r="D74" s="15" t="n">
        <f aca="false">(1/$D$56)-C74</f>
        <v>-0.7488</v>
      </c>
      <c r="E74" s="7" t="n">
        <f aca="false">C74-((A74-1)/$D$56)</f>
        <v>-0.0012000000000002</v>
      </c>
    </row>
    <row r="75" customFormat="false" ht="12.75" hidden="false" customHeight="false" outlineLevel="0" collapsed="false">
      <c r="A75" s="7" t="n">
        <v>18</v>
      </c>
      <c r="B75" s="23" t="n">
        <v>0.4005</v>
      </c>
      <c r="C75" s="23" t="n">
        <v>0.8756</v>
      </c>
      <c r="D75" s="15" t="n">
        <f aca="false">(1/$D$56)-C75</f>
        <v>-0.8256</v>
      </c>
      <c r="E75" s="7" t="n">
        <f aca="false">C75-((A75-1)/$D$56)</f>
        <v>0.0256000000000001</v>
      </c>
    </row>
    <row r="76" customFormat="false" ht="12.75" hidden="false" customHeight="false" outlineLevel="0" collapsed="false">
      <c r="A76" s="7" t="n">
        <v>19</v>
      </c>
      <c r="B76" s="23" t="n">
        <v>0.7988</v>
      </c>
      <c r="C76" s="23" t="n">
        <v>0.9017</v>
      </c>
      <c r="D76" s="15" t="n">
        <f aca="false">(1/$D$56)-C76</f>
        <v>-0.8517</v>
      </c>
      <c r="E76" s="7" t="n">
        <f aca="false">C76-((A76-1)/$D$56)</f>
        <v>0.00170000000000003</v>
      </c>
    </row>
    <row r="77" customFormat="false" ht="12.75" hidden="false" customHeight="false" outlineLevel="0" collapsed="false">
      <c r="A77" s="7" t="n">
        <v>20</v>
      </c>
      <c r="B77" s="23" t="n">
        <v>0.8756</v>
      </c>
      <c r="C77" s="23" t="n">
        <v>0.9224</v>
      </c>
      <c r="D77" s="15" t="n">
        <f aca="false">(1/$D$56)-C77</f>
        <v>-0.8724</v>
      </c>
      <c r="E77" s="7" t="n">
        <f aca="false">C77-((A77-1)/$D$56)</f>
        <v>-0.0276</v>
      </c>
    </row>
    <row r="78" customFormat="false" ht="12.75" hidden="false" customHeight="false" outlineLevel="0" collapsed="false">
      <c r="C78" s="88" t="s">
        <v>109</v>
      </c>
      <c r="D78" s="25" t="n">
        <f aca="false">MAX(D58:D77)</f>
        <v>0.0097</v>
      </c>
      <c r="E78" s="89" t="n">
        <f aca="false">MAX(E58:E77)</f>
        <v>0.0986</v>
      </c>
    </row>
    <row r="79" customFormat="false" ht="15.75" hidden="false" customHeight="true" outlineLevel="0" collapsed="false">
      <c r="D79" s="12" t="s">
        <v>153</v>
      </c>
    </row>
    <row r="82" customFormat="false" ht="20.25" hidden="false" customHeight="false" outlineLevel="0" collapsed="false">
      <c r="A82" s="92" t="s">
        <v>112</v>
      </c>
      <c r="B82" s="93"/>
      <c r="C82" s="93"/>
      <c r="D82" s="2"/>
    </row>
    <row r="83" customFormat="false" ht="12.75" hidden="false" customHeight="false" outlineLevel="0" collapsed="false">
      <c r="A83" s="2"/>
      <c r="B83" s="2"/>
      <c r="C83" s="2"/>
      <c r="D83" s="2"/>
    </row>
    <row r="84" customFormat="false" ht="12.75" hidden="false" customHeight="false" outlineLevel="0" collapsed="false">
      <c r="A84" s="94" t="s">
        <v>113</v>
      </c>
      <c r="B84" s="95" t="s">
        <v>114</v>
      </c>
      <c r="C84" s="95" t="s">
        <v>115</v>
      </c>
      <c r="D84" s="2"/>
      <c r="E84" s="2"/>
    </row>
    <row r="85" customFormat="false" ht="12.75" hidden="false" customHeight="false" outlineLevel="0" collapsed="false">
      <c r="A85" s="118" t="n">
        <v>0.602</v>
      </c>
      <c r="B85" s="15" t="n">
        <f aca="false">IF(A85&lt;=A86,1,0)</f>
        <v>0</v>
      </c>
      <c r="C85" s="138" t="n">
        <v>13</v>
      </c>
      <c r="D85" s="2"/>
    </row>
    <row r="86" customFormat="false" ht="12.75" hidden="false" customHeight="false" outlineLevel="0" collapsed="false">
      <c r="A86" s="118" t="n">
        <v>0.346</v>
      </c>
      <c r="B86" s="15" t="n">
        <f aca="false">IF(A86&lt;=A87,1,0)</f>
        <v>1</v>
      </c>
      <c r="C86" s="95" t="s">
        <v>116</v>
      </c>
      <c r="D86" s="2"/>
    </row>
    <row r="87" customFormat="false" ht="12.75" hidden="false" customHeight="false" outlineLevel="0" collapsed="false">
      <c r="A87" s="23" t="n">
        <v>0.6169</v>
      </c>
      <c r="B87" s="15" t="n">
        <f aca="false">IF(A87&lt;=A88,1,0)</f>
        <v>1</v>
      </c>
      <c r="C87" s="97" t="n">
        <v>20</v>
      </c>
      <c r="D87" s="2"/>
    </row>
    <row r="88" customFormat="false" ht="12.75" hidden="false" customHeight="false" outlineLevel="0" collapsed="false">
      <c r="A88" s="23" t="n">
        <v>0.6326</v>
      </c>
      <c r="B88" s="15" t="n">
        <f aca="false">IF(A88&lt;=A89,1,0)</f>
        <v>0</v>
      </c>
      <c r="C88" s="95" t="s">
        <v>117</v>
      </c>
      <c r="D88" s="2"/>
    </row>
    <row r="89" customFormat="false" ht="12.75" hidden="false" customHeight="false" outlineLevel="0" collapsed="false">
      <c r="A89" s="23" t="n">
        <v>0.4421</v>
      </c>
      <c r="B89" s="15" t="n">
        <f aca="false">IF(A89&lt;=A90,1,0)</f>
        <v>0</v>
      </c>
      <c r="C89" s="98" t="n">
        <f aca="false">(2*C87-1)/3</f>
        <v>13</v>
      </c>
      <c r="D89" s="2"/>
    </row>
    <row r="90" customFormat="false" ht="15" hidden="false" customHeight="false" outlineLevel="0" collapsed="false">
      <c r="A90" s="118" t="n">
        <v>0.1496</v>
      </c>
      <c r="B90" s="15" t="n">
        <f aca="false">IF(A90&lt;=A91,1,0)</f>
        <v>1</v>
      </c>
      <c r="C90" s="99" t="s">
        <v>118</v>
      </c>
      <c r="D90" s="2"/>
    </row>
    <row r="91" customFormat="false" ht="12.75" hidden="false" customHeight="false" outlineLevel="0" collapsed="false">
      <c r="A91" s="23" t="n">
        <v>0.2018</v>
      </c>
      <c r="B91" s="15" t="n">
        <f aca="false">IF(A91&lt;=A92,1,0)</f>
        <v>0</v>
      </c>
      <c r="C91" s="23" t="n">
        <f aca="false">(16*C87-29)/90</f>
        <v>3.23333333333333</v>
      </c>
      <c r="D91" s="2"/>
    </row>
    <row r="92" customFormat="false" ht="12.75" hidden="false" customHeight="false" outlineLevel="0" collapsed="false">
      <c r="A92" s="23" t="n">
        <v>0.1486</v>
      </c>
      <c r="B92" s="15" t="n">
        <f aca="false">IF(A92&lt;=A93,1,0)</f>
        <v>1</v>
      </c>
      <c r="C92" s="95" t="s">
        <v>119</v>
      </c>
      <c r="D92" s="2"/>
    </row>
    <row r="93" customFormat="false" ht="12.75" hidden="false" customHeight="false" outlineLevel="0" collapsed="false">
      <c r="A93" s="23" t="n">
        <v>0.5664</v>
      </c>
      <c r="B93" s="15" t="n">
        <f aca="false">IF(A93&lt;=A94,1,0)</f>
        <v>0</v>
      </c>
      <c r="C93" s="139" t="n">
        <f aca="false">ABS((C85-C89)/SQRT(C91))</f>
        <v>0</v>
      </c>
      <c r="D93" s="2"/>
    </row>
    <row r="94" customFormat="false" ht="18" hidden="false" customHeight="false" outlineLevel="0" collapsed="false">
      <c r="A94" s="23" t="n">
        <v>0.294</v>
      </c>
      <c r="B94" s="15" t="n">
        <f aca="false">IF(A94&lt;=A95,1,0)</f>
        <v>0</v>
      </c>
      <c r="C94" s="101" t="s">
        <v>120</v>
      </c>
      <c r="D94" s="2" t="s">
        <v>121</v>
      </c>
    </row>
    <row r="95" customFormat="false" ht="12.75" hidden="false" customHeight="false" outlineLevel="0" collapsed="false">
      <c r="A95" s="23" t="n">
        <v>0.0403</v>
      </c>
      <c r="B95" s="15" t="n">
        <f aca="false">IF(A95&lt;=A96,1,0)</f>
        <v>1</v>
      </c>
      <c r="C95" s="140" t="n">
        <f aca="false">_xlfn.NORM.S.INV(0.975)</f>
        <v>1.95996398454005</v>
      </c>
      <c r="D95" s="2"/>
    </row>
    <row r="96" customFormat="false" ht="15" hidden="false" customHeight="false" outlineLevel="0" collapsed="false">
      <c r="A96" s="23" t="n">
        <v>0.9224</v>
      </c>
      <c r="B96" s="15" t="n">
        <f aca="false">IF(A96&lt;=A97,1,0)</f>
        <v>0</v>
      </c>
      <c r="C96" s="104" t="str">
        <f aca="false">IF(C95&gt;C93,"No se puede rechazar", "Se puede rechazar")</f>
        <v>No se puede rechazar</v>
      </c>
    </row>
    <row r="97" customFormat="false" ht="12.75" hidden="false" customHeight="false" outlineLevel="0" collapsed="false">
      <c r="A97" s="23" t="n">
        <v>0.6007</v>
      </c>
      <c r="B97" s="15" t="n">
        <f aca="false">IF(A97&lt;=A98,1,0)</f>
        <v>0</v>
      </c>
    </row>
    <row r="98" customFormat="false" ht="12.75" hidden="false" customHeight="false" outlineLevel="0" collapsed="false">
      <c r="A98" s="23" t="n">
        <v>0.2688</v>
      </c>
      <c r="B98" s="15" t="n">
        <f aca="false">IF(A98&lt;=A99,1,0)</f>
        <v>1</v>
      </c>
      <c r="C98" s="12" t="s">
        <v>154</v>
      </c>
    </row>
    <row r="99" customFormat="false" ht="12.75" hidden="false" customHeight="false" outlineLevel="0" collapsed="false">
      <c r="A99" s="23" t="n">
        <v>0.3292</v>
      </c>
      <c r="B99" s="15" t="n">
        <f aca="false">IF(A99&lt;=A100,1,0)</f>
        <v>1</v>
      </c>
      <c r="C99" s="12" t="s">
        <v>155</v>
      </c>
    </row>
    <row r="100" customFormat="false" ht="12.75" hidden="false" customHeight="false" outlineLevel="0" collapsed="false">
      <c r="A100" s="23" t="n">
        <v>0.9017</v>
      </c>
      <c r="B100" s="15" t="n">
        <f aca="false">IF(A100&lt;=A101,1,0)</f>
        <v>0</v>
      </c>
      <c r="C100" s="12" t="s">
        <v>156</v>
      </c>
    </row>
    <row r="101" customFormat="false" ht="12.75" hidden="false" customHeight="false" outlineLevel="0" collapsed="false">
      <c r="A101" s="23" t="n">
        <v>0.6598</v>
      </c>
      <c r="B101" s="15" t="n">
        <f aca="false">IF(A101&lt;=A102,1,0)</f>
        <v>0</v>
      </c>
      <c r="C101" s="12" t="s">
        <v>157</v>
      </c>
    </row>
    <row r="102" customFormat="false" ht="12.75" hidden="false" customHeight="false" outlineLevel="0" collapsed="false">
      <c r="A102" s="23" t="n">
        <v>0.4005</v>
      </c>
      <c r="B102" s="15" t="n">
        <f aca="false">IF(A102&lt;=A103,1,0)</f>
        <v>1</v>
      </c>
    </row>
    <row r="103" customFormat="false" ht="12.75" hidden="false" customHeight="false" outlineLevel="0" collapsed="false">
      <c r="A103" s="23" t="n">
        <v>0.7988</v>
      </c>
      <c r="B103" s="15" t="n">
        <f aca="false">IF(A103&lt;=A104,1,0)</f>
        <v>1</v>
      </c>
    </row>
    <row r="104" customFormat="false" ht="12.75" hidden="false" customHeight="false" outlineLevel="0" collapsed="false">
      <c r="A104" s="23" t="n">
        <v>0.8756</v>
      </c>
      <c r="B104" s="15" t="n">
        <f aca="false">IF(A104&lt;=A105,1,0)</f>
        <v>0</v>
      </c>
    </row>
    <row r="110" customFormat="false" ht="20.25" hidden="false" customHeight="false" outlineLevel="0" collapsed="false">
      <c r="A110" s="105" t="s">
        <v>124</v>
      </c>
      <c r="B110" s="5"/>
      <c r="C110" s="5"/>
      <c r="D110" s="5"/>
    </row>
    <row r="111" customFormat="false" ht="14.25" hidden="false" customHeight="false" outlineLevel="0" collapsed="false">
      <c r="A111" s="5"/>
      <c r="B111" s="62" t="s">
        <v>125</v>
      </c>
      <c r="C111" s="62" t="s">
        <v>126</v>
      </c>
      <c r="D111" s="62" t="s">
        <v>127</v>
      </c>
      <c r="E111" s="2" t="s">
        <v>128</v>
      </c>
    </row>
    <row r="112" customFormat="false" ht="18" hidden="false" customHeight="false" outlineLevel="0" collapsed="false">
      <c r="A112" s="106" t="s">
        <v>113</v>
      </c>
      <c r="B112" s="107" t="s">
        <v>114</v>
      </c>
      <c r="C112" s="107" t="s">
        <v>115</v>
      </c>
      <c r="D112" s="95" t="s">
        <v>117</v>
      </c>
      <c r="E112" s="101" t="s">
        <v>120</v>
      </c>
    </row>
    <row r="113" customFormat="false" ht="14.25" hidden="false" customHeight="false" outlineLevel="0" collapsed="false">
      <c r="A113" s="118" t="n">
        <v>0.602</v>
      </c>
      <c r="B113" s="109" t="n">
        <f aca="false">ROUND(A113,0)</f>
        <v>1</v>
      </c>
      <c r="C113" s="141" t="n">
        <v>5</v>
      </c>
      <c r="D113" s="27" t="n">
        <f aca="false">((2*C115*C117)/D118)+1/2</f>
        <v>10.5</v>
      </c>
      <c r="E113" s="142" t="n">
        <f aca="false">_xlfn.NORM.S.INV(0.975)</f>
        <v>1.95996398454005</v>
      </c>
    </row>
    <row r="114" customFormat="false" ht="30" hidden="false" customHeight="false" outlineLevel="0" collapsed="false">
      <c r="A114" s="118" t="n">
        <v>0.346</v>
      </c>
      <c r="B114" s="109" t="n">
        <f aca="false">ROUND(A114,0)</f>
        <v>0</v>
      </c>
      <c r="C114" s="107" t="s">
        <v>129</v>
      </c>
      <c r="D114" s="99" t="s">
        <v>118</v>
      </c>
      <c r="E114" s="2" t="s">
        <v>80</v>
      </c>
    </row>
    <row r="115" customFormat="false" ht="15" hidden="false" customHeight="false" outlineLevel="0" collapsed="false">
      <c r="A115" s="23" t="n">
        <v>0.6169</v>
      </c>
      <c r="B115" s="109" t="n">
        <f aca="false">ROUND(A115,0)</f>
        <v>1</v>
      </c>
      <c r="C115" s="26" t="n">
        <f aca="false">COUNTIF(B113:B132,0)</f>
        <v>10</v>
      </c>
      <c r="D115" s="24" t="n">
        <f aca="false">2*C115*C117*(2*C115*C117-$C$117)/($C$117*$C$117*($C$117-1))</f>
        <v>42.2222222222222</v>
      </c>
      <c r="E115" s="112" t="str">
        <f aca="false">IF(E113&gt;D117,"No se puede rechazar", "Se puede rechazar")</f>
        <v>No se puede rechazar</v>
      </c>
    </row>
    <row r="116" customFormat="false" ht="14.25" hidden="false" customHeight="false" outlineLevel="0" collapsed="false">
      <c r="A116" s="23" t="n">
        <v>0.6326</v>
      </c>
      <c r="B116" s="109" t="n">
        <f aca="false">ROUND(A116,0)</f>
        <v>1</v>
      </c>
      <c r="C116" s="107" t="s">
        <v>130</v>
      </c>
      <c r="D116" s="95" t="s">
        <v>119</v>
      </c>
    </row>
    <row r="117" customFormat="false" ht="14.25" hidden="false" customHeight="false" outlineLevel="0" collapsed="false">
      <c r="A117" s="23" t="n">
        <v>0.4421</v>
      </c>
      <c r="B117" s="109" t="n">
        <f aca="false">ROUND(A117,0)</f>
        <v>0</v>
      </c>
      <c r="C117" s="26" t="n">
        <f aca="false">COUNTIF(B113:B132,1)</f>
        <v>10</v>
      </c>
      <c r="D117" s="24" t="n">
        <f aca="false">(C113-D113)/SQRT(D115)</f>
        <v>-0.846432140470252</v>
      </c>
      <c r="E117" s="12" t="s">
        <v>158</v>
      </c>
    </row>
    <row r="118" customFormat="false" ht="14.25" hidden="false" customHeight="false" outlineLevel="0" collapsed="false">
      <c r="A118" s="118" t="n">
        <v>0.1496</v>
      </c>
      <c r="B118" s="109" t="n">
        <f aca="false">ROUND(A118,0)</f>
        <v>0</v>
      </c>
      <c r="C118" s="107" t="s">
        <v>116</v>
      </c>
      <c r="D118" s="106" t="n">
        <v>20</v>
      </c>
    </row>
    <row r="119" customFormat="false" ht="14.25" hidden="false" customHeight="false" outlineLevel="0" collapsed="false">
      <c r="A119" s="23" t="n">
        <v>0.2018</v>
      </c>
      <c r="B119" s="109" t="n">
        <f aca="false">ROUND(A119,0)</f>
        <v>0</v>
      </c>
      <c r="C119" s="5"/>
      <c r="D119" s="5"/>
    </row>
    <row r="120" customFormat="false" ht="18" hidden="false" customHeight="false" outlineLevel="0" collapsed="false">
      <c r="A120" s="23" t="n">
        <v>0.1486</v>
      </c>
      <c r="B120" s="109" t="n">
        <f aca="false">ROUND(A120,0)</f>
        <v>0</v>
      </c>
      <c r="C120" s="5"/>
      <c r="D120" s="103" t="s">
        <v>122</v>
      </c>
      <c r="E120" s="103"/>
    </row>
    <row r="121" customFormat="false" ht="14.25" hidden="false" customHeight="false" outlineLevel="0" collapsed="false">
      <c r="A121" s="23" t="n">
        <v>0.5664</v>
      </c>
      <c r="B121" s="109" t="n">
        <f aca="false">ROUND(A121,0)</f>
        <v>1</v>
      </c>
      <c r="C121" s="5"/>
      <c r="D121" s="5"/>
    </row>
    <row r="122" customFormat="false" ht="14.25" hidden="false" customHeight="false" outlineLevel="0" collapsed="false">
      <c r="A122" s="23" t="n">
        <v>0.294</v>
      </c>
      <c r="B122" s="109" t="n">
        <f aca="false">ROUND(A122,0)</f>
        <v>0</v>
      </c>
      <c r="C122" s="32" t="s">
        <v>159</v>
      </c>
      <c r="D122" s="5"/>
    </row>
    <row r="123" customFormat="false" ht="14.25" hidden="false" customHeight="false" outlineLevel="0" collapsed="false">
      <c r="A123" s="23" t="n">
        <v>0.0403</v>
      </c>
      <c r="B123" s="109" t="n">
        <f aca="false">ROUND(A123,0)</f>
        <v>0</v>
      </c>
      <c r="C123" s="12" t="s">
        <v>160</v>
      </c>
    </row>
    <row r="124" customFormat="false" ht="14.25" hidden="false" customHeight="false" outlineLevel="0" collapsed="false">
      <c r="A124" s="23" t="n">
        <v>0.9224</v>
      </c>
      <c r="B124" s="109" t="n">
        <f aca="false">ROUND(A124,0)</f>
        <v>1</v>
      </c>
      <c r="C124" s="12" t="s">
        <v>161</v>
      </c>
    </row>
    <row r="125" customFormat="false" ht="14.25" hidden="false" customHeight="false" outlineLevel="0" collapsed="false">
      <c r="A125" s="23" t="n">
        <v>0.6007</v>
      </c>
      <c r="B125" s="109" t="n">
        <f aca="false">ROUND(A125,0)</f>
        <v>1</v>
      </c>
    </row>
    <row r="126" customFormat="false" ht="14.25" hidden="false" customHeight="false" outlineLevel="0" collapsed="false">
      <c r="A126" s="23" t="n">
        <v>0.2688</v>
      </c>
      <c r="B126" s="109" t="n">
        <f aca="false">ROUND(A126,0)</f>
        <v>0</v>
      </c>
    </row>
    <row r="127" customFormat="false" ht="14.25" hidden="false" customHeight="false" outlineLevel="0" collapsed="false">
      <c r="A127" s="23" t="n">
        <v>0.3292</v>
      </c>
      <c r="B127" s="109" t="n">
        <f aca="false">ROUND(A127,0)</f>
        <v>0</v>
      </c>
    </row>
    <row r="128" customFormat="false" ht="14.25" hidden="false" customHeight="false" outlineLevel="0" collapsed="false">
      <c r="A128" s="23" t="n">
        <v>0.9017</v>
      </c>
      <c r="B128" s="109" t="n">
        <f aca="false">ROUND(A128,0)</f>
        <v>1</v>
      </c>
    </row>
    <row r="129" customFormat="false" ht="14.25" hidden="false" customHeight="false" outlineLevel="0" collapsed="false">
      <c r="A129" s="23" t="n">
        <v>0.6598</v>
      </c>
      <c r="B129" s="109" t="n">
        <f aca="false">ROUND(A129,0)</f>
        <v>1</v>
      </c>
    </row>
    <row r="130" customFormat="false" ht="14.25" hidden="false" customHeight="false" outlineLevel="0" collapsed="false">
      <c r="A130" s="23" t="n">
        <v>0.4005</v>
      </c>
      <c r="B130" s="109" t="n">
        <f aca="false">ROUND(A130,0)</f>
        <v>0</v>
      </c>
    </row>
    <row r="131" customFormat="false" ht="14.25" hidden="false" customHeight="false" outlineLevel="0" collapsed="false">
      <c r="A131" s="23" t="n">
        <v>0.7988</v>
      </c>
      <c r="B131" s="109" t="n">
        <f aca="false">ROUND(A131,0)</f>
        <v>1</v>
      </c>
    </row>
    <row r="132" customFormat="false" ht="14.25" hidden="false" customHeight="false" outlineLevel="0" collapsed="false">
      <c r="A132" s="23" t="n">
        <v>0.8756</v>
      </c>
      <c r="B132" s="109" t="n">
        <f aca="false">ROUND(A132,0)</f>
        <v>1</v>
      </c>
    </row>
  </sheetData>
  <mergeCells count="18">
    <mergeCell ref="D17:F17"/>
    <mergeCell ref="D18:E18"/>
    <mergeCell ref="D19:E19"/>
    <mergeCell ref="D20:E20"/>
    <mergeCell ref="D21:E21"/>
    <mergeCell ref="D22:E22"/>
    <mergeCell ref="D23:E23"/>
    <mergeCell ref="D28:F28"/>
    <mergeCell ref="D29:E29"/>
    <mergeCell ref="D30:E30"/>
    <mergeCell ref="D31:E31"/>
    <mergeCell ref="D32:E32"/>
    <mergeCell ref="D33:E33"/>
    <mergeCell ref="D34:E34"/>
    <mergeCell ref="D35:E35"/>
    <mergeCell ref="D36:E36"/>
    <mergeCell ref="D40:G40"/>
    <mergeCell ref="H48:I4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32"/>
  <sheetViews>
    <sheetView showFormulas="false" showGridLines="true" showRowColHeaders="true" showZeros="true" rightToLeft="false" tabSelected="false" showOutlineSymbols="true" defaultGridColor="true" view="normal" topLeftCell="A140" colorId="64" zoomScale="100" zoomScaleNormal="100" zoomScalePageLayoutView="100" workbookViewId="0">
      <selection pane="topLeft" activeCell="F122" activeCellId="0" sqref="F122"/>
    </sheetView>
  </sheetViews>
  <sheetFormatPr defaultRowHeight="15.75" zeroHeight="false" outlineLevelRow="0" outlineLevelCol="0"/>
  <cols>
    <col collapsed="false" customWidth="true" hidden="false" outlineLevel="0" max="1" min="1" style="0" width="14.43"/>
    <col collapsed="false" customWidth="true" hidden="false" outlineLevel="0" max="2" min="2" style="0" width="14.57"/>
    <col collapsed="false" customWidth="true" hidden="false" outlineLevel="0" max="1025" min="3" style="0" width="14.43"/>
  </cols>
  <sheetData>
    <row r="1" customFormat="false" ht="15.75" hidden="false" customHeight="false" outlineLevel="0" collapsed="false">
      <c r="A1" s="2" t="s">
        <v>162</v>
      </c>
    </row>
    <row r="2" customFormat="false" ht="15.75" hidden="false" customHeight="false" outlineLevel="0" collapsed="false">
      <c r="A2" s="2" t="s">
        <v>163</v>
      </c>
    </row>
    <row r="3" customFormat="false" ht="15.75" hidden="false" customHeight="false" outlineLevel="0" collapsed="false">
      <c r="A3" s="2" t="s">
        <v>52</v>
      </c>
    </row>
    <row r="4" customFormat="false" ht="15.75" hidden="false" customHeight="false" outlineLevel="0" collapsed="false">
      <c r="A4" s="2" t="s">
        <v>53</v>
      </c>
      <c r="F4" s="143"/>
      <c r="G4" s="144"/>
      <c r="H4" s="143"/>
      <c r="I4" s="144"/>
    </row>
    <row r="5" customFormat="false" ht="15.75" hidden="false" customHeight="false" outlineLevel="0" collapsed="false">
      <c r="A5" s="2" t="s">
        <v>135</v>
      </c>
    </row>
    <row r="6" customFormat="false" ht="15.75" hidden="false" customHeight="false" outlineLevel="0" collapsed="false">
      <c r="A6" s="2" t="s">
        <v>164</v>
      </c>
      <c r="E6" s="2" t="s">
        <v>165</v>
      </c>
    </row>
    <row r="7" customFormat="false" ht="15.75" hidden="false" customHeight="false" outlineLevel="0" collapsed="false">
      <c r="A7" s="2" t="s">
        <v>56</v>
      </c>
      <c r="E7" s="2" t="s">
        <v>166</v>
      </c>
    </row>
    <row r="8" customFormat="false" ht="15.75" hidden="false" customHeight="false" outlineLevel="0" collapsed="false">
      <c r="A8" s="2" t="s">
        <v>57</v>
      </c>
      <c r="E8" s="2" t="s">
        <v>167</v>
      </c>
    </row>
    <row r="9" customFormat="false" ht="15.75" hidden="false" customHeight="false" outlineLevel="0" collapsed="false">
      <c r="A9" s="2" t="s">
        <v>58</v>
      </c>
      <c r="E9" s="2" t="s">
        <v>168</v>
      </c>
    </row>
    <row r="10" customFormat="false" ht="15.75" hidden="false" customHeight="false" outlineLevel="0" collapsed="false">
      <c r="A10" s="2" t="s">
        <v>169</v>
      </c>
      <c r="E10" s="2" t="s">
        <v>170</v>
      </c>
    </row>
    <row r="12" customFormat="false" ht="15.75" hidden="false" customHeight="false" outlineLevel="0" collapsed="false">
      <c r="A12" s="117" t="s">
        <v>63</v>
      </c>
      <c r="B12" s="117" t="s">
        <v>139</v>
      </c>
    </row>
    <row r="13" customFormat="false" ht="15.75" hidden="false" customHeight="false" outlineLevel="0" collapsed="false">
      <c r="A13" s="23" t="n">
        <v>0</v>
      </c>
      <c r="B13" s="23" t="n">
        <v>0.4598</v>
      </c>
    </row>
    <row r="14" customFormat="false" ht="15.75" hidden="false" customHeight="false" outlineLevel="0" collapsed="false">
      <c r="A14" s="23" t="n">
        <v>1</v>
      </c>
      <c r="B14" s="23" t="n">
        <v>0.0125</v>
      </c>
      <c r="F14" s="2" t="s">
        <v>171</v>
      </c>
      <c r="H14" s="2" t="n">
        <v>0.985</v>
      </c>
    </row>
    <row r="15" customFormat="false" ht="15.75" hidden="false" customHeight="false" outlineLevel="0" collapsed="false">
      <c r="A15" s="23" t="n">
        <v>2</v>
      </c>
      <c r="B15" s="23" t="n">
        <v>0.8686</v>
      </c>
    </row>
    <row r="16" customFormat="false" ht="15.75" hidden="false" customHeight="true" outlineLevel="0" collapsed="false">
      <c r="A16" s="23" t="n">
        <v>3</v>
      </c>
      <c r="B16" s="23" t="n">
        <v>0.4007</v>
      </c>
      <c r="F16" s="33" t="s">
        <v>59</v>
      </c>
    </row>
    <row r="17" customFormat="false" ht="15.75" hidden="false" customHeight="false" outlineLevel="0" collapsed="false">
      <c r="A17" s="23" t="n">
        <v>4</v>
      </c>
      <c r="B17" s="23" t="n">
        <v>0.9405</v>
      </c>
    </row>
    <row r="18" customFormat="false" ht="15.75" hidden="false" customHeight="false" outlineLevel="0" collapsed="false">
      <c r="A18" s="23" t="n">
        <v>5</v>
      </c>
      <c r="B18" s="23" t="n">
        <v>0.6584</v>
      </c>
      <c r="G18" s="10" t="s">
        <v>61</v>
      </c>
      <c r="H18" s="2" t="n">
        <v>20</v>
      </c>
    </row>
    <row r="19" customFormat="false" ht="15.75" hidden="false" customHeight="false" outlineLevel="0" collapsed="false">
      <c r="A19" s="23" t="n">
        <v>6</v>
      </c>
      <c r="B19" s="23" t="n">
        <v>0.4009</v>
      </c>
      <c r="F19" s="119" t="s">
        <v>141</v>
      </c>
      <c r="G19" s="119"/>
      <c r="H19" s="119"/>
    </row>
    <row r="20" customFormat="false" ht="15.75" hidden="false" customHeight="false" outlineLevel="0" collapsed="false">
      <c r="A20" s="23" t="n">
        <v>7</v>
      </c>
      <c r="B20" s="23" t="n">
        <v>0.2295</v>
      </c>
      <c r="F20" s="8" t="s">
        <v>65</v>
      </c>
      <c r="G20" s="8"/>
      <c r="H20" s="120" t="n">
        <f aca="false">1-H14</f>
        <v>0.015</v>
      </c>
    </row>
    <row r="21" customFormat="false" ht="15.75" hidden="false" customHeight="false" outlineLevel="0" collapsed="false">
      <c r="A21" s="23" t="n">
        <v>8</v>
      </c>
      <c r="B21" s="23" t="n">
        <v>0.7817</v>
      </c>
      <c r="F21" s="8" t="s">
        <v>67</v>
      </c>
      <c r="G21" s="8"/>
      <c r="H21" s="121" t="n">
        <f aca="false">1-H20/2</f>
        <v>0.9925</v>
      </c>
    </row>
    <row r="22" customFormat="false" ht="15.75" hidden="false" customHeight="true" outlineLevel="0" collapsed="false">
      <c r="A22" s="23" t="n">
        <v>9</v>
      </c>
      <c r="B22" s="23" t="n">
        <v>0.7633</v>
      </c>
      <c r="F22" s="41" t="s">
        <v>68</v>
      </c>
      <c r="G22" s="41"/>
      <c r="H22" s="42" t="n">
        <f aca="false">NORMSINV(H21)</f>
        <v>2.43237905858444</v>
      </c>
    </row>
    <row r="23" customFormat="false" ht="15.75" hidden="false" customHeight="true" outlineLevel="0" collapsed="false">
      <c r="A23" s="23" t="n">
        <v>10</v>
      </c>
      <c r="B23" s="23" t="n">
        <v>0.0973</v>
      </c>
      <c r="F23" s="43" t="s">
        <v>69</v>
      </c>
      <c r="G23" s="43"/>
      <c r="H23" s="122" t="n">
        <f aca="false">(1/2)-H22*(1/(SQRT(12*H18)))</f>
        <v>0.342990606907313</v>
      </c>
    </row>
    <row r="24" customFormat="false" ht="15" hidden="false" customHeight="false" outlineLevel="0" collapsed="false">
      <c r="A24" s="23" t="n">
        <v>11</v>
      </c>
      <c r="B24" s="23" t="n">
        <v>0.9907</v>
      </c>
      <c r="F24" s="45" t="s">
        <v>70</v>
      </c>
      <c r="G24" s="45"/>
      <c r="H24" s="46" t="n">
        <f aca="false">AVERAGE(B13:B32)</f>
        <v>0.53583</v>
      </c>
    </row>
    <row r="25" customFormat="false" ht="15" hidden="false" customHeight="false" outlineLevel="0" collapsed="false">
      <c r="A25" s="23" t="n">
        <v>12</v>
      </c>
      <c r="B25" s="23" t="n">
        <v>0.9539</v>
      </c>
      <c r="F25" s="47" t="s">
        <v>71</v>
      </c>
      <c r="G25" s="47"/>
      <c r="H25" s="123" t="n">
        <f aca="false">(1/2)+H22*(1/(SQRT(12*H18)))</f>
        <v>0.657009393092687</v>
      </c>
    </row>
    <row r="26" customFormat="false" ht="18" hidden="false" customHeight="false" outlineLevel="0" collapsed="false">
      <c r="A26" s="23" t="n">
        <v>13</v>
      </c>
      <c r="B26" s="23" t="n">
        <v>0.3126</v>
      </c>
      <c r="G26" s="124" t="s">
        <v>142</v>
      </c>
    </row>
    <row r="27" customFormat="false" ht="12.75" hidden="false" customHeight="false" outlineLevel="0" collapsed="false">
      <c r="A27" s="23" t="n">
        <v>14</v>
      </c>
      <c r="B27" s="23" t="n">
        <v>0.6451</v>
      </c>
    </row>
    <row r="28" customFormat="false" ht="12.75" hidden="false" customHeight="false" outlineLevel="0" collapsed="false">
      <c r="A28" s="23" t="n">
        <v>15</v>
      </c>
      <c r="B28" s="23" t="n">
        <v>0.3066</v>
      </c>
    </row>
    <row r="29" customFormat="false" ht="12.75" hidden="false" customHeight="false" outlineLevel="0" collapsed="false">
      <c r="A29" s="23" t="n">
        <v>16</v>
      </c>
      <c r="B29" s="23" t="n">
        <v>0.3248</v>
      </c>
    </row>
    <row r="30" customFormat="false" ht="20.25" hidden="false" customHeight="false" outlineLevel="0" collapsed="false">
      <c r="A30" s="23" t="n">
        <v>17</v>
      </c>
      <c r="B30" s="23" t="n">
        <v>0.5978</v>
      </c>
      <c r="F30" s="33" t="s">
        <v>73</v>
      </c>
    </row>
    <row r="31" customFormat="false" ht="12.75" hidden="false" customHeight="false" outlineLevel="0" collapsed="false">
      <c r="A31" s="23" t="n">
        <v>18</v>
      </c>
      <c r="B31" s="118" t="n">
        <v>0.039</v>
      </c>
      <c r="G31" s="2" t="s">
        <v>143</v>
      </c>
      <c r="H31" s="2" t="n">
        <v>20</v>
      </c>
    </row>
    <row r="32" customFormat="false" ht="15" hidden="false" customHeight="false" outlineLevel="0" collapsed="false">
      <c r="A32" s="23" t="n">
        <v>19</v>
      </c>
      <c r="B32" s="23" t="n">
        <v>0.9329</v>
      </c>
      <c r="F32" s="119" t="s">
        <v>73</v>
      </c>
      <c r="G32" s="119"/>
      <c r="H32" s="119"/>
    </row>
    <row r="33" customFormat="false" ht="14.25" hidden="false" customHeight="false" outlineLevel="0" collapsed="false">
      <c r="F33" s="8" t="s">
        <v>65</v>
      </c>
      <c r="G33" s="8"/>
      <c r="H33" s="120" t="n">
        <v>0.015</v>
      </c>
    </row>
    <row r="34" customFormat="false" ht="14.25" hidden="false" customHeight="false" outlineLevel="0" collapsed="false">
      <c r="F34" s="8" t="s">
        <v>144</v>
      </c>
      <c r="G34" s="8"/>
      <c r="H34" s="120" t="n">
        <f aca="false">H33/2</f>
        <v>0.0075</v>
      </c>
    </row>
    <row r="35" customFormat="false" ht="14.25" hidden="false" customHeight="false" outlineLevel="0" collapsed="false">
      <c r="F35" s="8" t="s">
        <v>67</v>
      </c>
      <c r="G35" s="8"/>
      <c r="H35" s="121" t="n">
        <f aca="false">1-(H33/2)</f>
        <v>0.9925</v>
      </c>
    </row>
    <row r="36" customFormat="false" ht="15" hidden="false" customHeight="false" outlineLevel="0" collapsed="false">
      <c r="F36" s="125" t="s">
        <v>75</v>
      </c>
      <c r="G36" s="125"/>
      <c r="H36" s="126" t="n">
        <f aca="false">_xlfn.CHISQ.INV(H34,H31-1)</f>
        <v>7.28990959013998</v>
      </c>
    </row>
    <row r="37" customFormat="false" ht="15.75" hidden="false" customHeight="false" outlineLevel="0" collapsed="false">
      <c r="F37" s="127" t="s">
        <v>76</v>
      </c>
      <c r="G37" s="127"/>
      <c r="H37" s="42" t="n">
        <f aca="false">_xlfn.CHISQ.INV(H35,H31-1)</f>
        <v>37.1954483684247</v>
      </c>
    </row>
    <row r="38" customFormat="false" ht="12.75" hidden="false" customHeight="false" outlineLevel="0" collapsed="false">
      <c r="F38" s="128" t="s">
        <v>78</v>
      </c>
      <c r="G38" s="128"/>
      <c r="H38" s="129" t="n">
        <f aca="false">H36/(12*(H31-1))</f>
        <v>0.0319732876760525</v>
      </c>
    </row>
    <row r="39" customFormat="false" ht="12.75" hidden="false" customHeight="false" outlineLevel="0" collapsed="false">
      <c r="F39" s="130" t="s">
        <v>77</v>
      </c>
      <c r="G39" s="130"/>
      <c r="H39" s="131" t="n">
        <f aca="false">_xlfn.VAR.S(B13:B32)</f>
        <v>0.102782380105263</v>
      </c>
    </row>
    <row r="40" customFormat="false" ht="12.75" hidden="false" customHeight="false" outlineLevel="0" collapsed="false">
      <c r="F40" s="128" t="s">
        <v>79</v>
      </c>
      <c r="G40" s="128"/>
      <c r="H40" s="129" t="n">
        <f aca="false">H37/(12*(H31-1))</f>
        <v>0.163137931440459</v>
      </c>
    </row>
    <row r="41" customFormat="false" ht="18" hidden="false" customHeight="false" outlineLevel="0" collapsed="false">
      <c r="G41" s="124" t="s">
        <v>142</v>
      </c>
    </row>
    <row r="43" customFormat="false" ht="21" hidden="false" customHeight="false" outlineLevel="0" collapsed="false">
      <c r="C43" s="63" t="s">
        <v>172</v>
      </c>
      <c r="D43" s="63"/>
      <c r="E43" s="63"/>
      <c r="F43" s="63"/>
      <c r="G43" s="34"/>
      <c r="H43" s="34"/>
    </row>
    <row r="44" customFormat="false" ht="15" hidden="false" customHeight="false" outlineLevel="0" collapsed="false">
      <c r="C44" s="65" t="s">
        <v>83</v>
      </c>
      <c r="D44" s="66" t="n">
        <v>4</v>
      </c>
      <c r="E44" s="67" t="s">
        <v>61</v>
      </c>
      <c r="F44" s="67" t="n">
        <v>20</v>
      </c>
      <c r="G44" s="34"/>
      <c r="H44" s="34"/>
    </row>
    <row r="45" customFormat="false" ht="15" hidden="false" customHeight="false" outlineLevel="0" collapsed="false">
      <c r="C45" s="68" t="s">
        <v>85</v>
      </c>
      <c r="D45" s="69" t="s">
        <v>86</v>
      </c>
      <c r="E45" s="69" t="s">
        <v>87</v>
      </c>
      <c r="F45" s="69" t="s">
        <v>88</v>
      </c>
      <c r="G45" s="64" t="s">
        <v>173</v>
      </c>
      <c r="H45" s="34"/>
    </row>
    <row r="46" customFormat="false" ht="15" hidden="false" customHeight="false" outlineLevel="0" collapsed="false">
      <c r="C46" s="70" t="s">
        <v>174</v>
      </c>
      <c r="D46" s="71" t="n">
        <f aca="false">COUNTIFS(B13:B32,"&gt;=0.0", B13:B32, "&lt;=0.25")</f>
        <v>0</v>
      </c>
      <c r="E46" s="72" t="n">
        <f aca="false">F44/D44</f>
        <v>5</v>
      </c>
      <c r="F46" s="73" t="n">
        <f aca="false">(E46-D46)^2/E46</f>
        <v>5</v>
      </c>
      <c r="G46" s="34"/>
      <c r="H46" s="34"/>
    </row>
    <row r="47" customFormat="false" ht="15" hidden="false" customHeight="false" outlineLevel="0" collapsed="false">
      <c r="C47" s="70" t="s">
        <v>175</v>
      </c>
      <c r="D47" s="71" t="n">
        <f aca="false">COUNTIFS(B13:B32,"&gt;=0.25", B13:B32, "&lt;=0.50")</f>
        <v>0</v>
      </c>
      <c r="E47" s="72" t="n">
        <v>5</v>
      </c>
      <c r="F47" s="73" t="n">
        <f aca="false">(E47-D47)^2/E47</f>
        <v>5</v>
      </c>
      <c r="G47" s="34"/>
      <c r="H47" s="34"/>
    </row>
    <row r="48" customFormat="false" ht="15" hidden="false" customHeight="false" outlineLevel="0" collapsed="false">
      <c r="C48" s="70" t="s">
        <v>176</v>
      </c>
      <c r="D48" s="71" t="n">
        <f aca="false">COUNTIFS(B13:B32,"&gt;=0.50", B13:B32, "&lt;=0.75")</f>
        <v>0</v>
      </c>
      <c r="E48" s="72" t="n">
        <v>5</v>
      </c>
      <c r="F48" s="73" t="n">
        <f aca="false">(E48-D48)^2/E48</f>
        <v>5</v>
      </c>
      <c r="G48" s="34"/>
      <c r="H48" s="34"/>
    </row>
    <row r="49" customFormat="false" ht="15" hidden="false" customHeight="false" outlineLevel="0" collapsed="false">
      <c r="C49" s="145" t="s">
        <v>177</v>
      </c>
      <c r="D49" s="71" t="n">
        <f aca="false">COUNTIFS(B13:B32,"&gt;=0.75", B13:B32, "&lt;=1")</f>
        <v>0</v>
      </c>
      <c r="E49" s="72" t="n">
        <v>5</v>
      </c>
      <c r="F49" s="73" t="n">
        <f aca="false">(E49-D49)^2/E49</f>
        <v>5</v>
      </c>
    </row>
    <row r="50" customFormat="false" ht="23.25" hidden="false" customHeight="false" outlineLevel="0" collapsed="false">
      <c r="C50" s="75" t="s">
        <v>95</v>
      </c>
      <c r="D50" s="76" t="n">
        <f aca="false">SUM(D46:D49)</f>
        <v>0</v>
      </c>
      <c r="E50" s="77" t="n">
        <f aca="false">SUM(E46:E49)</f>
        <v>20</v>
      </c>
      <c r="F50" s="78" t="n">
        <f aca="false">SUM(F46:F48)</f>
        <v>15</v>
      </c>
      <c r="G50" s="79"/>
      <c r="H50" s="34"/>
    </row>
    <row r="51" customFormat="false" ht="15" hidden="false" customHeight="false" outlineLevel="0" collapsed="false">
      <c r="C51" s="67"/>
      <c r="D51" s="65" t="s">
        <v>65</v>
      </c>
      <c r="E51" s="146" t="n">
        <v>0.015</v>
      </c>
      <c r="F51" s="67"/>
      <c r="G51" s="34"/>
      <c r="H51" s="34"/>
    </row>
    <row r="52" customFormat="false" ht="23.25" hidden="false" customHeight="false" outlineLevel="0" collapsed="false">
      <c r="C52" s="34"/>
      <c r="D52" s="147" t="s">
        <v>96</v>
      </c>
      <c r="E52" s="148" t="n">
        <f aca="false">_xlfn.CHISQ.INV.RT(E51,2)</f>
        <v>8.39941015575985</v>
      </c>
      <c r="F52" s="34"/>
      <c r="G52" s="83" t="s">
        <v>97</v>
      </c>
      <c r="H52" s="83"/>
    </row>
    <row r="53" customFormat="false" ht="15.75" hidden="false" customHeight="true" outlineLevel="0" collapsed="false">
      <c r="G53" s="12" t="s">
        <v>178</v>
      </c>
    </row>
    <row r="55" customFormat="false" ht="21" hidden="false" customHeight="false" outlineLevel="0" collapsed="false">
      <c r="C55" s="84" t="s">
        <v>99</v>
      </c>
    </row>
    <row r="56" customFormat="false" ht="12.75" hidden="false" customHeight="false" outlineLevel="0" collapsed="false">
      <c r="E56" s="2" t="s">
        <v>61</v>
      </c>
      <c r="F56" s="2" t="n">
        <v>20</v>
      </c>
    </row>
    <row r="57" customFormat="false" ht="12.75" hidden="false" customHeight="false" outlineLevel="0" collapsed="false">
      <c r="C57" s="85" t="s">
        <v>7</v>
      </c>
      <c r="D57" s="85" t="s">
        <v>100</v>
      </c>
      <c r="E57" s="85" t="s">
        <v>101</v>
      </c>
      <c r="F57" s="85" t="s">
        <v>102</v>
      </c>
      <c r="G57" s="85" t="s">
        <v>103</v>
      </c>
      <c r="H57" s="86" t="s">
        <v>104</v>
      </c>
      <c r="J57" s="2" t="s">
        <v>105</v>
      </c>
    </row>
    <row r="58" customFormat="false" ht="12.75" hidden="false" customHeight="false" outlineLevel="0" collapsed="false">
      <c r="C58" s="7" t="n">
        <v>1</v>
      </c>
      <c r="D58" s="118" t="n">
        <f aca="false">B13</f>
        <v>0.4598</v>
      </c>
      <c r="E58" s="23" t="n">
        <v>0.0125</v>
      </c>
      <c r="F58" s="15" t="n">
        <f aca="false">(1/$F$44)-E58</f>
        <v>0.0375</v>
      </c>
      <c r="G58" s="7" t="n">
        <f aca="false">E58-((C58-1)/$F$44)</f>
        <v>0.0125</v>
      </c>
      <c r="H58" s="7" t="n">
        <f aca="false">MAX(F78:G78)</f>
        <v>0.1329</v>
      </c>
    </row>
    <row r="59" customFormat="false" ht="14.25" hidden="false" customHeight="false" outlineLevel="0" collapsed="false">
      <c r="C59" s="7" t="n">
        <v>2</v>
      </c>
      <c r="D59" s="118" t="n">
        <f aca="false">B14</f>
        <v>0.0125</v>
      </c>
      <c r="E59" s="23" t="n">
        <v>0.039</v>
      </c>
      <c r="F59" s="15" t="n">
        <f aca="false">(1/$F$44)-E59</f>
        <v>0.011</v>
      </c>
      <c r="G59" s="7" t="n">
        <f aca="false">E59-((C59-1)/$F$44)</f>
        <v>-0.011</v>
      </c>
      <c r="H59" s="10"/>
      <c r="J59" s="62" t="s">
        <v>179</v>
      </c>
    </row>
    <row r="60" customFormat="false" ht="12.75" hidden="false" customHeight="false" outlineLevel="0" collapsed="false">
      <c r="C60" s="7" t="n">
        <v>3</v>
      </c>
      <c r="D60" s="118" t="n">
        <f aca="false">B15</f>
        <v>0.8686</v>
      </c>
      <c r="E60" s="23" t="n">
        <v>0.0973</v>
      </c>
      <c r="F60" s="15" t="n">
        <f aca="false">(1/$F$44)-E60</f>
        <v>-0.0473</v>
      </c>
      <c r="G60" s="7" t="n">
        <f aca="false">E60-((C60-1)/$F$44)</f>
        <v>-0.00269999999999999</v>
      </c>
      <c r="H60" s="10"/>
      <c r="J60" s="2" t="s">
        <v>107</v>
      </c>
      <c r="K60" s="2" t="n">
        <v>0.356</v>
      </c>
    </row>
    <row r="61" customFormat="false" ht="12.75" hidden="false" customHeight="false" outlineLevel="0" collapsed="false">
      <c r="C61" s="7" t="n">
        <v>4</v>
      </c>
      <c r="D61" s="118" t="n">
        <f aca="false">B16</f>
        <v>0.4007</v>
      </c>
      <c r="E61" s="118" t="n">
        <v>0.2295</v>
      </c>
      <c r="F61" s="136" t="n">
        <f aca="false">(1/$F$44)-E61</f>
        <v>-0.1795</v>
      </c>
      <c r="G61" s="137" t="n">
        <f aca="false">E61-((C61-1)/$F$44)</f>
        <v>0.0795</v>
      </c>
      <c r="H61" s="10"/>
    </row>
    <row r="62" customFormat="false" ht="12.75" hidden="false" customHeight="false" outlineLevel="0" collapsed="false">
      <c r="C62" s="7" t="n">
        <v>5</v>
      </c>
      <c r="D62" s="118" t="n">
        <f aca="false">B17</f>
        <v>0.9405</v>
      </c>
      <c r="E62" s="23" t="n">
        <v>0.3066</v>
      </c>
      <c r="F62" s="15" t="n">
        <f aca="false">(1/$F$44)-E62</f>
        <v>-0.2566</v>
      </c>
      <c r="G62" s="7" t="n">
        <f aca="false">E62-((C62-1)/$F$44)</f>
        <v>0.1066</v>
      </c>
      <c r="H62" s="10"/>
    </row>
    <row r="63" customFormat="false" ht="12.75" hidden="false" customHeight="false" outlineLevel="0" collapsed="false">
      <c r="C63" s="7" t="n">
        <v>6</v>
      </c>
      <c r="D63" s="118" t="n">
        <f aca="false">B18</f>
        <v>0.6584</v>
      </c>
      <c r="E63" s="23" t="n">
        <v>0.3126</v>
      </c>
      <c r="F63" s="15" t="n">
        <f aca="false">(1/$F$44)-E63</f>
        <v>-0.2626</v>
      </c>
      <c r="G63" s="7" t="n">
        <f aca="false">E63-((C63-1)/$F$44)</f>
        <v>0.0626</v>
      </c>
      <c r="H63" s="10"/>
    </row>
    <row r="64" customFormat="false" ht="12.75" hidden="false" customHeight="false" outlineLevel="0" collapsed="false">
      <c r="C64" s="7" t="n">
        <v>7</v>
      </c>
      <c r="D64" s="118" t="n">
        <f aca="false">B19</f>
        <v>0.4009</v>
      </c>
      <c r="E64" s="23" t="n">
        <v>0.3248</v>
      </c>
      <c r="F64" s="15" t="n">
        <f aca="false">(1/$F$44)-E64</f>
        <v>-0.2748</v>
      </c>
      <c r="G64" s="7" t="n">
        <f aca="false">E64-((C64-1)/$F$44)</f>
        <v>0.0248</v>
      </c>
      <c r="H64" s="10"/>
    </row>
    <row r="65" customFormat="false" ht="12.75" hidden="false" customHeight="false" outlineLevel="0" collapsed="false">
      <c r="C65" s="7" t="n">
        <v>8</v>
      </c>
      <c r="D65" s="118" t="n">
        <f aca="false">B20</f>
        <v>0.2295</v>
      </c>
      <c r="E65" s="23" t="n">
        <v>0.4007</v>
      </c>
      <c r="F65" s="15" t="n">
        <f aca="false">(1/$F$44)-E65</f>
        <v>-0.3507</v>
      </c>
      <c r="G65" s="7" t="n">
        <f aca="false">E65-((C65-1)/$F$44)</f>
        <v>0.0507</v>
      </c>
      <c r="H65" s="10"/>
    </row>
    <row r="66" customFormat="false" ht="12.75" hidden="false" customHeight="false" outlineLevel="0" collapsed="false">
      <c r="C66" s="7" t="n">
        <v>9</v>
      </c>
      <c r="D66" s="118" t="n">
        <f aca="false">B21</f>
        <v>0.7817</v>
      </c>
      <c r="E66" s="23" t="n">
        <v>0.4009</v>
      </c>
      <c r="F66" s="15" t="n">
        <f aca="false">(1/$F$44)-E66</f>
        <v>-0.3509</v>
      </c>
      <c r="G66" s="7" t="n">
        <f aca="false">E66-((C66-1)/$F$44)</f>
        <v>0.000900000000000012</v>
      </c>
      <c r="H66" s="10"/>
      <c r="I66" s="2" t="s">
        <v>108</v>
      </c>
    </row>
    <row r="67" customFormat="false" ht="12.75" hidden="false" customHeight="false" outlineLevel="0" collapsed="false">
      <c r="C67" s="7" t="n">
        <v>10</v>
      </c>
      <c r="D67" s="118" t="n">
        <f aca="false">B22</f>
        <v>0.7633</v>
      </c>
      <c r="E67" s="23" t="n">
        <v>0.4598</v>
      </c>
      <c r="F67" s="15" t="n">
        <f aca="false">(1/$F$44)-E67</f>
        <v>-0.4098</v>
      </c>
      <c r="G67" s="7" t="n">
        <f aca="false">E67-((C67-1)/$F$44)</f>
        <v>0.00980000000000003</v>
      </c>
      <c r="H67" s="10"/>
    </row>
    <row r="68" customFormat="false" ht="18.75" hidden="false" customHeight="false" outlineLevel="0" collapsed="false">
      <c r="C68" s="7" t="n">
        <v>11</v>
      </c>
      <c r="D68" s="118" t="n">
        <f aca="false">B23</f>
        <v>0.0973</v>
      </c>
      <c r="E68" s="23" t="n">
        <v>0.5978</v>
      </c>
      <c r="F68" s="15" t="n">
        <f aca="false">(1/$F$44)-E68</f>
        <v>-0.5478</v>
      </c>
      <c r="G68" s="7" t="n">
        <f aca="false">E68-((C68-1)/$F$44)</f>
        <v>0.0978</v>
      </c>
      <c r="H68" s="90" t="s">
        <v>80</v>
      </c>
      <c r="I68" s="91" t="str">
        <f aca="false">IF(K60&gt;H58,"No se puede rechazar", "Se puede rechazar")</f>
        <v>No se puede rechazar</v>
      </c>
    </row>
    <row r="69" customFormat="false" ht="12.75" hidden="false" customHeight="false" outlineLevel="0" collapsed="false">
      <c r="C69" s="7" t="n">
        <v>12</v>
      </c>
      <c r="D69" s="118" t="n">
        <f aca="false">B24</f>
        <v>0.9907</v>
      </c>
      <c r="E69" s="23" t="n">
        <v>0.6451</v>
      </c>
      <c r="F69" s="15" t="n">
        <f aca="false">(1/$F$44)-E69</f>
        <v>-0.5951</v>
      </c>
      <c r="G69" s="7" t="n">
        <f aca="false">E69-((C69-1)/$F$44)</f>
        <v>0.0951</v>
      </c>
    </row>
    <row r="70" customFormat="false" ht="12.75" hidden="false" customHeight="false" outlineLevel="0" collapsed="false">
      <c r="C70" s="7" t="n">
        <v>13</v>
      </c>
      <c r="D70" s="118" t="n">
        <f aca="false">B25</f>
        <v>0.9539</v>
      </c>
      <c r="E70" s="23" t="n">
        <v>0.6584</v>
      </c>
      <c r="F70" s="15" t="n">
        <f aca="false">(1/$F$44)-E70</f>
        <v>-0.6084</v>
      </c>
      <c r="G70" s="7" t="n">
        <f aca="false">E70-((C70-1)/$F$44)</f>
        <v>0.0584000000000001</v>
      </c>
    </row>
    <row r="71" customFormat="false" ht="12.75" hidden="false" customHeight="false" outlineLevel="0" collapsed="false">
      <c r="C71" s="7" t="n">
        <v>14</v>
      </c>
      <c r="D71" s="118" t="n">
        <f aca="false">B26</f>
        <v>0.3126</v>
      </c>
      <c r="E71" s="23" t="n">
        <v>0.7633</v>
      </c>
      <c r="F71" s="15" t="n">
        <f aca="false">(1/$F$44)-E71</f>
        <v>-0.7133</v>
      </c>
      <c r="G71" s="7" t="n">
        <f aca="false">E71-((C71-1)/$F$44)</f>
        <v>0.1133</v>
      </c>
    </row>
    <row r="72" customFormat="false" ht="12.75" hidden="false" customHeight="false" outlineLevel="0" collapsed="false">
      <c r="C72" s="7" t="n">
        <v>15</v>
      </c>
      <c r="D72" s="118" t="n">
        <f aca="false">B27</f>
        <v>0.6451</v>
      </c>
      <c r="E72" s="23" t="n">
        <v>0.7817</v>
      </c>
      <c r="F72" s="15" t="n">
        <f aca="false">(1/$F$44)-E72</f>
        <v>-0.7317</v>
      </c>
      <c r="G72" s="7" t="n">
        <f aca="false">E72-((C72-1)/$F$44)</f>
        <v>0.0817</v>
      </c>
    </row>
    <row r="73" customFormat="false" ht="12.75" hidden="false" customHeight="false" outlineLevel="0" collapsed="false">
      <c r="C73" s="7" t="n">
        <v>16</v>
      </c>
      <c r="D73" s="118" t="n">
        <f aca="false">B28</f>
        <v>0.3066</v>
      </c>
      <c r="E73" s="118" t="n">
        <v>0.8686</v>
      </c>
      <c r="F73" s="136" t="n">
        <f aca="false">(1/$F$44)-E73</f>
        <v>-0.8186</v>
      </c>
      <c r="G73" s="137" t="n">
        <f aca="false">E73-((C73-1)/$F$44)</f>
        <v>0.1186</v>
      </c>
    </row>
    <row r="74" customFormat="false" ht="12.75" hidden="false" customHeight="false" outlineLevel="0" collapsed="false">
      <c r="C74" s="7" t="n">
        <v>17</v>
      </c>
      <c r="D74" s="118" t="n">
        <f aca="false">B29</f>
        <v>0.3248</v>
      </c>
      <c r="E74" s="23" t="n">
        <v>0.9329</v>
      </c>
      <c r="F74" s="15" t="n">
        <f aca="false">(1/$F$44)-E74</f>
        <v>-0.8829</v>
      </c>
      <c r="G74" s="7" t="n">
        <f aca="false">E74-((C74-1)/$F$44)</f>
        <v>0.1329</v>
      </c>
    </row>
    <row r="75" customFormat="false" ht="12.75" hidden="false" customHeight="false" outlineLevel="0" collapsed="false">
      <c r="C75" s="7" t="n">
        <v>18</v>
      </c>
      <c r="D75" s="118" t="n">
        <f aca="false">B30</f>
        <v>0.5978</v>
      </c>
      <c r="E75" s="23" t="n">
        <v>0.9405</v>
      </c>
      <c r="F75" s="15" t="n">
        <f aca="false">(1/$F$44)-E75</f>
        <v>-0.8905</v>
      </c>
      <c r="G75" s="7" t="n">
        <f aca="false">E75-((C75-1)/$F$44)</f>
        <v>0.0905</v>
      </c>
    </row>
    <row r="76" customFormat="false" ht="12.75" hidden="false" customHeight="false" outlineLevel="0" collapsed="false">
      <c r="C76" s="7" t="n">
        <v>19</v>
      </c>
      <c r="D76" s="118" t="n">
        <f aca="false">B31</f>
        <v>0.039</v>
      </c>
      <c r="E76" s="118" t="n">
        <v>0.9539</v>
      </c>
      <c r="F76" s="136" t="n">
        <f aca="false">(1/$F$44)-E76</f>
        <v>-0.9039</v>
      </c>
      <c r="G76" s="137" t="n">
        <f aca="false">E76-((C76-1)/$F$44)</f>
        <v>0.0539000000000001</v>
      </c>
    </row>
    <row r="77" customFormat="false" ht="12.75" hidden="false" customHeight="false" outlineLevel="0" collapsed="false">
      <c r="C77" s="7" t="n">
        <v>20</v>
      </c>
      <c r="D77" s="118" t="n">
        <f aca="false">B32</f>
        <v>0.9329</v>
      </c>
      <c r="E77" s="23" t="n">
        <v>0.9907</v>
      </c>
      <c r="F77" s="15" t="n">
        <f aca="false">(1/$F$44)-E77</f>
        <v>-0.9407</v>
      </c>
      <c r="G77" s="7" t="n">
        <f aca="false">E77-((C77-1)/$F$44)</f>
        <v>0.0407000000000001</v>
      </c>
    </row>
    <row r="78" customFormat="false" ht="12.75" hidden="false" customHeight="false" outlineLevel="0" collapsed="false">
      <c r="E78" s="88" t="s">
        <v>109</v>
      </c>
      <c r="F78" s="25" t="n">
        <f aca="false">MAX(F58:F77)</f>
        <v>0.0375</v>
      </c>
      <c r="G78" s="89" t="n">
        <f aca="false">MAX(G58:G77)</f>
        <v>0.1329</v>
      </c>
    </row>
    <row r="79" customFormat="false" ht="15.75" hidden="false" customHeight="true" outlineLevel="0" collapsed="false">
      <c r="F79" s="12" t="s">
        <v>180</v>
      </c>
    </row>
    <row r="85" customFormat="false" ht="20.25" hidden="false" customHeight="false" outlineLevel="0" collapsed="false">
      <c r="B85" s="92" t="s">
        <v>112</v>
      </c>
      <c r="C85" s="93"/>
      <c r="D85" s="93"/>
      <c r="E85" s="2"/>
    </row>
    <row r="86" customFormat="false" ht="12.75" hidden="false" customHeight="false" outlineLevel="0" collapsed="false">
      <c r="B86" s="2"/>
      <c r="C86" s="2"/>
      <c r="D86" s="2"/>
      <c r="E86" s="2"/>
    </row>
    <row r="87" customFormat="false" ht="12.75" hidden="false" customHeight="false" outlineLevel="0" collapsed="false">
      <c r="B87" s="94" t="s">
        <v>113</v>
      </c>
      <c r="C87" s="95" t="s">
        <v>114</v>
      </c>
      <c r="D87" s="95" t="s">
        <v>115</v>
      </c>
      <c r="E87" s="2"/>
      <c r="F87" s="2"/>
    </row>
    <row r="88" customFormat="false" ht="12.75" hidden="false" customHeight="false" outlineLevel="0" collapsed="false">
      <c r="B88" s="23" t="n">
        <v>0.4598</v>
      </c>
      <c r="C88" s="7" t="n">
        <f aca="false">IF(B88&lt;=B89,1,0)</f>
        <v>0</v>
      </c>
      <c r="D88" s="23" t="n">
        <v>14</v>
      </c>
      <c r="E88" s="2"/>
    </row>
    <row r="89" customFormat="false" ht="12.75" hidden="false" customHeight="false" outlineLevel="0" collapsed="false">
      <c r="B89" s="23" t="n">
        <v>0.0125</v>
      </c>
      <c r="C89" s="7" t="n">
        <f aca="false">IF(B89&lt;=B90,1,0)</f>
        <v>1</v>
      </c>
      <c r="D89" s="95" t="s">
        <v>116</v>
      </c>
      <c r="E89" s="2"/>
    </row>
    <row r="90" customFormat="false" ht="12.75" hidden="false" customHeight="false" outlineLevel="0" collapsed="false">
      <c r="B90" s="23" t="n">
        <v>0.8686</v>
      </c>
      <c r="C90" s="7" t="n">
        <f aca="false">IF(B90&lt;=B91,1,0)</f>
        <v>0</v>
      </c>
      <c r="D90" s="97" t="n">
        <v>20</v>
      </c>
      <c r="E90" s="2"/>
    </row>
    <row r="91" customFormat="false" ht="12.75" hidden="false" customHeight="false" outlineLevel="0" collapsed="false">
      <c r="B91" s="23" t="n">
        <v>0.4007</v>
      </c>
      <c r="C91" s="7" t="n">
        <f aca="false">IF(B91&lt;=B92,1,0)</f>
        <v>1</v>
      </c>
      <c r="D91" s="95" t="s">
        <v>117</v>
      </c>
      <c r="E91" s="2"/>
    </row>
    <row r="92" customFormat="false" ht="12.75" hidden="false" customHeight="false" outlineLevel="0" collapsed="false">
      <c r="B92" s="23" t="n">
        <v>0.9405</v>
      </c>
      <c r="C92" s="7" t="n">
        <f aca="false">IF(B92&lt;=B93,1,0)</f>
        <v>0</v>
      </c>
      <c r="D92" s="98" t="n">
        <f aca="false">(2*D90-1)/3</f>
        <v>13</v>
      </c>
      <c r="E92" s="2"/>
    </row>
    <row r="93" customFormat="false" ht="15" hidden="false" customHeight="false" outlineLevel="0" collapsed="false">
      <c r="B93" s="23" t="n">
        <v>0.6584</v>
      </c>
      <c r="C93" s="7" t="n">
        <f aca="false">IF(B93&lt;=B94,1,0)</f>
        <v>0</v>
      </c>
      <c r="D93" s="99" t="s">
        <v>118</v>
      </c>
      <c r="E93" s="2"/>
    </row>
    <row r="94" customFormat="false" ht="12.75" hidden="false" customHeight="false" outlineLevel="0" collapsed="false">
      <c r="B94" s="23" t="n">
        <v>0.4009</v>
      </c>
      <c r="C94" s="7" t="n">
        <f aca="false">IF(B94&lt;=B95,1,0)</f>
        <v>0</v>
      </c>
      <c r="D94" s="23" t="n">
        <f aca="false">(16*D90-29)/90</f>
        <v>3.23333333333333</v>
      </c>
      <c r="E94" s="2"/>
    </row>
    <row r="95" customFormat="false" ht="12.75" hidden="false" customHeight="false" outlineLevel="0" collapsed="false">
      <c r="B95" s="23" t="n">
        <v>0.2295</v>
      </c>
      <c r="C95" s="7" t="n">
        <f aca="false">IF(B95&lt;=B96,1,0)</f>
        <v>1</v>
      </c>
      <c r="D95" s="95" t="s">
        <v>119</v>
      </c>
      <c r="E95" s="2"/>
    </row>
    <row r="96" customFormat="false" ht="12.75" hidden="false" customHeight="false" outlineLevel="0" collapsed="false">
      <c r="B96" s="23" t="n">
        <v>0.7817</v>
      </c>
      <c r="C96" s="7" t="n">
        <f aca="false">IF(B96&lt;=B97,1,0)</f>
        <v>0</v>
      </c>
      <c r="D96" s="139" t="n">
        <f aca="false">ABS((D88-D92)/SQRT(D94))</f>
        <v>0.556127998320049</v>
      </c>
      <c r="E96" s="12" t="s">
        <v>181</v>
      </c>
    </row>
    <row r="97" customFormat="false" ht="18" hidden="false" customHeight="false" outlineLevel="0" collapsed="false">
      <c r="B97" s="23" t="n">
        <v>0.7633</v>
      </c>
      <c r="C97" s="7" t="n">
        <f aca="false">IF(B97&lt;=B98,1,0)</f>
        <v>0</v>
      </c>
      <c r="D97" s="101" t="s">
        <v>120</v>
      </c>
      <c r="E97" s="2" t="s">
        <v>121</v>
      </c>
    </row>
    <row r="98" customFormat="false" ht="12.75" hidden="false" customHeight="false" outlineLevel="0" collapsed="false">
      <c r="B98" s="23" t="n">
        <v>0.0973</v>
      </c>
      <c r="C98" s="7" t="n">
        <f aca="false">IF(B98&lt;=B99,1,0)</f>
        <v>1</v>
      </c>
      <c r="D98" s="111" t="n">
        <f aca="false">_xlfn.NORM.S.INV(0.985)</f>
        <v>2.17009037758456</v>
      </c>
      <c r="E98" s="12" t="s">
        <v>182</v>
      </c>
    </row>
    <row r="99" customFormat="false" ht="15" hidden="false" customHeight="false" outlineLevel="0" collapsed="false">
      <c r="B99" s="23" t="n">
        <v>0.9907</v>
      </c>
      <c r="C99" s="7" t="n">
        <f aca="false">IF(B99&lt;=B100,1,0)</f>
        <v>0</v>
      </c>
      <c r="D99" s="104" t="str">
        <f aca="false">IF(D98&gt;D96,"No se puede rechazar", "Se puede rechazar")</f>
        <v>No se puede rechazar</v>
      </c>
    </row>
    <row r="100" customFormat="false" ht="12.75" hidden="false" customHeight="false" outlineLevel="0" collapsed="false">
      <c r="B100" s="23" t="n">
        <v>0.9539</v>
      </c>
      <c r="C100" s="7" t="n">
        <f aca="false">IF(B100&lt;=B101,1,0)</f>
        <v>0</v>
      </c>
    </row>
    <row r="101" customFormat="false" ht="12.75" hidden="false" customHeight="false" outlineLevel="0" collapsed="false">
      <c r="B101" s="23" t="n">
        <v>0.3126</v>
      </c>
      <c r="C101" s="7" t="n">
        <f aca="false">IF(B101&lt;=B102,1,0)</f>
        <v>1</v>
      </c>
      <c r="D101" s="12" t="s">
        <v>183</v>
      </c>
    </row>
    <row r="102" customFormat="false" ht="12.75" hidden="false" customHeight="false" outlineLevel="0" collapsed="false">
      <c r="B102" s="23" t="n">
        <v>0.6451</v>
      </c>
      <c r="C102" s="7" t="n">
        <f aca="false">IF(B102&lt;=B103,1,0)</f>
        <v>0</v>
      </c>
      <c r="D102" s="12" t="s">
        <v>184</v>
      </c>
    </row>
    <row r="103" customFormat="false" ht="12.75" hidden="false" customHeight="false" outlineLevel="0" collapsed="false">
      <c r="B103" s="23" t="n">
        <v>0.3066</v>
      </c>
      <c r="C103" s="7" t="n">
        <f aca="false">IF(B103&lt;=B104,1,0)</f>
        <v>1</v>
      </c>
    </row>
    <row r="104" customFormat="false" ht="12.75" hidden="false" customHeight="false" outlineLevel="0" collapsed="false">
      <c r="B104" s="23" t="n">
        <v>0.3248</v>
      </c>
      <c r="C104" s="7" t="n">
        <f aca="false">IF(B104&lt;=B105,1,0)</f>
        <v>1</v>
      </c>
    </row>
    <row r="105" customFormat="false" ht="12.75" hidden="false" customHeight="false" outlineLevel="0" collapsed="false">
      <c r="B105" s="23" t="n">
        <v>0.5978</v>
      </c>
      <c r="C105" s="7" t="n">
        <f aca="false">IF(B105&lt;=B106,1,0)</f>
        <v>0</v>
      </c>
    </row>
    <row r="106" customFormat="false" ht="12.75" hidden="false" customHeight="false" outlineLevel="0" collapsed="false">
      <c r="B106" s="118" t="n">
        <v>0.039</v>
      </c>
      <c r="C106" s="7" t="n">
        <f aca="false">IF(B106&lt;=B107,1,0)</f>
        <v>1</v>
      </c>
    </row>
    <row r="107" customFormat="false" ht="12.75" hidden="false" customHeight="false" outlineLevel="0" collapsed="false">
      <c r="B107" s="23" t="n">
        <v>0.9329</v>
      </c>
      <c r="C107" s="15" t="n">
        <f aca="false">IF(B107&lt;=B108,1,0)</f>
        <v>0</v>
      </c>
    </row>
    <row r="110" customFormat="false" ht="20.25" hidden="false" customHeight="false" outlineLevel="0" collapsed="false">
      <c r="A110" s="105" t="s">
        <v>124</v>
      </c>
      <c r="B110" s="5"/>
      <c r="C110" s="5"/>
      <c r="D110" s="5"/>
    </row>
    <row r="111" customFormat="false" ht="14.25" hidden="false" customHeight="false" outlineLevel="0" collapsed="false">
      <c r="A111" s="5"/>
      <c r="B111" s="62" t="s">
        <v>125</v>
      </c>
      <c r="C111" s="62" t="s">
        <v>126</v>
      </c>
      <c r="D111" s="62" t="s">
        <v>127</v>
      </c>
      <c r="E111" s="2" t="s">
        <v>128</v>
      </c>
    </row>
    <row r="112" customFormat="false" ht="18" hidden="false" customHeight="false" outlineLevel="0" collapsed="false">
      <c r="A112" s="106" t="s">
        <v>113</v>
      </c>
      <c r="B112" s="107" t="s">
        <v>114</v>
      </c>
      <c r="C112" s="107" t="s">
        <v>115</v>
      </c>
      <c r="D112" s="95" t="s">
        <v>117</v>
      </c>
      <c r="E112" s="101" t="s">
        <v>120</v>
      </c>
    </row>
    <row r="113" customFormat="false" ht="14.25" hidden="false" customHeight="false" outlineLevel="0" collapsed="false">
      <c r="A113" s="23" t="n">
        <v>0.4598</v>
      </c>
      <c r="B113" s="109" t="n">
        <f aca="false">ROUND(A113,0)</f>
        <v>0</v>
      </c>
      <c r="C113" s="110" t="n">
        <v>14</v>
      </c>
      <c r="D113" s="27" t="n">
        <f aca="false">((2*C115*C117)/D118)+1/2</f>
        <v>10.5</v>
      </c>
      <c r="E113" s="142" t="n">
        <f aca="false">_xlfn.NORM.S.INV(0.985)</f>
        <v>2.17009037758456</v>
      </c>
    </row>
    <row r="114" customFormat="false" ht="15" hidden="false" customHeight="false" outlineLevel="0" collapsed="false">
      <c r="A114" s="23" t="n">
        <v>0.0125</v>
      </c>
      <c r="B114" s="109" t="n">
        <f aca="false">ROUND(A114,0)</f>
        <v>0</v>
      </c>
      <c r="C114" s="107" t="s">
        <v>129</v>
      </c>
      <c r="D114" s="99" t="s">
        <v>118</v>
      </c>
      <c r="E114" s="2" t="s">
        <v>80</v>
      </c>
    </row>
    <row r="115" customFormat="false" ht="15" hidden="false" customHeight="false" outlineLevel="0" collapsed="false">
      <c r="A115" s="23" t="n">
        <v>0.8686</v>
      </c>
      <c r="B115" s="109" t="n">
        <f aca="false">ROUND(A115,0)</f>
        <v>1</v>
      </c>
      <c r="C115" s="26" t="n">
        <f aca="false">COUNTIF(B113:B132,0)</f>
        <v>10</v>
      </c>
      <c r="D115" s="27" t="n">
        <f aca="false">2*C115*C117*(2*C115*C117-$D$118)/($D$118*$D$118*($D$118-1))</f>
        <v>4.73684210526316</v>
      </c>
      <c r="E115" s="112" t="str">
        <f aca="false">IF(E113&gt;D117,"No se puede rechazar", "Se puede rechazar")</f>
        <v>No se puede rechazar</v>
      </c>
    </row>
    <row r="116" customFormat="false" ht="14.25" hidden="false" customHeight="false" outlineLevel="0" collapsed="false">
      <c r="A116" s="23" t="n">
        <v>0.4007</v>
      </c>
      <c r="B116" s="109" t="n">
        <f aca="false">ROUND(A116,0)</f>
        <v>0</v>
      </c>
      <c r="C116" s="107" t="s">
        <v>130</v>
      </c>
      <c r="D116" s="95" t="s">
        <v>119</v>
      </c>
    </row>
    <row r="117" customFormat="false" ht="14.25" hidden="false" customHeight="false" outlineLevel="0" collapsed="false">
      <c r="A117" s="23" t="n">
        <v>0.9405</v>
      </c>
      <c r="B117" s="109" t="n">
        <f aca="false">ROUND(A117,0)</f>
        <v>1</v>
      </c>
      <c r="C117" s="26" t="n">
        <f aca="false">COUNTIF(B113:B132,1)</f>
        <v>10</v>
      </c>
      <c r="D117" s="27" t="n">
        <f aca="false">(C113-D113)/SQRT(D115)</f>
        <v>1.60813902107719</v>
      </c>
    </row>
    <row r="118" customFormat="false" ht="14.25" hidden="false" customHeight="false" outlineLevel="0" collapsed="false">
      <c r="A118" s="23" t="n">
        <v>0.6584</v>
      </c>
      <c r="B118" s="109" t="n">
        <f aca="false">ROUND(A118,0)</f>
        <v>1</v>
      </c>
      <c r="C118" s="107" t="s">
        <v>116</v>
      </c>
      <c r="D118" s="106" t="n">
        <v>20</v>
      </c>
    </row>
    <row r="119" customFormat="false" ht="14.25" hidden="false" customHeight="false" outlineLevel="0" collapsed="false">
      <c r="A119" s="23" t="n">
        <v>0.4009</v>
      </c>
      <c r="B119" s="109" t="n">
        <f aca="false">ROUND(A119,0)</f>
        <v>0</v>
      </c>
      <c r="C119" s="5"/>
      <c r="D119" s="5"/>
    </row>
    <row r="120" customFormat="false" ht="18" hidden="false" customHeight="false" outlineLevel="0" collapsed="false">
      <c r="A120" s="23" t="n">
        <v>0.2295</v>
      </c>
      <c r="B120" s="109" t="n">
        <f aca="false">ROUND(A120,0)</f>
        <v>0</v>
      </c>
      <c r="C120" s="5"/>
      <c r="D120" s="103" t="s">
        <v>122</v>
      </c>
      <c r="E120" s="103"/>
    </row>
    <row r="121" customFormat="false" ht="14.25" hidden="false" customHeight="false" outlineLevel="0" collapsed="false">
      <c r="A121" s="23" t="n">
        <v>0.7817</v>
      </c>
      <c r="B121" s="109" t="n">
        <f aca="false">ROUND(A121,0)</f>
        <v>1</v>
      </c>
      <c r="C121" s="5"/>
      <c r="D121" s="5"/>
    </row>
    <row r="122" customFormat="false" ht="14.25" hidden="false" customHeight="false" outlineLevel="0" collapsed="false">
      <c r="A122" s="23" t="n">
        <v>0.7633</v>
      </c>
      <c r="B122" s="109" t="n">
        <f aca="false">ROUND(A122,0)</f>
        <v>1</v>
      </c>
      <c r="C122" s="32" t="s">
        <v>157</v>
      </c>
      <c r="D122" s="5"/>
    </row>
    <row r="123" customFormat="false" ht="14.25" hidden="false" customHeight="false" outlineLevel="0" collapsed="false">
      <c r="A123" s="23" t="n">
        <v>0.0973</v>
      </c>
      <c r="B123" s="109" t="n">
        <f aca="false">ROUND(A123,0)</f>
        <v>0</v>
      </c>
    </row>
    <row r="124" customFormat="false" ht="14.25" hidden="false" customHeight="false" outlineLevel="0" collapsed="false">
      <c r="A124" s="23" t="n">
        <v>0.9907</v>
      </c>
      <c r="B124" s="109" t="n">
        <f aca="false">ROUND(A124,0)</f>
        <v>1</v>
      </c>
    </row>
    <row r="125" customFormat="false" ht="14.25" hidden="false" customHeight="false" outlineLevel="0" collapsed="false">
      <c r="A125" s="23" t="n">
        <v>0.9539</v>
      </c>
      <c r="B125" s="109" t="n">
        <f aca="false">ROUND(A125,0)</f>
        <v>1</v>
      </c>
    </row>
    <row r="126" customFormat="false" ht="14.25" hidden="false" customHeight="false" outlineLevel="0" collapsed="false">
      <c r="A126" s="23" t="n">
        <v>0.3126</v>
      </c>
      <c r="B126" s="109" t="n">
        <f aca="false">ROUND(A126,0)</f>
        <v>0</v>
      </c>
    </row>
    <row r="127" customFormat="false" ht="14.25" hidden="false" customHeight="false" outlineLevel="0" collapsed="false">
      <c r="A127" s="23" t="n">
        <v>0.6451</v>
      </c>
      <c r="B127" s="109" t="n">
        <f aca="false">ROUND(A127,0)</f>
        <v>1</v>
      </c>
    </row>
    <row r="128" customFormat="false" ht="14.25" hidden="false" customHeight="false" outlineLevel="0" collapsed="false">
      <c r="A128" s="23" t="n">
        <v>0.3066</v>
      </c>
      <c r="B128" s="109" t="n">
        <f aca="false">ROUND(A128,0)</f>
        <v>0</v>
      </c>
    </row>
    <row r="129" customFormat="false" ht="14.25" hidden="false" customHeight="false" outlineLevel="0" collapsed="false">
      <c r="A129" s="23" t="n">
        <v>0.3248</v>
      </c>
      <c r="B129" s="109" t="n">
        <f aca="false">ROUND(A129,0)</f>
        <v>0</v>
      </c>
    </row>
    <row r="130" customFormat="false" ht="14.25" hidden="false" customHeight="false" outlineLevel="0" collapsed="false">
      <c r="A130" s="23" t="n">
        <v>0.5978</v>
      </c>
      <c r="B130" s="109" t="n">
        <f aca="false">ROUND(A130,0)</f>
        <v>1</v>
      </c>
    </row>
    <row r="131" customFormat="false" ht="14.25" hidden="false" customHeight="false" outlineLevel="0" collapsed="false">
      <c r="A131" s="118" t="n">
        <v>0.039</v>
      </c>
      <c r="B131" s="109" t="n">
        <f aca="false">ROUND(A131,0)</f>
        <v>0</v>
      </c>
    </row>
    <row r="132" customFormat="false" ht="14.25" hidden="false" customHeight="false" outlineLevel="0" collapsed="false">
      <c r="A132" s="23" t="n">
        <v>0.9329</v>
      </c>
      <c r="B132" s="109" t="n">
        <f aca="false">ROUND(A132,0)</f>
        <v>1</v>
      </c>
    </row>
  </sheetData>
  <mergeCells count="18">
    <mergeCell ref="F19:H19"/>
    <mergeCell ref="F20:G20"/>
    <mergeCell ref="F21:G21"/>
    <mergeCell ref="F22:G22"/>
    <mergeCell ref="F23:G23"/>
    <mergeCell ref="F24:G24"/>
    <mergeCell ref="F25:G25"/>
    <mergeCell ref="F32:H32"/>
    <mergeCell ref="F33:G33"/>
    <mergeCell ref="F34:G34"/>
    <mergeCell ref="F35:G35"/>
    <mergeCell ref="F36:G36"/>
    <mergeCell ref="F37:G37"/>
    <mergeCell ref="F38:G38"/>
    <mergeCell ref="F39:G39"/>
    <mergeCell ref="F40:G40"/>
    <mergeCell ref="C43:F43"/>
    <mergeCell ref="G52:H5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43</TotalTime>
  <Application>LibreOffice/6.1.5.2$Linux_X86_64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2020-04-23T15:40:37Z</dcterms:created>
  <dc:creator>Simón</dc:creator>
  <dc:description/>
  <dc:language>en-US</dc:language>
  <cp:lastModifiedBy/>
  <dcterms:modified xsi:type="dcterms:W3CDTF">2020-04-25T11:06:09Z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