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3"/>
  <workbookPr/>
  <mc:AlternateContent xmlns:mc="http://schemas.openxmlformats.org/markup-compatibility/2006">
    <mc:Choice Requires="x15">
      <x15ac:absPath xmlns:x15ac="http://schemas.microsoft.com/office/spreadsheetml/2010/11/ac" url="D:\Usuarios\Simon\Documentos\Simulacion 2020\Actividad 2\"/>
    </mc:Choice>
  </mc:AlternateContent>
  <xr:revisionPtr revIDLastSave="0" documentId="8_{EB93D45B-B1CC-4778-B197-D19E5671555A}" xr6:coauthVersionLast="45" xr6:coauthVersionMax="45" xr10:uidLastSave="{00000000-0000-0000-0000-000000000000}"/>
  <bookViews>
    <workbookView xWindow="-120" yWindow="-120" windowWidth="19440" windowHeight="15000" firstSheet="10" activeTab="10" xr2:uid="{00000000-000D-0000-FFFF-FFFF00000000}"/>
  </bookViews>
  <sheets>
    <sheet name="Integrantes" sheetId="1" r:id="rId1"/>
    <sheet name="Ej1" sheetId="2" r:id="rId2"/>
    <sheet name="Ej2" sheetId="3" r:id="rId3"/>
    <sheet name="Ej3" sheetId="4" r:id="rId4"/>
    <sheet name="Ej4" sheetId="5" r:id="rId5"/>
    <sheet name="Ej5" sheetId="6" r:id="rId6"/>
    <sheet name="Ej6" sheetId="7" r:id="rId7"/>
    <sheet name="Ej7" sheetId="8" r:id="rId8"/>
    <sheet name="Ej8" sheetId="9" r:id="rId9"/>
    <sheet name="Ej9" sheetId="10" r:id="rId10"/>
    <sheet name="Ej10"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9" l="1"/>
  <c r="C76" i="7"/>
  <c r="F53" i="11" l="1"/>
  <c r="F52" i="8"/>
  <c r="I44" i="7"/>
  <c r="F59" i="9" l="1"/>
  <c r="E114" i="9" l="1"/>
  <c r="C91" i="9"/>
  <c r="C92" i="9"/>
  <c r="C93" i="9"/>
  <c r="C94" i="9"/>
  <c r="C95" i="9"/>
  <c r="C96" i="9"/>
  <c r="C97" i="9"/>
  <c r="C98" i="9"/>
  <c r="C99" i="9"/>
  <c r="C100" i="9"/>
  <c r="C101" i="9"/>
  <c r="C102" i="9"/>
  <c r="C103" i="9"/>
  <c r="C104" i="9"/>
  <c r="C105" i="9"/>
  <c r="C106" i="9"/>
  <c r="C107" i="9"/>
  <c r="C108" i="9"/>
  <c r="F60" i="9"/>
  <c r="F61" i="9"/>
  <c r="F62" i="9"/>
  <c r="F63" i="9"/>
  <c r="F64" i="9"/>
  <c r="F65" i="9"/>
  <c r="F66" i="9"/>
  <c r="F67" i="9"/>
  <c r="F68" i="9"/>
  <c r="F69" i="9"/>
  <c r="F70" i="9"/>
  <c r="F71" i="9"/>
  <c r="F72" i="9"/>
  <c r="F73" i="9"/>
  <c r="F74" i="9"/>
  <c r="F75" i="9"/>
  <c r="F76" i="9"/>
  <c r="F77" i="9"/>
  <c r="F78" i="9"/>
  <c r="D60" i="8"/>
  <c r="D61" i="8"/>
  <c r="D62" i="8"/>
  <c r="D63" i="8"/>
  <c r="D64" i="8"/>
  <c r="D65" i="8"/>
  <c r="D66" i="8"/>
  <c r="D67" i="8"/>
  <c r="D68" i="8"/>
  <c r="D69" i="8"/>
  <c r="D70" i="8"/>
  <c r="D71" i="8"/>
  <c r="D72" i="8"/>
  <c r="D73" i="8"/>
  <c r="D74" i="8"/>
  <c r="D75" i="8"/>
  <c r="D76" i="8"/>
  <c r="D77" i="8"/>
  <c r="D78" i="8"/>
  <c r="D59" i="8"/>
  <c r="D50" i="7"/>
  <c r="D51" i="7"/>
  <c r="D52" i="7"/>
  <c r="D53" i="7"/>
  <c r="D54" i="7"/>
  <c r="D55" i="7"/>
  <c r="D56" i="7"/>
  <c r="D57" i="7"/>
  <c r="D58" i="7"/>
  <c r="D49" i="7"/>
  <c r="D59" i="7" s="1"/>
  <c r="F48" i="11" l="1"/>
  <c r="F47" i="11"/>
  <c r="F46" i="11"/>
  <c r="F45" i="11"/>
  <c r="F44" i="11"/>
  <c r="F43" i="11"/>
  <c r="F49" i="11" s="1"/>
  <c r="E46" i="11"/>
  <c r="E43" i="11"/>
  <c r="E48" i="11"/>
  <c r="E47" i="11"/>
  <c r="E45" i="11"/>
  <c r="E44" i="11"/>
  <c r="I21" i="11"/>
  <c r="D50" i="9"/>
  <c r="D49" i="9"/>
  <c r="D48" i="9"/>
  <c r="D47" i="9"/>
  <c r="D46" i="9"/>
  <c r="E50" i="9"/>
  <c r="E49" i="9"/>
  <c r="E48" i="9"/>
  <c r="E47" i="9"/>
  <c r="F47" i="9" s="1"/>
  <c r="E46" i="9"/>
  <c r="B86" i="8"/>
  <c r="F47" i="8"/>
  <c r="F46" i="8"/>
  <c r="F45" i="8"/>
  <c r="F44" i="8"/>
  <c r="F43" i="8"/>
  <c r="E44" i="8"/>
  <c r="E43" i="8"/>
  <c r="E46" i="8"/>
  <c r="E45" i="8"/>
  <c r="E47" i="8"/>
  <c r="G43" i="8" l="1"/>
  <c r="G44" i="8"/>
  <c r="G45" i="8"/>
  <c r="G46" i="8"/>
  <c r="G47" i="8"/>
  <c r="E51" i="9"/>
  <c r="F48" i="9"/>
  <c r="G48" i="11"/>
  <c r="F48" i="8"/>
  <c r="F50" i="9"/>
  <c r="F46" i="9"/>
  <c r="E49" i="11"/>
  <c r="F49" i="9"/>
  <c r="D51" i="9"/>
  <c r="E48" i="8"/>
  <c r="E84" i="7"/>
  <c r="G48" i="8" l="1"/>
  <c r="F51" i="9"/>
  <c r="I39" i="7"/>
  <c r="I40" i="7"/>
  <c r="H40" i="7"/>
  <c r="J40" i="7" s="1"/>
  <c r="H39" i="7"/>
  <c r="J39" i="7" s="1"/>
  <c r="H38" i="7"/>
  <c r="H41" i="7"/>
  <c r="J41" i="7" s="1"/>
  <c r="B19" i="5"/>
  <c r="D13" i="5"/>
  <c r="D14" i="5" s="1"/>
  <c r="D15" i="5" s="1"/>
  <c r="D16" i="5" s="1"/>
  <c r="D17" i="5" s="1"/>
  <c r="D18" i="5" s="1"/>
  <c r="D19" i="5" s="1"/>
  <c r="D20" i="5" s="1"/>
  <c r="D21" i="5" s="1"/>
  <c r="D22" i="5" s="1"/>
  <c r="D23" i="5" s="1"/>
  <c r="D24" i="5" s="1"/>
  <c r="D25" i="5" s="1"/>
  <c r="D26" i="5" s="1"/>
  <c r="D27" i="5" s="1"/>
  <c r="G12" i="5"/>
  <c r="E8" i="2"/>
  <c r="H42" i="7" l="1"/>
  <c r="F8" i="2"/>
  <c r="B9" i="2"/>
  <c r="C9" i="2" s="1"/>
  <c r="D9" i="2" s="1"/>
  <c r="E9" i="2" s="1"/>
  <c r="G45" i="11"/>
  <c r="G44" i="11"/>
  <c r="G46" i="11" s="1"/>
  <c r="G43" i="11"/>
  <c r="I36" i="11"/>
  <c r="I32" i="11"/>
  <c r="I34" i="11" s="1"/>
  <c r="I37" i="11" s="1"/>
  <c r="I31" i="11"/>
  <c r="I17" i="11"/>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H21" i="10"/>
  <c r="H17" i="10"/>
  <c r="H18" i="10" s="1"/>
  <c r="H19" i="10" s="1"/>
  <c r="B133" i="9"/>
  <c r="B132" i="9"/>
  <c r="B131" i="9"/>
  <c r="B130" i="9"/>
  <c r="B129" i="9"/>
  <c r="B128" i="9"/>
  <c r="B127" i="9"/>
  <c r="B126" i="9"/>
  <c r="B125" i="9"/>
  <c r="B124" i="9"/>
  <c r="B123" i="9"/>
  <c r="B122" i="9"/>
  <c r="B121" i="9"/>
  <c r="B120" i="9"/>
  <c r="B119" i="9"/>
  <c r="B118" i="9"/>
  <c r="B117" i="9"/>
  <c r="B116" i="9"/>
  <c r="B115" i="9"/>
  <c r="B114" i="9"/>
  <c r="D95" i="9"/>
  <c r="D93" i="9"/>
  <c r="D97" i="9" s="1"/>
  <c r="C90" i="9"/>
  <c r="G78" i="9"/>
  <c r="D78" i="9"/>
  <c r="G77" i="9"/>
  <c r="D77" i="9"/>
  <c r="G76" i="9"/>
  <c r="D76" i="9"/>
  <c r="G75" i="9"/>
  <c r="D75" i="9"/>
  <c r="G74" i="9"/>
  <c r="D74" i="9"/>
  <c r="G73" i="9"/>
  <c r="D73" i="9"/>
  <c r="G72" i="9"/>
  <c r="D72" i="9"/>
  <c r="G71" i="9"/>
  <c r="D71" i="9"/>
  <c r="G70" i="9"/>
  <c r="D70" i="9"/>
  <c r="G69" i="9"/>
  <c r="D69" i="9"/>
  <c r="G68" i="9"/>
  <c r="D68" i="9"/>
  <c r="G67" i="9"/>
  <c r="D67" i="9"/>
  <c r="G66" i="9"/>
  <c r="D66" i="9"/>
  <c r="G65" i="9"/>
  <c r="D65" i="9"/>
  <c r="G64" i="9"/>
  <c r="D64" i="9"/>
  <c r="G63" i="9"/>
  <c r="D63" i="9"/>
  <c r="G62" i="9"/>
  <c r="D62" i="9"/>
  <c r="G61" i="9"/>
  <c r="D61" i="9"/>
  <c r="G60" i="9"/>
  <c r="D60" i="9"/>
  <c r="G59" i="9"/>
  <c r="D59" i="9"/>
  <c r="H39" i="9"/>
  <c r="H34" i="9"/>
  <c r="H24" i="9"/>
  <c r="H20" i="9"/>
  <c r="H21" i="9" s="1"/>
  <c r="H22" i="9" s="1"/>
  <c r="H25" i="9" s="1"/>
  <c r="B133" i="8"/>
  <c r="B132" i="8"/>
  <c r="B131" i="8"/>
  <c r="B130" i="8"/>
  <c r="B129" i="8"/>
  <c r="B128" i="8"/>
  <c r="B127" i="8"/>
  <c r="B126" i="8"/>
  <c r="B125" i="8"/>
  <c r="B124" i="8"/>
  <c r="B123" i="8"/>
  <c r="B122" i="8"/>
  <c r="B121" i="8"/>
  <c r="B120" i="8"/>
  <c r="B119" i="8"/>
  <c r="B118" i="8"/>
  <c r="B117" i="8"/>
  <c r="B116" i="8"/>
  <c r="B115" i="8"/>
  <c r="E114" i="8"/>
  <c r="B114" i="8"/>
  <c r="B104" i="8"/>
  <c r="B103" i="8"/>
  <c r="B102" i="8"/>
  <c r="B101" i="8"/>
  <c r="B100" i="8"/>
  <c r="B99" i="8"/>
  <c r="B98" i="8"/>
  <c r="B97" i="8"/>
  <c r="C96" i="8"/>
  <c r="B96" i="8"/>
  <c r="B95" i="8"/>
  <c r="B94" i="8"/>
  <c r="B93" i="8"/>
  <c r="C92" i="8"/>
  <c r="B92" i="8"/>
  <c r="B91" i="8"/>
  <c r="C90" i="8"/>
  <c r="B90" i="8"/>
  <c r="B89" i="8"/>
  <c r="B88" i="8"/>
  <c r="B87" i="8"/>
  <c r="E78" i="8"/>
  <c r="E77" i="8"/>
  <c r="E76" i="8"/>
  <c r="E75" i="8"/>
  <c r="E74" i="8"/>
  <c r="E73" i="8"/>
  <c r="E72" i="8"/>
  <c r="E71" i="8"/>
  <c r="E70" i="8"/>
  <c r="E69" i="8"/>
  <c r="E68" i="8"/>
  <c r="E67" i="8"/>
  <c r="E66" i="8"/>
  <c r="E65" i="8"/>
  <c r="E64" i="8"/>
  <c r="E63" i="8"/>
  <c r="E62" i="8"/>
  <c r="E61" i="8"/>
  <c r="E60" i="8"/>
  <c r="E59" i="8"/>
  <c r="E79" i="8" s="1"/>
  <c r="D79" i="8"/>
  <c r="F35" i="8"/>
  <c r="F31" i="8"/>
  <c r="F33" i="8" s="1"/>
  <c r="F36" i="8" s="1"/>
  <c r="F30" i="8"/>
  <c r="F32" i="8" s="1"/>
  <c r="F34" i="8" s="1"/>
  <c r="F22" i="8"/>
  <c r="F19" i="8"/>
  <c r="F20" i="8" s="1"/>
  <c r="F15" i="8"/>
  <c r="B93" i="7"/>
  <c r="B92" i="7"/>
  <c r="B91" i="7"/>
  <c r="B90" i="7"/>
  <c r="B89" i="7"/>
  <c r="B88" i="7"/>
  <c r="B87" i="7"/>
  <c r="B86" i="7"/>
  <c r="B85" i="7"/>
  <c r="B84" i="7"/>
  <c r="B74" i="7"/>
  <c r="B73" i="7"/>
  <c r="C72" i="7"/>
  <c r="B72" i="7"/>
  <c r="B71" i="7"/>
  <c r="C70" i="7"/>
  <c r="B70" i="7"/>
  <c r="B69" i="7"/>
  <c r="B68" i="7"/>
  <c r="B67" i="7"/>
  <c r="B66" i="7"/>
  <c r="E58" i="7"/>
  <c r="E57" i="7"/>
  <c r="E56" i="7"/>
  <c r="E55" i="7"/>
  <c r="E54" i="7"/>
  <c r="E53" i="7"/>
  <c r="E52" i="7"/>
  <c r="E51" i="7"/>
  <c r="E50" i="7"/>
  <c r="E49" i="7"/>
  <c r="I38" i="7"/>
  <c r="H25" i="7"/>
  <c r="H23" i="7"/>
  <c r="H27" i="7" s="1"/>
  <c r="H22" i="7"/>
  <c r="H24" i="7" s="1"/>
  <c r="H26" i="7" s="1"/>
  <c r="H28" i="7" s="1"/>
  <c r="H16" i="7"/>
  <c r="H13" i="7"/>
  <c r="H14" i="7" s="1"/>
  <c r="B13" i="7"/>
  <c r="B14" i="7" s="1"/>
  <c r="B15" i="7" s="1"/>
  <c r="B16" i="7" s="1"/>
  <c r="B17" i="7" s="1"/>
  <c r="B18" i="7" s="1"/>
  <c r="B19" i="7" s="1"/>
  <c r="B20" i="7" s="1"/>
  <c r="B21" i="7" s="1"/>
  <c r="B17" i="6"/>
  <c r="D13" i="6"/>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B17" i="5"/>
  <c r="F12" i="5" s="1"/>
  <c r="E13" i="5" s="1"/>
  <c r="G13" i="5" s="1"/>
  <c r="A9" i="5"/>
  <c r="D6" i="4"/>
  <c r="E6" i="4" s="1"/>
  <c r="F6" i="4" s="1"/>
  <c r="C7" i="4" s="1"/>
  <c r="D7" i="4" s="1"/>
  <c r="E7" i="4" s="1"/>
  <c r="F7" i="4" s="1"/>
  <c r="B6" i="3"/>
  <c r="D5" i="3"/>
  <c r="C5" i="2"/>
  <c r="F23" i="8" l="1"/>
  <c r="F21" i="8"/>
  <c r="I18" i="11"/>
  <c r="I19" i="11" s="1"/>
  <c r="H36" i="9"/>
  <c r="H38" i="9" s="1"/>
  <c r="H35" i="9"/>
  <c r="I33" i="11"/>
  <c r="I35" i="11" s="1"/>
  <c r="H20" i="10"/>
  <c r="H22" i="10"/>
  <c r="E5" i="3"/>
  <c r="F5" i="3" s="1"/>
  <c r="E12" i="6"/>
  <c r="G12" i="6" s="1"/>
  <c r="D5" i="2"/>
  <c r="E5" i="2" s="1"/>
  <c r="F5" i="2" s="1"/>
  <c r="G79" i="9"/>
  <c r="C94" i="8"/>
  <c r="C97" i="8" s="1"/>
  <c r="C116" i="8"/>
  <c r="C117" i="9"/>
  <c r="E59" i="7"/>
  <c r="J38" i="7"/>
  <c r="J42" i="7" s="1"/>
  <c r="C74" i="7"/>
  <c r="C77" i="7" s="1"/>
  <c r="I42" i="7"/>
  <c r="C88" i="7"/>
  <c r="F13" i="5"/>
  <c r="B10" i="2"/>
  <c r="C10" i="2" s="1"/>
  <c r="D10" i="2" s="1"/>
  <c r="F9" i="2"/>
  <c r="G7" i="4"/>
  <c r="C8" i="4"/>
  <c r="D8" i="4" s="1"/>
  <c r="G6" i="4"/>
  <c r="H17" i="7"/>
  <c r="H15" i="7"/>
  <c r="F59" i="8"/>
  <c r="G69" i="8" s="1"/>
  <c r="F79" i="9"/>
  <c r="H59" i="9" s="1"/>
  <c r="I69" i="9" s="1"/>
  <c r="C119" i="9"/>
  <c r="C86" i="7"/>
  <c r="D86" i="7" s="1"/>
  <c r="C118" i="8"/>
  <c r="H23" i="9"/>
  <c r="I20" i="11" l="1"/>
  <c r="I22" i="11"/>
  <c r="D116" i="8"/>
  <c r="D114" i="9"/>
  <c r="D99" i="9"/>
  <c r="D100" i="9" s="1"/>
  <c r="H37" i="9"/>
  <c r="H40" i="9" s="1"/>
  <c r="G47" i="11"/>
  <c r="G49" i="11" s="1"/>
  <c r="G5" i="3"/>
  <c r="C6" i="3"/>
  <c r="B6" i="2"/>
  <c r="C6" i="2" s="1"/>
  <c r="D6" i="2" s="1"/>
  <c r="E6" i="2" s="1"/>
  <c r="E14" i="5"/>
  <c r="G14" i="5" s="1"/>
  <c r="D116" i="9"/>
  <c r="F12" i="6"/>
  <c r="E13" i="6" s="1"/>
  <c r="F49" i="7"/>
  <c r="G59" i="7" s="1"/>
  <c r="F14" i="5"/>
  <c r="E15" i="5" s="1"/>
  <c r="E8" i="4"/>
  <c r="F8" i="4" s="1"/>
  <c r="B11" i="2"/>
  <c r="C11" i="2" s="1"/>
  <c r="D11" i="2" s="1"/>
  <c r="E11" i="2" s="1"/>
  <c r="F10" i="2"/>
  <c r="D114" i="8"/>
  <c r="D118" i="8" s="1"/>
  <c r="E116" i="8" s="1"/>
  <c r="D118" i="9"/>
  <c r="E116" i="9" s="1"/>
  <c r="D84" i="7"/>
  <c r="B7" i="2" l="1"/>
  <c r="C7" i="2" s="1"/>
  <c r="D7" i="2" s="1"/>
  <c r="F6" i="2"/>
  <c r="B7" i="3"/>
  <c r="D6" i="3"/>
  <c r="E6" i="3" s="1"/>
  <c r="F6" i="3" s="1"/>
  <c r="G13" i="6"/>
  <c r="F13" i="6"/>
  <c r="E14" i="6" s="1"/>
  <c r="G15" i="5"/>
  <c r="F15" i="5"/>
  <c r="E16" i="5" s="1"/>
  <c r="C9" i="4"/>
  <c r="D9" i="4" s="1"/>
  <c r="G8" i="4"/>
  <c r="B12" i="2"/>
  <c r="C12" i="2" s="1"/>
  <c r="D12" i="2" s="1"/>
  <c r="E12" i="2" s="1"/>
  <c r="F11" i="2"/>
  <c r="D88" i="7"/>
  <c r="E86" i="7" s="1"/>
  <c r="G14" i="6" l="1"/>
  <c r="F14" i="6"/>
  <c r="E15" i="6" s="1"/>
  <c r="C7" i="3"/>
  <c r="G6" i="3"/>
  <c r="E7" i="2"/>
  <c r="F7" i="2" s="1"/>
  <c r="G16" i="5"/>
  <c r="F16" i="5"/>
  <c r="E17" i="5" s="1"/>
  <c r="E9" i="4"/>
  <c r="F9" i="4" s="1"/>
  <c r="B13" i="2"/>
  <c r="C13" i="2" s="1"/>
  <c r="D13" i="2" s="1"/>
  <c r="E13" i="2" s="1"/>
  <c r="F12" i="2"/>
  <c r="B8" i="3" l="1"/>
  <c r="D7" i="3"/>
  <c r="E7" i="3" s="1"/>
  <c r="F7" i="3" s="1"/>
  <c r="C8" i="3" s="1"/>
  <c r="B9" i="3" s="1"/>
  <c r="G15" i="6"/>
  <c r="F15" i="6"/>
  <c r="E16" i="6" s="1"/>
  <c r="B8" i="2"/>
  <c r="C8" i="2" s="1"/>
  <c r="D8" i="2" s="1"/>
  <c r="G17" i="5"/>
  <c r="F17" i="5"/>
  <c r="E18" i="5" s="1"/>
  <c r="G9" i="4"/>
  <c r="C10" i="4"/>
  <c r="D10" i="4" s="1"/>
  <c r="G7" i="3"/>
  <c r="B14" i="2"/>
  <c r="C14" i="2" s="1"/>
  <c r="D14" i="2" s="1"/>
  <c r="E14" i="2" s="1"/>
  <c r="F14" i="2" s="1"/>
  <c r="F13" i="2"/>
  <c r="F16" i="6" l="1"/>
  <c r="E17" i="6" s="1"/>
  <c r="G16" i="6"/>
  <c r="G18" i="5"/>
  <c r="F18" i="5"/>
  <c r="E19" i="5" s="1"/>
  <c r="E10" i="4"/>
  <c r="F10" i="4" s="1"/>
  <c r="D8" i="3"/>
  <c r="E8" i="3" s="1"/>
  <c r="F17" i="6" l="1"/>
  <c r="E18" i="6" s="1"/>
  <c r="G17" i="6"/>
  <c r="G19" i="5"/>
  <c r="F19" i="5"/>
  <c r="E20" i="5" s="1"/>
  <c r="G10" i="4"/>
  <c r="C11" i="4"/>
  <c r="D11" i="4" s="1"/>
  <c r="E11" i="4" s="1"/>
  <c r="F11" i="4" s="1"/>
  <c r="F8" i="3"/>
  <c r="G8" i="3" s="1"/>
  <c r="F18" i="6" l="1"/>
  <c r="E19" i="6" s="1"/>
  <c r="G18" i="6"/>
  <c r="G20" i="5"/>
  <c r="F20" i="5"/>
  <c r="E21" i="5" s="1"/>
  <c r="G11" i="4"/>
  <c r="C12" i="4"/>
  <c r="D12" i="4" s="1"/>
  <c r="C9" i="3"/>
  <c r="F19" i="6" l="1"/>
  <c r="E20" i="6" s="1"/>
  <c r="G19" i="6"/>
  <c r="F21" i="5"/>
  <c r="E22" i="5" s="1"/>
  <c r="G21" i="5"/>
  <c r="E12" i="4"/>
  <c r="F12" i="4" s="1"/>
  <c r="B10" i="3"/>
  <c r="D9" i="3"/>
  <c r="E9" i="3" s="1"/>
  <c r="F9" i="3" s="1"/>
  <c r="G9" i="3" s="1"/>
  <c r="F20" i="6" l="1"/>
  <c r="E21" i="6" s="1"/>
  <c r="G20" i="6"/>
  <c r="F22" i="5"/>
  <c r="E23" i="5" s="1"/>
  <c r="G22" i="5"/>
  <c r="C13" i="4"/>
  <c r="D13" i="4" s="1"/>
  <c r="G12" i="4"/>
  <c r="C10" i="3"/>
  <c r="B11" i="3" s="1"/>
  <c r="F21" i="6" l="1"/>
  <c r="E22" i="6" s="1"/>
  <c r="G21" i="6"/>
  <c r="G23" i="5"/>
  <c r="F23" i="5"/>
  <c r="E24" i="5" s="1"/>
  <c r="E13" i="4"/>
  <c r="F13" i="4" s="1"/>
  <c r="D10" i="3"/>
  <c r="E10" i="3" s="1"/>
  <c r="F10" i="3" s="1"/>
  <c r="C11" i="3" s="1"/>
  <c r="F22" i="6" l="1"/>
  <c r="E23" i="6" s="1"/>
  <c r="G22" i="6"/>
  <c r="G24" i="5"/>
  <c r="F24" i="5"/>
  <c r="E25" i="5" s="1"/>
  <c r="G13" i="4"/>
  <c r="C14" i="4"/>
  <c r="D14" i="4" s="1"/>
  <c r="G10" i="3"/>
  <c r="B12" i="3"/>
  <c r="D11" i="3"/>
  <c r="E11" i="3" s="1"/>
  <c r="F11" i="3" s="1"/>
  <c r="F23" i="6" l="1"/>
  <c r="E24" i="6" s="1"/>
  <c r="G23" i="6"/>
  <c r="G25" i="5"/>
  <c r="F25" i="5"/>
  <c r="E26" i="5" s="1"/>
  <c r="E14" i="4"/>
  <c r="F14" i="4" s="1"/>
  <c r="C12" i="3"/>
  <c r="G11" i="3"/>
  <c r="F24" i="6" l="1"/>
  <c r="E25" i="6" s="1"/>
  <c r="G24" i="6"/>
  <c r="G26" i="5"/>
  <c r="F26" i="5"/>
  <c r="E27" i="5" s="1"/>
  <c r="C15" i="4"/>
  <c r="D15" i="4" s="1"/>
  <c r="G14" i="4"/>
  <c r="B13" i="3"/>
  <c r="D12" i="3"/>
  <c r="G15" i="4" l="1"/>
  <c r="E15" i="4"/>
  <c r="F25" i="6"/>
  <c r="E26" i="6" s="1"/>
  <c r="G25" i="6"/>
  <c r="G27" i="5"/>
  <c r="F27" i="5"/>
  <c r="E12" i="3"/>
  <c r="F12" i="3" s="1"/>
  <c r="F26" i="6" l="1"/>
  <c r="E27" i="6" s="1"/>
  <c r="G26" i="6"/>
  <c r="C13" i="3"/>
  <c r="B14" i="3" s="1"/>
  <c r="G12" i="3"/>
  <c r="F27" i="6" l="1"/>
  <c r="E28" i="6" s="1"/>
  <c r="G27" i="6"/>
  <c r="D13" i="3"/>
  <c r="E13" i="3" s="1"/>
  <c r="F13" i="3" s="1"/>
  <c r="F28" i="6" l="1"/>
  <c r="E29" i="6" s="1"/>
  <c r="G28" i="6"/>
  <c r="C14" i="3"/>
  <c r="D14" i="3" s="1"/>
  <c r="E14" i="3" s="1"/>
  <c r="F14" i="3" s="1"/>
  <c r="G14" i="3" s="1"/>
  <c r="G13" i="3"/>
  <c r="F29" i="6" l="1"/>
  <c r="E30" i="6" s="1"/>
  <c r="G29" i="6"/>
  <c r="F30" i="6" l="1"/>
  <c r="E31" i="6" s="1"/>
  <c r="G30" i="6"/>
  <c r="F31" i="6" l="1"/>
  <c r="E32" i="6" s="1"/>
  <c r="G31" i="6"/>
  <c r="F32" i="6" l="1"/>
  <c r="E33" i="6" s="1"/>
  <c r="G32" i="6"/>
  <c r="F33" i="6" l="1"/>
  <c r="E34" i="6" s="1"/>
  <c r="G33" i="6"/>
  <c r="F34" i="6" l="1"/>
  <c r="E35" i="6" s="1"/>
  <c r="G34" i="6"/>
  <c r="F35" i="6" l="1"/>
  <c r="E36" i="6" s="1"/>
  <c r="G35" i="6"/>
  <c r="F36" i="6" l="1"/>
  <c r="G36" i="6"/>
</calcChain>
</file>

<file path=xl/sharedStrings.xml><?xml version="1.0" encoding="utf-8"?>
<sst xmlns="http://schemas.openxmlformats.org/spreadsheetml/2006/main" count="469" uniqueCount="193">
  <si>
    <t>Integrantes del Grupo</t>
  </si>
  <si>
    <t>-Cuzziol Facundo</t>
  </si>
  <si>
    <t>-Diez Danilo</t>
  </si>
  <si>
    <t>-Nadal Alejandro</t>
  </si>
  <si>
    <t>-Soto Juan Cruz</t>
  </si>
  <si>
    <t>-Troncoso Mariano</t>
  </si>
  <si>
    <t>Ejercicio N° 1: Utilizando el algoritmo de cuadrados medios, se pide: Generar una muestra de 10 números con la semilla X0 = 5115.</t>
  </si>
  <si>
    <t>i</t>
  </si>
  <si>
    <t>x_i</t>
  </si>
  <si>
    <t>y_i</t>
  </si>
  <si>
    <t>y_i(corregido)</t>
  </si>
  <si>
    <t>x_i+1</t>
  </si>
  <si>
    <t>r_i+1</t>
  </si>
  <si>
    <t>Tomaron mal los números del medio ahí</t>
  </si>
  <si>
    <t>El resultado correcto es 5521, no 5216</t>
  </si>
  <si>
    <t>listo</t>
  </si>
  <si>
    <t>Ejercicio N° 2: Utilizando el algoritmo de productos medios, se pide: Generar una muestra de 10 números partiendo de las semillas X0 = 5215 y X1 = 5836.</t>
  </si>
  <si>
    <t>Y_i=x_i*(x_i+1)</t>
  </si>
  <si>
    <t>y_0(corregido)</t>
  </si>
  <si>
    <t>x_i+2</t>
  </si>
  <si>
    <t>Utilizando el algoritmo de multiplicador constante, se pide:</t>
  </si>
  <si>
    <t>Generar una muestra de 10 números partiendo de la semilla X0 = 5215 y con la constante a = 3724</t>
  </si>
  <si>
    <t>a</t>
  </si>
  <si>
    <t>ALGORITMO LINEAL</t>
  </si>
  <si>
    <t>Ejercicio N° 4: Generar suficientes números entre 0 y 1 con los siguientes parámetros X0 = 6, k = 3, g = 4 y c = 7, hasta encontrar el período de vida máximo (N). Al finalizar la generación de números, se pide:</t>
  </si>
  <si>
    <t>a) Responder: ¿Se alcanza el período de vida máximo?</t>
  </si>
  <si>
    <t>b) Justificar la respuesta del ítem a)</t>
  </si>
  <si>
    <t>a=1+4*k</t>
  </si>
  <si>
    <t>m= 2^g</t>
  </si>
  <si>
    <t>ri = xi/(m-1)</t>
  </si>
  <si>
    <t>a) Si se alcanza el periodo de vida maximo (conclusiòn corregida)</t>
  </si>
  <si>
    <t>r_i</t>
  </si>
  <si>
    <t>Olvidaron responder el item b, que es el por qué se alcanza ese período de vida máximo</t>
  </si>
  <si>
    <t>DATOS</t>
  </si>
  <si>
    <t>Tienen que responder algo como "se alcanza el período de vida máximo N ya que se cumple</t>
  </si>
  <si>
    <t>xo</t>
  </si>
  <si>
    <t>con todas las condiciones del algoritmo".</t>
  </si>
  <si>
    <t>k</t>
  </si>
  <si>
    <t>g</t>
  </si>
  <si>
    <t>b) Se alcanza el periodo de vida maximo N ya que se cumple con todas las condiciones del algoritmo</t>
  </si>
  <si>
    <t>c</t>
  </si>
  <si>
    <t>m</t>
  </si>
  <si>
    <t>N</t>
  </si>
  <si>
    <t>Ejercicio N° 5: Generar suficientes números entre 0 y 1 con los siguientes parámetros proporcionados de manera arbitraria: X0 = 2, k = 3, g = 4, c = 9 y m = 25, hasta encontrar el período de vida máximo (N).</t>
  </si>
  <si>
    <t xml:space="preserve">Al finalizar la generación de números, se pide: </t>
  </si>
  <si>
    <t>b) Justificar la respuesta del ítem a).</t>
  </si>
  <si>
    <t>a) No se alcanza el periodo de vida maximo, ya que deja de generar numeros aleatorios diferentes a los anteriores, como se ve en las iteraciones i = 1 e i = 20</t>
  </si>
  <si>
    <t>Según la teoria vista en la clases, 2^g = m</t>
  </si>
  <si>
    <t>Dado los siguientes 10 números del conjunto ri determine si cumplen las cuatro propiedades de los números pseudoaleatorios con un nivel de aceptación de 99% para cada una de las pruebas:</t>
  </si>
  <si>
    <t>a) Prueba de medias.</t>
  </si>
  <si>
    <t>b) Prueba de varianzas.</t>
  </si>
  <si>
    <t>c) Prueba de uniformidad</t>
  </si>
  <si>
    <t>• Prueba Chi-Cuadrada</t>
  </si>
  <si>
    <t>• Prueba de Kolmogorov-Smirnov</t>
  </si>
  <si>
    <t>d) Prueba de Independencia:</t>
  </si>
  <si>
    <t>• Prueba de Corridas arriba y abajo</t>
  </si>
  <si>
    <t>Prueba de Medias</t>
  </si>
  <si>
    <t>• Prueba de Corridas arriba y abajo de la media</t>
  </si>
  <si>
    <t>n=</t>
  </si>
  <si>
    <t>Valores PAleatorios</t>
  </si>
  <si>
    <t>Numero</t>
  </si>
  <si>
    <t>Pruebas de Medias</t>
  </si>
  <si>
    <t>α=</t>
  </si>
  <si>
    <t>1 - α/2=</t>
  </si>
  <si>
    <t>Z(1-α/2)=</t>
  </si>
  <si>
    <t>Límite Inferior=</t>
  </si>
  <si>
    <t>Promedio Muestra R=</t>
  </si>
  <si>
    <t>Límite Sup=</t>
  </si>
  <si>
    <t>No Podemos Rechazar</t>
  </si>
  <si>
    <t>Prueba de Varianza</t>
  </si>
  <si>
    <t>Pruebas de Varianza</t>
  </si>
  <si>
    <t>χ2 (α/2, n-1)</t>
  </si>
  <si>
    <t>χ2 (1 - α/2, n-1)</t>
  </si>
  <si>
    <t>Varianza Muestra R=</t>
  </si>
  <si>
    <t>Limite Inferior:</t>
  </si>
  <si>
    <t>Limite Superior</t>
  </si>
  <si>
    <t>Resultado</t>
  </si>
  <si>
    <t>Prueba de Uniformidad (Prueba de Chi cuadrada)</t>
  </si>
  <si>
    <t>m=</t>
  </si>
  <si>
    <t>Frecuencias</t>
  </si>
  <si>
    <t>Observada (Oi)</t>
  </si>
  <si>
    <t>Esperada(Ei)</t>
  </si>
  <si>
    <t>(Ei-Oi)2/Ei</t>
  </si>
  <si>
    <t>.00,.2499</t>
  </si>
  <si>
    <t>Los intervalos siguen con error:</t>
  </si>
  <si>
    <t>.25,.4999</t>
  </si>
  <si>
    <t>Primero: si tienen números de 4 dígitos decimales cada intervalo debe tener</t>
  </si>
  <si>
    <t>.50,.7499</t>
  </si>
  <si>
    <t>misma cantidad de decimales, por ejemplo para el primero sería 0,0000 a</t>
  </si>
  <si>
    <t>.75,.9999</t>
  </si>
  <si>
    <t>0,2499, ahí viene la segunda aclaración: para armar correctamente los intervalos el extremo superior tiene una unidad menos, por ejemplo:</t>
  </si>
  <si>
    <t>Control</t>
  </si>
  <si>
    <t>0,0000 - 2,4999</t>
  </si>
  <si>
    <t>0,2500 - 0,4999</t>
  </si>
  <si>
    <t>0,5000 - 0,7499</t>
  </si>
  <si>
    <t>0,7500 - 0,9999</t>
  </si>
  <si>
    <t xml:space="preserve">Como el valor 0,4 es menor que 11,3 entonces no se puede rechazar </t>
  </si>
  <si>
    <t>χ2 (α, n-1)</t>
  </si>
  <si>
    <t>No podemos rechazar</t>
  </si>
  <si>
    <t>Este valor está mal calculado: no es n-1, sino m-1</t>
  </si>
  <si>
    <t>Prueba de Kolmogorov-Smirnov</t>
  </si>
  <si>
    <t>ri</t>
  </si>
  <si>
    <t>ri ordenados</t>
  </si>
  <si>
    <t>D+</t>
  </si>
  <si>
    <t>D-</t>
  </si>
  <si>
    <t>Dmax</t>
  </si>
  <si>
    <t>3er Paso: búsqueda en tabla de valores críticos</t>
  </si>
  <si>
    <r>
      <t>𝐷𝛼,𝑛 = 𝐷</t>
    </r>
    <r>
      <rPr>
        <i/>
        <sz val="10"/>
        <rFont val="Arial"/>
        <family val="2"/>
      </rPr>
      <t>0.01,10</t>
    </r>
  </si>
  <si>
    <t xml:space="preserve">𝐷𝛼,𝑛= </t>
  </si>
  <si>
    <t>Dmax&lt;=𝐷𝛼,𝑛</t>
  </si>
  <si>
    <t>MAX</t>
  </si>
  <si>
    <t>Como D Max es inferior al valor hallado en la tabla de Kolgomorv Smirnov, los numeros no pueden ser rechazados</t>
  </si>
  <si>
    <t>Prueba de Independencia:Corridas arriba y abajo</t>
  </si>
  <si>
    <t>Aleatorios</t>
  </si>
  <si>
    <t>S</t>
  </si>
  <si>
    <t>C₀</t>
  </si>
  <si>
    <t>n</t>
  </si>
  <si>
    <t>μc₀</t>
  </si>
  <si>
    <t xml:space="preserve">𝜎𝐶𝑜2 
</t>
  </si>
  <si>
    <t>Zo</t>
  </si>
  <si>
    <t>Z𝛼/2</t>
  </si>
  <si>
    <t>Este valor se obtiene haciendo busqueda inversa en la tabla de distribucion normal</t>
  </si>
  <si>
    <t>Cuidado acá al calcular este valor, deben hacerlo como en las pruebas de medias más arriba, con 1-alfa/2, que daría 2,58 aprox.</t>
  </si>
  <si>
    <t>-𝑧𝛼/2 ≤ 𝑧0 ≤ 𝑧𝛼/2</t>
  </si>
  <si>
    <t xml:space="preserve">Al superar todas las pruebas, el conjunto de numeros puede ser usado para un estudio de simulacion. </t>
  </si>
  <si>
    <t>Prueba de Independencia:Corridas arriba y abajo de la media</t>
  </si>
  <si>
    <t>Paso1</t>
  </si>
  <si>
    <t>Paso2</t>
  </si>
  <si>
    <t>Paso 3</t>
  </si>
  <si>
    <t>Paso 4</t>
  </si>
  <si>
    <t>n₀</t>
  </si>
  <si>
    <t>n₁</t>
  </si>
  <si>
    <t>Ejercicio N° 7: Dado los siguientes 20 números del conjunto ri determine si cumplen las cuatro propiedades</t>
  </si>
  <si>
    <t>de los números pseudoaleatorios con un nivel de aceptación de 95% para cada una de las pruebas:</t>
  </si>
  <si>
    <t>c) Prueba de uniformidad:</t>
  </si>
  <si>
    <t>Nota: para operar con los valores de la tabla se deben tomar los números siguiendo el orden de</t>
  </si>
  <si>
    <t>izquierda a derecha y de arriba hacia abajo. Por ejemplo: el cuarto valor de la tabla es 0,6326 y</t>
  </si>
  <si>
    <t>después viene el valor 0,4421</t>
  </si>
  <si>
    <t>Valor PAleatorio</t>
  </si>
  <si>
    <t>n-1</t>
  </si>
  <si>
    <t>Prueba de medias</t>
  </si>
  <si>
    <t>No podemos Rechazar</t>
  </si>
  <si>
    <t xml:space="preserve">n = </t>
  </si>
  <si>
    <t>α/2=</t>
  </si>
  <si>
    <t>Recalcular m</t>
  </si>
  <si>
    <t>.00-.1999</t>
  </si>
  <si>
    <t>Reveer los intervalos.</t>
  </si>
  <si>
    <t>.20 - .3999</t>
  </si>
  <si>
    <t>.40, .5999</t>
  </si>
  <si>
    <t>.60, 7999</t>
  </si>
  <si>
    <t>.80,9999</t>
  </si>
  <si>
    <t>Mismo error que en el ejercicio 6</t>
  </si>
  <si>
    <r>
      <t>𝐷𝛼,𝑛 = 𝐷</t>
    </r>
    <r>
      <rPr>
        <i/>
        <sz val="10"/>
        <rFont val="Arial"/>
        <family val="2"/>
      </rPr>
      <t>0.05,20</t>
    </r>
  </si>
  <si>
    <t>Recalcular</t>
  </si>
  <si>
    <t>Como Zo esta entre -1,96 y 1,96, no se puede rechazar la secuencia de valores</t>
  </si>
  <si>
    <t>Como conclusión, habiendo pasado todas las pruebas</t>
  </si>
  <si>
    <t xml:space="preserve">podemos decir que el conjunto de numeros </t>
  </si>
  <si>
    <t>puede utilizarse para un estudio de simulación</t>
  </si>
  <si>
    <t>Ejercicio N° 8: Dado los siguientes 20 números del conjunto ri determine si cumplen las cuatro propiedades</t>
  </si>
  <si>
    <t>de los números pseudoaleatorios con un nivel de aceptación de 98,5% para cada una de las pruebas:</t>
  </si>
  <si>
    <t>• Prueba de Chi-Cuadrada</t>
  </si>
  <si>
    <t>0,4598 0,0125 0,8686 0,4007</t>
  </si>
  <si>
    <t>0,9405 0,6584 0,4009 0,2295</t>
  </si>
  <si>
    <t>0,7817 0,7633 0,0973 0,9907</t>
  </si>
  <si>
    <t>0,9539 0,3126 0,6451 0,3066</t>
  </si>
  <si>
    <t>• Prueba de Corridas arriba y debajo de la media</t>
  </si>
  <si>
    <t>0,3248 0,5978 0,0390 0,9329</t>
  </si>
  <si>
    <t>nivel de aceptacion=</t>
  </si>
  <si>
    <t xml:space="preserve">    Prueba de Uniformidad (Prueba de Chi cuadrada)</t>
  </si>
  <si>
    <t>Dado que la busqueda inversa en la tabla de Chi cuadrado da un valor superior al obtenido al realizar la prueba de uniformidad, concluimos que no podemos rechazar los resultados obtenidos en la prueba de uniformidad</t>
  </si>
  <si>
    <t>Lo mismo que en ejercicios anteriores</t>
  </si>
  <si>
    <r>
      <t>𝐷𝛼,𝑛 = 𝐷</t>
    </r>
    <r>
      <rPr>
        <i/>
        <sz val="10"/>
        <rFont val="Arial"/>
        <family val="2"/>
      </rPr>
      <t>0.015,20</t>
    </r>
  </si>
  <si>
    <t>Dado que el valor de Zo esta en el ragno de -Z𝛼/2 y Z𝛼/2, los valores no pueden ser rechazados</t>
  </si>
  <si>
    <t>Como el conjunto de numeros supera todas las pruebas, concluimos que estos pueden ser utilizados en un estudio de simulación</t>
  </si>
  <si>
    <t>Ejercicio N° 9: Considere los 40 números del conjunto ri que se presentan a continuación, y determine si</t>
  </si>
  <si>
    <t>cumple las siguientes pruebas con un nivel de aceptación de 95% para cada una de ellas:</t>
  </si>
  <si>
    <t>c) Prueba de uniformidad de Chi-Cuadrada.</t>
  </si>
  <si>
    <t>d) Prueba de Independencia de Corridas arriba y abajo</t>
  </si>
  <si>
    <t>Se rechaza</t>
  </si>
  <si>
    <t>Como consecuencia del resultado de la prueba de medias, se descarta el conjunto de números pseudoaleatorios.</t>
  </si>
  <si>
    <t>Considere los 30 números del conjunto ri que se presenta a continuación, y determine si</t>
  </si>
  <si>
    <t>d) Prueba de Independencia de Corridas arriba y abajo.</t>
  </si>
  <si>
    <t>Como el promedio de la muestra se encuentra dentro de los límites, no podemos rechazar los numeros</t>
  </si>
  <si>
    <t xml:space="preserve">Como la varianza de la muestra se encuentra dentro de los límites, no podemos rechazar los números. </t>
  </si>
  <si>
    <t>.00,.16999</t>
  </si>
  <si>
    <t>.17,.32999</t>
  </si>
  <si>
    <t>.33,.50999</t>
  </si>
  <si>
    <t>.51,.66999</t>
  </si>
  <si>
    <t>.67,83999</t>
  </si>
  <si>
    <t>.84,99999</t>
  </si>
  <si>
    <t>Como el valor obtenido de la prueba de uniformidad, 28,4 , es mayor al valor de la busqueda inversa en la tabla de chi cuadrado, el conjunto de valores no pasa la prueba de uniformidad y no puede ser usado en un estudio de simulacion</t>
  </si>
  <si>
    <t>Arreglar intervalos y cálculo del chi-cuadrado teórico</t>
  </si>
  <si>
    <t>Esta prueba ya no es necesaria hacerla, ya que en la anterior no pasa la prueba, deben borrarla.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</si>
</sst>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
    <numFmt numFmtId="165" formatCode="#,##0.000"/>
    <numFmt numFmtId="166" formatCode="#,##0.000000000"/>
    <numFmt numFmtId="167" formatCode="#,##0.000000"/>
    <numFmt numFmtId="168" formatCode="0.0000"/>
    <numFmt numFmtId="169" formatCode="#,##0.00000000"/>
    <numFmt numFmtId="170" formatCode="0.00000"/>
    <numFmt numFmtId="171" formatCode="#,##0.0"/>
    <numFmt numFmtId="172" formatCode="#,##0.00000"/>
  </numFmts>
  <fonts count="52">
    <font>
      <sz val="10"/>
      <color rgb="FF000000"/>
      <name val="Arial"/>
    </font>
    <font>
      <b/>
      <i/>
      <sz val="11"/>
      <color rgb="FF000000"/>
      <name val="Arial"/>
      <family val="2"/>
    </font>
    <font>
      <b/>
      <i/>
      <sz val="10"/>
      <color theme="1"/>
      <name val="Arial"/>
      <family val="2"/>
    </font>
    <font>
      <sz val="10"/>
      <color theme="1"/>
      <name val="Arial"/>
      <family val="2"/>
    </font>
    <font>
      <sz val="15"/>
      <color theme="1"/>
      <name val="Arial"/>
      <family val="2"/>
    </font>
    <font>
      <sz val="11"/>
      <color rgb="FF000000"/>
      <name val="Arial"/>
      <family val="2"/>
    </font>
    <font>
      <b/>
      <sz val="10"/>
      <color rgb="FF000000"/>
      <name val="ArialMT"/>
    </font>
    <font>
      <sz val="10"/>
      <color rgb="FF000000"/>
      <name val="Arial"/>
      <family val="2"/>
    </font>
    <font>
      <b/>
      <i/>
      <sz val="11"/>
      <color theme="1"/>
      <name val="Arial"/>
      <family val="2"/>
    </font>
    <font>
      <i/>
      <sz val="10"/>
      <color theme="1"/>
      <name val="Arial"/>
      <family val="2"/>
    </font>
    <font>
      <sz val="11"/>
      <color theme="1"/>
      <name val="Arial"/>
      <family val="2"/>
    </font>
    <font>
      <i/>
      <sz val="11"/>
      <color theme="1"/>
      <name val="Arial"/>
      <family val="2"/>
    </font>
    <font>
      <sz val="10"/>
      <color rgb="FFFF0000"/>
      <name val="Arial"/>
      <family val="2"/>
    </font>
    <font>
      <sz val="11"/>
      <color rgb="FFFF0000"/>
      <name val="Arial"/>
      <family val="2"/>
    </font>
    <font>
      <sz val="16"/>
      <color theme="1"/>
      <name val="Arial"/>
      <family val="2"/>
    </font>
    <font>
      <sz val="11"/>
      <color rgb="FF000000"/>
      <name val="Calibri"/>
      <family val="2"/>
    </font>
    <font>
      <b/>
      <sz val="11"/>
      <color rgb="FF000000"/>
      <name val="Calibri"/>
      <family val="2"/>
    </font>
    <font>
      <sz val="10"/>
      <name val="Arial"/>
      <family val="2"/>
    </font>
    <font>
      <sz val="10"/>
      <color rgb="FF000000"/>
      <name val="ArialMT"/>
    </font>
    <font>
      <i/>
      <sz val="10"/>
      <color rgb="FF000000"/>
      <name val="Arial-ItalicMT"/>
    </font>
    <font>
      <sz val="11"/>
      <color rgb="FF002060"/>
      <name val="Calibri"/>
      <family val="2"/>
    </font>
    <font>
      <sz val="10"/>
      <color rgb="FF000000"/>
      <name val="Arial-ItalicMT"/>
    </font>
    <font>
      <b/>
      <sz val="11"/>
      <color rgb="FF000000"/>
      <name val="Arial"/>
      <family val="2"/>
    </font>
    <font>
      <sz val="18"/>
      <color theme="1"/>
      <name val="Arial"/>
      <family val="2"/>
    </font>
    <font>
      <sz val="8"/>
      <color theme="1"/>
      <name val="Arial"/>
      <family val="2"/>
    </font>
    <font>
      <sz val="36"/>
      <color theme="1"/>
      <name val="Arial"/>
      <family val="2"/>
    </font>
    <font>
      <sz val="11"/>
      <color rgb="FF000000"/>
      <name val="Times New Roman"/>
      <family val="1"/>
    </font>
    <font>
      <u/>
      <sz val="14"/>
      <color theme="1"/>
      <name val="Arial"/>
      <family val="2"/>
    </font>
    <font>
      <sz val="12"/>
      <color rgb="FF000000"/>
      <name val="Times New Roman"/>
      <family val="1"/>
    </font>
    <font>
      <b/>
      <sz val="10"/>
      <color rgb="FF000000"/>
      <name val="Calibri"/>
      <family val="2"/>
    </font>
    <font>
      <b/>
      <sz val="16"/>
      <color rgb="FF000000"/>
      <name val="Calibri"/>
      <family val="2"/>
    </font>
    <font>
      <sz val="18"/>
      <color rgb="FF000000"/>
      <name val="Arial"/>
      <family val="2"/>
    </font>
    <font>
      <b/>
      <i/>
      <sz val="14"/>
      <color rgb="FF000000"/>
      <name val="Calibri"/>
      <family val="2"/>
    </font>
    <font>
      <b/>
      <sz val="11"/>
      <color rgb="FF4472C4"/>
      <name val="Calibri"/>
      <family val="2"/>
    </font>
    <font>
      <b/>
      <i/>
      <sz val="14"/>
      <color theme="1"/>
      <name val="Arial"/>
      <family val="2"/>
    </font>
    <font>
      <i/>
      <u/>
      <sz val="14"/>
      <color theme="1"/>
      <name val="Arial"/>
      <family val="2"/>
    </font>
    <font>
      <b/>
      <sz val="16"/>
      <color theme="1"/>
      <name val="Arial"/>
      <family val="2"/>
    </font>
    <font>
      <b/>
      <sz val="11"/>
      <color theme="1"/>
      <name val="Arial"/>
      <family val="2"/>
    </font>
    <font>
      <sz val="14"/>
      <color theme="1"/>
      <name val="Arial"/>
      <family val="2"/>
    </font>
    <font>
      <u/>
      <sz val="12"/>
      <color theme="1"/>
      <name val="Arial"/>
      <family val="2"/>
    </font>
    <font>
      <sz val="14"/>
      <color rgb="FF000000"/>
      <name val="Arial"/>
      <family val="2"/>
    </font>
    <font>
      <sz val="12"/>
      <color rgb="FFFF0000"/>
      <name val="Arial"/>
      <family val="2"/>
    </font>
    <font>
      <u/>
      <sz val="14"/>
      <name val="Arial"/>
      <family val="2"/>
    </font>
    <font>
      <b/>
      <i/>
      <sz val="14"/>
      <name val="Arial"/>
      <family val="2"/>
    </font>
    <font>
      <i/>
      <u/>
      <sz val="14"/>
      <name val="Arial"/>
      <family val="2"/>
    </font>
    <font>
      <i/>
      <sz val="10"/>
      <name val="Arial"/>
      <family val="2"/>
    </font>
    <font>
      <sz val="11"/>
      <color rgb="FFFF0000"/>
      <name val="Calibri"/>
      <family val="2"/>
    </font>
    <font>
      <b/>
      <sz val="14"/>
      <color rgb="FFFF0000"/>
      <name val="Arial"/>
      <family val="2"/>
    </font>
    <font>
      <b/>
      <sz val="10"/>
      <color rgb="FFFF0000"/>
      <name val="Arial"/>
      <family val="2"/>
    </font>
    <font>
      <sz val="10"/>
      <color rgb="FF7030A0"/>
      <name val="Arial"/>
      <family val="2"/>
    </font>
    <font>
      <sz val="11"/>
      <color rgb="FF7030A0"/>
      <name val="Calibri"/>
      <family val="2"/>
    </font>
    <font>
      <sz val="18"/>
      <color rgb="FF7030A0"/>
      <name val="Arial"/>
      <family val="2"/>
    </font>
  </fonts>
  <fills count="35">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D9D9D9"/>
        <bgColor rgb="FFD9D9D9"/>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E699"/>
        <bgColor rgb="FFFFE699"/>
      </patternFill>
    </fill>
    <fill>
      <patternFill patternType="solid">
        <fgColor rgb="FF92D050"/>
        <bgColor rgb="FF92D050"/>
      </patternFill>
    </fill>
    <fill>
      <patternFill patternType="solid">
        <fgColor rgb="FFFFC000"/>
        <bgColor rgb="FFFFC000"/>
      </patternFill>
    </fill>
    <fill>
      <patternFill patternType="solid">
        <fgColor rgb="FFE69138"/>
        <bgColor rgb="FFE69138"/>
      </patternFill>
    </fill>
    <fill>
      <patternFill patternType="solid">
        <fgColor rgb="FFEFEFEF"/>
        <bgColor rgb="FFEFEFEF"/>
      </patternFill>
    </fill>
    <fill>
      <patternFill patternType="solid">
        <fgColor theme="0"/>
        <bgColor theme="0"/>
      </patternFill>
    </fill>
    <fill>
      <patternFill patternType="solid">
        <fgColor rgb="FF729FCF"/>
        <bgColor rgb="FF729FCF"/>
      </patternFill>
    </fill>
    <fill>
      <patternFill patternType="solid">
        <fgColor rgb="FF81D41A"/>
        <bgColor rgb="FF81D41A"/>
      </patternFill>
    </fill>
    <fill>
      <patternFill patternType="solid">
        <fgColor rgb="FFFFFFFF"/>
        <bgColor rgb="FFFFFFFF"/>
      </patternFill>
    </fill>
    <fill>
      <patternFill patternType="solid">
        <fgColor rgb="FFF1C232"/>
        <bgColor rgb="FFF1C232"/>
      </patternFill>
    </fill>
    <fill>
      <patternFill patternType="solid">
        <fgColor theme="6"/>
        <bgColor theme="6"/>
      </patternFill>
    </fill>
    <fill>
      <patternFill patternType="solid">
        <fgColor rgb="FFF6B26B"/>
        <bgColor rgb="FFF6B26B"/>
      </patternFill>
    </fill>
    <fill>
      <patternFill patternType="solid">
        <fgColor rgb="FFC9DAF8"/>
        <bgColor rgb="FFC9DAF8"/>
      </patternFill>
    </fill>
    <fill>
      <patternFill patternType="solid">
        <fgColor rgb="FF00FF00"/>
        <bgColor rgb="FF00FF00"/>
      </patternFill>
    </fill>
    <fill>
      <patternFill patternType="solid">
        <fgColor rgb="FFB7E1CD"/>
        <bgColor rgb="FFB7E1CD"/>
      </patternFill>
    </fill>
    <fill>
      <patternFill patternType="solid">
        <fgColor rgb="FFFF0000"/>
        <bgColor indexed="64"/>
      </patternFill>
    </fill>
    <fill>
      <patternFill patternType="solid">
        <fgColor rgb="FF92D050"/>
        <bgColor indexed="64"/>
      </patternFill>
    </fill>
    <fill>
      <patternFill patternType="solid">
        <fgColor rgb="FFFFFFFF"/>
        <bgColor indexed="64"/>
      </patternFill>
    </fill>
    <fill>
      <patternFill patternType="solid">
        <fgColor rgb="FFFFC000"/>
        <bgColor indexed="64"/>
      </patternFill>
    </fill>
    <fill>
      <patternFill patternType="solid">
        <fgColor rgb="FF7030A0"/>
        <bgColor rgb="FFFFFF00"/>
      </patternFill>
    </fill>
    <fill>
      <patternFill patternType="solid">
        <fgColor rgb="FF7030A0"/>
        <bgColor indexed="64"/>
      </patternFill>
    </fill>
    <fill>
      <patternFill patternType="solid">
        <fgColor rgb="FF7030A0"/>
        <bgColor rgb="FFC6E0B4"/>
      </patternFill>
    </fill>
    <fill>
      <patternFill patternType="solid">
        <fgColor rgb="FFA9D08E"/>
        <bgColor indexed="64"/>
      </patternFill>
    </fill>
    <fill>
      <patternFill patternType="solid">
        <fgColor rgb="FF8EA9DB"/>
        <bgColor indexed="64"/>
      </patternFill>
    </fill>
    <fill>
      <patternFill patternType="solid">
        <fgColor rgb="FFB4C6E7"/>
        <bgColor indexed="64"/>
      </patternFill>
    </fill>
    <fill>
      <patternFill patternType="solid">
        <fgColor rgb="FF5B9BD5"/>
        <bgColor indexed="64"/>
      </patternFill>
    </fill>
    <fill>
      <patternFill patternType="solid">
        <fgColor rgb="FF9BC2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2">
    <xf numFmtId="0" fontId="0" fillId="0" borderId="0" xfId="0" applyFont="1" applyAlignment="1"/>
    <xf numFmtId="0" fontId="2" fillId="0" borderId="0" xfId="0" applyFont="1"/>
    <xf numFmtId="0" fontId="1" fillId="0" borderId="0" xfId="0" applyFont="1"/>
    <xf numFmtId="0" fontId="3" fillId="2" borderId="1" xfId="0" applyFont="1" applyFill="1" applyBorder="1" applyAlignment="1">
      <alignment horizontal="right"/>
    </xf>
    <xf numFmtId="0" fontId="3" fillId="3" borderId="1" xfId="0" applyFont="1" applyFill="1" applyBorder="1" applyAlignment="1">
      <alignment horizontal="right"/>
    </xf>
    <xf numFmtId="0" fontId="4" fillId="0" borderId="0" xfId="0" applyFont="1" applyAlignment="1"/>
    <xf numFmtId="0" fontId="5" fillId="0" borderId="0" xfId="0" applyFont="1"/>
    <xf numFmtId="0" fontId="3" fillId="4" borderId="1" xfId="0" applyFont="1" applyFill="1" applyBorder="1" applyAlignment="1">
      <alignment horizontal="right"/>
    </xf>
    <xf numFmtId="0" fontId="5" fillId="0" borderId="1" xfId="0" applyFont="1" applyBorder="1" applyAlignment="1">
      <alignment horizontal="right"/>
    </xf>
    <xf numFmtId="0" fontId="6" fillId="0" borderId="0" xfId="0" applyFont="1" applyAlignment="1"/>
    <xf numFmtId="0" fontId="7" fillId="0" borderId="1" xfId="0" applyFont="1" applyBorder="1" applyAlignment="1">
      <alignment horizontal="right"/>
    </xf>
    <xf numFmtId="0" fontId="1" fillId="0" borderId="0" xfId="0" applyFont="1" applyAlignment="1"/>
    <xf numFmtId="0" fontId="8" fillId="0" borderId="0" xfId="0" applyFont="1"/>
    <xf numFmtId="0" fontId="9" fillId="0" borderId="0" xfId="0" applyFont="1"/>
    <xf numFmtId="0" fontId="10" fillId="0" borderId="0" xfId="0" applyFont="1"/>
    <xf numFmtId="0" fontId="11" fillId="0" borderId="0" xfId="0" applyFont="1"/>
    <xf numFmtId="0" fontId="3" fillId="0" borderId="0" xfId="0" applyFont="1"/>
    <xf numFmtId="0" fontId="8" fillId="0" borderId="0" xfId="0" applyFont="1" applyAlignment="1"/>
    <xf numFmtId="0" fontId="3" fillId="5" borderId="1" xfId="0" applyFont="1" applyFill="1" applyBorder="1" applyAlignment="1"/>
    <xf numFmtId="0" fontId="3" fillId="6" borderId="1" xfId="0" applyFont="1" applyFill="1" applyBorder="1" applyAlignment="1"/>
    <xf numFmtId="0" fontId="3" fillId="6" borderId="1" xfId="0" applyFont="1" applyFill="1" applyBorder="1"/>
    <xf numFmtId="0" fontId="3" fillId="0" borderId="2" xfId="0" applyFont="1" applyBorder="1" applyAlignment="1">
      <alignment horizontal="right"/>
    </xf>
    <xf numFmtId="0" fontId="10" fillId="0" borderId="1" xfId="0" applyFont="1" applyBorder="1"/>
    <xf numFmtId="0" fontId="3" fillId="0" borderId="1" xfId="0" applyFont="1" applyBorder="1"/>
    <xf numFmtId="0" fontId="13" fillId="0" borderId="0" xfId="0" applyFont="1"/>
    <xf numFmtId="0" fontId="14" fillId="0" borderId="0" xfId="0" applyFont="1" applyAlignment="1"/>
    <xf numFmtId="0" fontId="15" fillId="0" borderId="0" xfId="0" applyFont="1" applyAlignment="1">
      <alignment horizontal="right"/>
    </xf>
    <xf numFmtId="0" fontId="3" fillId="7" borderId="1" xfId="0" applyFont="1" applyFill="1" applyBorder="1" applyAlignment="1"/>
    <xf numFmtId="164" fontId="3" fillId="0" borderId="1" xfId="0" applyNumberFormat="1" applyFont="1" applyBorder="1" applyAlignment="1"/>
    <xf numFmtId="0" fontId="18" fillId="0" borderId="0" xfId="0" applyFont="1" applyAlignment="1"/>
    <xf numFmtId="0" fontId="5" fillId="0" borderId="6" xfId="0" applyFont="1" applyBorder="1" applyAlignment="1">
      <alignment horizontal="right"/>
    </xf>
    <xf numFmtId="0" fontId="19" fillId="0" borderId="0" xfId="0" applyFont="1" applyAlignment="1"/>
    <xf numFmtId="165" fontId="5" fillId="0" borderId="6" xfId="0" applyNumberFormat="1" applyFont="1" applyBorder="1" applyAlignment="1">
      <alignment horizontal="right"/>
    </xf>
    <xf numFmtId="166" fontId="15" fillId="0" borderId="6" xfId="0" applyNumberFormat="1" applyFont="1" applyBorder="1" applyAlignment="1">
      <alignment horizontal="right"/>
    </xf>
    <xf numFmtId="166" fontId="20" fillId="9" borderId="6" xfId="0" applyNumberFormat="1" applyFont="1" applyFill="1" applyBorder="1" applyAlignment="1">
      <alignment horizontal="right"/>
    </xf>
    <xf numFmtId="0" fontId="21" fillId="0" borderId="0" xfId="0" applyFont="1" applyAlignment="1"/>
    <xf numFmtId="0" fontId="3" fillId="11" borderId="1" xfId="0" applyFont="1" applyFill="1" applyBorder="1" applyAlignment="1"/>
    <xf numFmtId="167" fontId="16" fillId="10" borderId="6" xfId="0" applyNumberFormat="1" applyFont="1" applyFill="1" applyBorder="1" applyAlignment="1">
      <alignment horizontal="right"/>
    </xf>
    <xf numFmtId="168" fontId="3" fillId="0" borderId="1" xfId="0" applyNumberFormat="1" applyFont="1" applyBorder="1" applyAlignment="1"/>
    <xf numFmtId="166" fontId="15" fillId="9" borderId="6" xfId="0" applyNumberFormat="1" applyFont="1" applyFill="1" applyBorder="1" applyAlignment="1">
      <alignment horizontal="right"/>
    </xf>
    <xf numFmtId="164" fontId="3" fillId="12" borderId="1" xfId="0" applyNumberFormat="1" applyFont="1" applyFill="1" applyBorder="1" applyAlignment="1"/>
    <xf numFmtId="0" fontId="3" fillId="13" borderId="1" xfId="0" applyFont="1" applyFill="1" applyBorder="1"/>
    <xf numFmtId="0" fontId="23" fillId="0" borderId="0" xfId="0" applyFont="1" applyAlignment="1"/>
    <xf numFmtId="0" fontId="25" fillId="0" borderId="0" xfId="0" applyFont="1" applyAlignment="1"/>
    <xf numFmtId="0" fontId="26" fillId="0" borderId="1" xfId="0" applyFont="1" applyBorder="1" applyAlignment="1">
      <alignment horizontal="right"/>
    </xf>
    <xf numFmtId="0" fontId="27" fillId="0" borderId="0" xfId="0" applyFont="1" applyAlignment="1"/>
    <xf numFmtId="0" fontId="28" fillId="0" borderId="1" xfId="0" applyFont="1" applyBorder="1" applyAlignment="1">
      <alignment horizontal="right"/>
    </xf>
    <xf numFmtId="0" fontId="24" fillId="14" borderId="1" xfId="0" applyFont="1" applyFill="1" applyBorder="1" applyAlignment="1">
      <alignment horizontal="right"/>
    </xf>
    <xf numFmtId="0" fontId="24" fillId="15" borderId="1" xfId="0" applyFont="1" applyFill="1" applyBorder="1" applyAlignment="1">
      <alignment horizontal="left"/>
    </xf>
    <xf numFmtId="3" fontId="3" fillId="0" borderId="0" xfId="0" applyNumberFormat="1" applyFont="1" applyAlignment="1"/>
    <xf numFmtId="3" fontId="7" fillId="16" borderId="0" xfId="0" applyNumberFormat="1" applyFont="1" applyFill="1" applyAlignment="1">
      <alignment horizontal="left"/>
    </xf>
    <xf numFmtId="169" fontId="20" fillId="16" borderId="6" xfId="0" applyNumberFormat="1" applyFont="1" applyFill="1" applyBorder="1" applyAlignment="1">
      <alignment horizontal="right"/>
    </xf>
    <xf numFmtId="0" fontId="3" fillId="9" borderId="1" xfId="0" applyFont="1" applyFill="1" applyBorder="1"/>
    <xf numFmtId="0" fontId="3" fillId="18" borderId="0" xfId="0" applyFont="1" applyFill="1"/>
    <xf numFmtId="0" fontId="24" fillId="0" borderId="1" xfId="0" applyFont="1" applyBorder="1" applyAlignment="1">
      <alignment horizontal="left"/>
    </xf>
    <xf numFmtId="0" fontId="15" fillId="0" borderId="0" xfId="0" applyFont="1" applyAlignment="1">
      <alignment horizontal="left"/>
    </xf>
    <xf numFmtId="0" fontId="15" fillId="0" borderId="0" xfId="0" applyFont="1" applyAlignment="1"/>
    <xf numFmtId="0" fontId="30" fillId="0" borderId="0" xfId="0" applyFont="1" applyAlignment="1"/>
    <xf numFmtId="0" fontId="3" fillId="17" borderId="1" xfId="0" applyFont="1" applyFill="1" applyBorder="1" applyAlignment="1">
      <alignment horizontal="right"/>
    </xf>
    <xf numFmtId="0" fontId="3" fillId="19" borderId="1" xfId="0" applyFont="1" applyFill="1" applyBorder="1" applyAlignment="1">
      <alignment horizontal="right"/>
    </xf>
    <xf numFmtId="165" fontId="5" fillId="0" borderId="0" xfId="0" applyNumberFormat="1" applyFont="1" applyAlignment="1">
      <alignment horizontal="left"/>
    </xf>
    <xf numFmtId="0" fontId="5" fillId="0" borderId="0" xfId="0" applyFont="1" applyAlignment="1"/>
    <xf numFmtId="168" fontId="3" fillId="0" borderId="1" xfId="0" applyNumberFormat="1" applyFont="1" applyBorder="1" applyAlignment="1">
      <alignment horizontal="right"/>
    </xf>
    <xf numFmtId="0" fontId="34" fillId="0" borderId="0" xfId="0" applyFont="1" applyAlignment="1"/>
    <xf numFmtId="0" fontId="35" fillId="0" borderId="0" xfId="0" applyFont="1"/>
    <xf numFmtId="0" fontId="3" fillId="20" borderId="1" xfId="0" applyFont="1" applyFill="1" applyBorder="1" applyAlignment="1"/>
    <xf numFmtId="0" fontId="3" fillId="20" borderId="1" xfId="0" applyFont="1" applyFill="1" applyBorder="1"/>
    <xf numFmtId="0" fontId="36" fillId="0" borderId="8" xfId="0" applyFont="1" applyBorder="1" applyAlignment="1"/>
    <xf numFmtId="0" fontId="3" fillId="0" borderId="8" xfId="0" applyFont="1" applyBorder="1" applyAlignment="1"/>
    <xf numFmtId="0" fontId="3" fillId="21" borderId="1" xfId="0" applyFont="1" applyFill="1" applyBorder="1" applyAlignment="1"/>
    <xf numFmtId="164" fontId="3" fillId="0" borderId="1" xfId="0" applyNumberFormat="1" applyFont="1" applyBorder="1" applyAlignment="1">
      <alignment horizontal="right"/>
    </xf>
    <xf numFmtId="0" fontId="3" fillId="0" borderId="1" xfId="0" applyFont="1" applyBorder="1" applyAlignment="1">
      <alignment horizontal="right"/>
    </xf>
    <xf numFmtId="0" fontId="7" fillId="21" borderId="1" xfId="0" applyFont="1" applyFill="1" applyBorder="1" applyAlignment="1">
      <alignment horizontal="center"/>
    </xf>
    <xf numFmtId="0" fontId="3" fillId="0" borderId="1" xfId="0" applyFont="1" applyBorder="1" applyAlignment="1">
      <alignment horizontal="center"/>
    </xf>
    <xf numFmtId="0" fontId="3" fillId="21" borderId="1" xfId="0" applyFont="1" applyFill="1" applyBorder="1" applyAlignment="1">
      <alignment horizontal="center"/>
    </xf>
    <xf numFmtId="2" fontId="3" fillId="0" borderId="1" xfId="0" applyNumberFormat="1" applyFont="1" applyBorder="1" applyAlignment="1">
      <alignment horizontal="center"/>
    </xf>
    <xf numFmtId="0" fontId="37" fillId="21" borderId="1" xfId="0" applyFont="1" applyFill="1" applyBorder="1" applyAlignment="1">
      <alignment horizontal="center"/>
    </xf>
    <xf numFmtId="0" fontId="3" fillId="0" borderId="1" xfId="0" applyFont="1" applyBorder="1" applyAlignment="1"/>
    <xf numFmtId="0" fontId="38" fillId="21" borderId="1" xfId="0" applyFont="1" applyFill="1" applyBorder="1" applyAlignment="1">
      <alignment horizontal="center"/>
    </xf>
    <xf numFmtId="0" fontId="3" fillId="0" borderId="0" xfId="0" applyFont="1" applyAlignment="1"/>
    <xf numFmtId="2" fontId="3" fillId="0" borderId="0" xfId="0" applyNumberFormat="1" applyFont="1" applyAlignment="1"/>
    <xf numFmtId="0" fontId="39" fillId="0" borderId="0" xfId="0" applyFont="1"/>
    <xf numFmtId="2" fontId="3" fillId="0" borderId="1" xfId="0" applyNumberFormat="1" applyFont="1" applyBorder="1" applyAlignment="1"/>
    <xf numFmtId="0" fontId="36" fillId="0" borderId="0" xfId="0" applyFont="1" applyAlignment="1"/>
    <xf numFmtId="0" fontId="10" fillId="0" borderId="0" xfId="0" applyFont="1" applyAlignment="1"/>
    <xf numFmtId="164" fontId="3" fillId="22" borderId="1" xfId="0" applyNumberFormat="1" applyFont="1" applyFill="1" applyBorder="1" applyAlignment="1">
      <alignment horizontal="right"/>
    </xf>
    <xf numFmtId="0" fontId="10" fillId="21" borderId="1" xfId="0" applyFont="1" applyFill="1" applyBorder="1" applyAlignment="1"/>
    <xf numFmtId="0" fontId="10" fillId="21" borderId="1" xfId="0" applyFont="1" applyFill="1" applyBorder="1" applyAlignment="1">
      <alignment horizontal="center"/>
    </xf>
    <xf numFmtId="3" fontId="10" fillId="0" borderId="1" xfId="0" applyNumberFormat="1" applyFont="1" applyBorder="1"/>
    <xf numFmtId="0" fontId="10" fillId="0" borderId="1" xfId="0" applyFont="1" applyBorder="1" applyAlignment="1"/>
    <xf numFmtId="164" fontId="10" fillId="0" borderId="1" xfId="0" applyNumberFormat="1" applyFont="1" applyBorder="1" applyAlignment="1"/>
    <xf numFmtId="0" fontId="41" fillId="0" borderId="0" xfId="0" applyFont="1"/>
    <xf numFmtId="0" fontId="40" fillId="0" borderId="0" xfId="0" applyFont="1" applyAlignment="1"/>
    <xf numFmtId="164" fontId="10" fillId="12" borderId="1" xfId="0" applyNumberFormat="1" applyFont="1" applyFill="1" applyBorder="1" applyAlignment="1"/>
    <xf numFmtId="170" fontId="3" fillId="0" borderId="1" xfId="0" applyNumberFormat="1" applyFont="1" applyBorder="1" applyAlignment="1"/>
    <xf numFmtId="0" fontId="42" fillId="0" borderId="0" xfId="0" applyFont="1" applyAlignment="1"/>
    <xf numFmtId="0" fontId="17" fillId="0" borderId="3" xfId="0" applyFont="1" applyBorder="1" applyAlignment="1"/>
    <xf numFmtId="170" fontId="17" fillId="0" borderId="3" xfId="0" applyNumberFormat="1" applyFont="1" applyBorder="1" applyAlignment="1"/>
    <xf numFmtId="165" fontId="5" fillId="0" borderId="0" xfId="0" applyNumberFormat="1" applyFont="1" applyAlignment="1">
      <alignment horizontal="right"/>
    </xf>
    <xf numFmtId="169" fontId="20" fillId="0" borderId="0" xfId="0" applyNumberFormat="1" applyFont="1" applyAlignment="1">
      <alignment horizontal="right"/>
    </xf>
    <xf numFmtId="166" fontId="15" fillId="0" borderId="0" xfId="0" applyNumberFormat="1" applyFont="1" applyAlignment="1">
      <alignment horizontal="right"/>
    </xf>
    <xf numFmtId="0" fontId="5" fillId="0" borderId="0" xfId="0" applyFont="1" applyAlignment="1">
      <alignment horizontal="center"/>
    </xf>
    <xf numFmtId="0" fontId="15" fillId="0" borderId="0" xfId="0" applyFont="1" applyAlignment="1">
      <alignment horizontal="center"/>
    </xf>
    <xf numFmtId="2" fontId="5" fillId="0" borderId="0" xfId="0" applyNumberFormat="1" applyFont="1" applyAlignment="1">
      <alignment horizontal="center"/>
    </xf>
    <xf numFmtId="0" fontId="17" fillId="0" borderId="0" xfId="0" applyFont="1" applyAlignment="1">
      <alignment horizontal="center"/>
    </xf>
    <xf numFmtId="0" fontId="32" fillId="0" borderId="0" xfId="0" applyFont="1" applyAlignment="1">
      <alignment horizontal="right"/>
    </xf>
    <xf numFmtId="0" fontId="31" fillId="0" borderId="0" xfId="0" applyFont="1" applyAlignment="1">
      <alignment horizontal="right"/>
    </xf>
    <xf numFmtId="171" fontId="16" fillId="0" borderId="0" xfId="0" applyNumberFormat="1" applyFont="1" applyAlignment="1">
      <alignment horizontal="right"/>
    </xf>
    <xf numFmtId="168" fontId="17" fillId="0" borderId="0" xfId="0" applyNumberFormat="1" applyFont="1" applyAlignment="1"/>
    <xf numFmtId="0" fontId="17" fillId="0" borderId="0" xfId="0" applyFont="1" applyAlignment="1"/>
    <xf numFmtId="0" fontId="17" fillId="0" borderId="0" xfId="0" applyFont="1" applyAlignment="1">
      <alignment horizontal="right"/>
    </xf>
    <xf numFmtId="0" fontId="43" fillId="0" borderId="0" xfId="0" applyFont="1" applyAlignment="1"/>
    <xf numFmtId="0" fontId="44" fillId="0" borderId="0" xfId="0" applyFont="1"/>
    <xf numFmtId="0" fontId="0" fillId="0" borderId="0" xfId="0" applyFont="1" applyAlignment="1"/>
    <xf numFmtId="0" fontId="12" fillId="0" borderId="0" xfId="0" applyFont="1" applyAlignment="1"/>
    <xf numFmtId="0" fontId="10" fillId="23" borderId="1" xfId="0" applyFont="1" applyFill="1" applyBorder="1"/>
    <xf numFmtId="0" fontId="46" fillId="0" borderId="0" xfId="0" applyFont="1" applyAlignment="1"/>
    <xf numFmtId="0" fontId="12" fillId="0" borderId="0" xfId="0" applyFont="1" applyAlignment="1">
      <alignment horizontal="right"/>
    </xf>
    <xf numFmtId="0" fontId="10" fillId="23" borderId="1" xfId="0" applyFont="1" applyFill="1" applyBorder="1" applyAlignment="1"/>
    <xf numFmtId="0" fontId="37" fillId="21" borderId="1" xfId="0" applyFont="1" applyFill="1" applyBorder="1" applyAlignment="1">
      <alignment horizontal="center" wrapText="1"/>
    </xf>
    <xf numFmtId="0" fontId="3" fillId="0" borderId="1" xfId="0" applyFont="1" applyFill="1" applyBorder="1" applyAlignment="1">
      <alignment horizontal="right"/>
    </xf>
    <xf numFmtId="0" fontId="7" fillId="0" borderId="0" xfId="0" applyFont="1" applyAlignment="1"/>
    <xf numFmtId="0" fontId="7" fillId="0" borderId="2" xfId="0" applyFont="1" applyBorder="1" applyAlignment="1">
      <alignment horizontal="right"/>
    </xf>
    <xf numFmtId="0" fontId="3" fillId="3" borderId="2" xfId="0" applyFont="1" applyFill="1" applyBorder="1" applyAlignment="1">
      <alignment horizontal="right"/>
    </xf>
    <xf numFmtId="0" fontId="3" fillId="0" borderId="9" xfId="0" applyFont="1" applyBorder="1" applyAlignment="1">
      <alignment horizontal="right"/>
    </xf>
    <xf numFmtId="0" fontId="7" fillId="0" borderId="9" xfId="0" applyFont="1" applyBorder="1" applyAlignment="1">
      <alignment horizontal="right"/>
    </xf>
    <xf numFmtId="0" fontId="3" fillId="3" borderId="9" xfId="0" applyFont="1" applyFill="1" applyBorder="1" applyAlignment="1">
      <alignment horizontal="right"/>
    </xf>
    <xf numFmtId="0" fontId="3" fillId="0" borderId="1" xfId="0" applyFont="1" applyFill="1" applyBorder="1" applyAlignment="1"/>
    <xf numFmtId="0" fontId="10" fillId="0" borderId="1" xfId="0" applyFont="1" applyFill="1" applyBorder="1"/>
    <xf numFmtId="0" fontId="3" fillId="0" borderId="1" xfId="0" applyFont="1" applyFill="1" applyBorder="1"/>
    <xf numFmtId="0" fontId="3" fillId="0" borderId="2" xfId="0" applyFont="1" applyBorder="1" applyAlignment="1"/>
    <xf numFmtId="0" fontId="12" fillId="0" borderId="8" xfId="0" applyFont="1" applyBorder="1"/>
    <xf numFmtId="0" fontId="13" fillId="0" borderId="8" xfId="0" applyFont="1" applyBorder="1"/>
    <xf numFmtId="0" fontId="12" fillId="0" borderId="9" xfId="0" applyFont="1" applyBorder="1"/>
    <xf numFmtId="0" fontId="3" fillId="0" borderId="9" xfId="0" applyFont="1" applyBorder="1" applyAlignment="1"/>
    <xf numFmtId="0" fontId="13" fillId="0" borderId="9" xfId="0" applyFont="1" applyBorder="1"/>
    <xf numFmtId="0" fontId="3" fillId="0" borderId="2" xfId="0" applyFont="1" applyBorder="1"/>
    <xf numFmtId="0" fontId="10" fillId="0" borderId="2" xfId="0" applyFont="1" applyBorder="1"/>
    <xf numFmtId="0" fontId="3" fillId="0" borderId="9" xfId="0" applyFont="1" applyBorder="1"/>
    <xf numFmtId="0" fontId="10" fillId="0" borderId="9" xfId="0" applyFont="1" applyBorder="1"/>
    <xf numFmtId="0" fontId="3" fillId="0" borderId="5" xfId="0" applyFont="1" applyBorder="1"/>
    <xf numFmtId="0" fontId="12" fillId="0" borderId="9" xfId="0" applyFont="1" applyBorder="1" applyAlignment="1"/>
    <xf numFmtId="0" fontId="12" fillId="0" borderId="5" xfId="0" applyFont="1" applyBorder="1"/>
    <xf numFmtId="0" fontId="17" fillId="0" borderId="8" xfId="0" applyFont="1" applyFill="1" applyBorder="1" applyAlignment="1"/>
    <xf numFmtId="0" fontId="5" fillId="0" borderId="6" xfId="0" applyFont="1" applyFill="1" applyBorder="1" applyAlignment="1">
      <alignment horizontal="right"/>
    </xf>
    <xf numFmtId="165" fontId="5" fillId="0" borderId="6" xfId="0" applyNumberFormat="1" applyFont="1" applyFill="1" applyBorder="1" applyAlignment="1">
      <alignment horizontal="right"/>
    </xf>
    <xf numFmtId="166" fontId="15" fillId="0" borderId="6" xfId="0" applyNumberFormat="1" applyFont="1" applyFill="1" applyBorder="1" applyAlignment="1">
      <alignment horizontal="right"/>
    </xf>
    <xf numFmtId="166" fontId="20" fillId="0" borderId="6" xfId="0" applyNumberFormat="1" applyFont="1" applyFill="1" applyBorder="1" applyAlignment="1">
      <alignment horizontal="right"/>
    </xf>
    <xf numFmtId="0" fontId="24" fillId="0" borderId="1" xfId="0" applyFont="1" applyFill="1" applyBorder="1" applyAlignment="1">
      <alignment horizontal="right"/>
    </xf>
    <xf numFmtId="0" fontId="47" fillId="0" borderId="0" xfId="0" applyFont="1" applyAlignment="1"/>
    <xf numFmtId="0" fontId="15" fillId="0" borderId="0" xfId="0" applyFont="1" applyFill="1" applyAlignment="1">
      <alignment horizontal="right"/>
    </xf>
    <xf numFmtId="0" fontId="15" fillId="0" borderId="0" xfId="0" applyFont="1" applyFill="1" applyAlignment="1">
      <alignment horizontal="left"/>
    </xf>
    <xf numFmtId="0" fontId="15" fillId="0" borderId="0" xfId="0" applyFont="1" applyFill="1" applyAlignment="1"/>
    <xf numFmtId="0" fontId="15" fillId="0" borderId="1" xfId="0" applyFont="1" applyFill="1" applyBorder="1" applyAlignment="1"/>
    <xf numFmtId="0" fontId="15" fillId="0" borderId="5" xfId="0" applyFont="1" applyFill="1" applyBorder="1" applyAlignment="1"/>
    <xf numFmtId="0" fontId="5" fillId="0" borderId="7" xfId="0" applyFont="1" applyFill="1" applyBorder="1" applyAlignment="1">
      <alignment horizontal="center"/>
    </xf>
    <xf numFmtId="0" fontId="15" fillId="0" borderId="1" xfId="0" applyFont="1" applyFill="1" applyBorder="1" applyAlignment="1">
      <alignment horizontal="center"/>
    </xf>
    <xf numFmtId="2" fontId="5" fillId="0" borderId="6" xfId="0" applyNumberFormat="1" applyFont="1" applyFill="1" applyBorder="1" applyAlignment="1">
      <alignment horizontal="center"/>
    </xf>
    <xf numFmtId="0" fontId="15" fillId="0" borderId="6" xfId="0" applyFont="1" applyFill="1" applyBorder="1" applyAlignment="1">
      <alignment horizontal="right"/>
    </xf>
    <xf numFmtId="0" fontId="15" fillId="0" borderId="7" xfId="0" applyFont="1" applyFill="1" applyBorder="1" applyAlignment="1">
      <alignment horizontal="center"/>
    </xf>
    <xf numFmtId="0" fontId="15" fillId="0" borderId="7" xfId="0" applyFont="1" applyFill="1" applyBorder="1" applyAlignment="1">
      <alignment horizontal="right"/>
    </xf>
    <xf numFmtId="0" fontId="15" fillId="0" borderId="6" xfId="0" applyFont="1" applyFill="1" applyBorder="1" applyAlignment="1">
      <alignment horizontal="center"/>
    </xf>
    <xf numFmtId="2" fontId="15" fillId="0" borderId="6" xfId="0" applyNumberFormat="1" applyFont="1" applyFill="1" applyBorder="1" applyAlignment="1">
      <alignment horizontal="center"/>
    </xf>
    <xf numFmtId="0" fontId="32" fillId="0" borderId="6" xfId="0" applyFont="1" applyFill="1" applyBorder="1" applyAlignment="1">
      <alignment horizontal="right"/>
    </xf>
    <xf numFmtId="4" fontId="5" fillId="0" borderId="0" xfId="0" applyNumberFormat="1" applyFont="1" applyFill="1" applyAlignment="1">
      <alignment horizontal="left"/>
    </xf>
    <xf numFmtId="0" fontId="0" fillId="0" borderId="0" xfId="0" applyFont="1" applyAlignment="1"/>
    <xf numFmtId="0" fontId="47" fillId="0" borderId="1" xfId="0" applyFont="1" applyFill="1" applyBorder="1" applyAlignment="1">
      <alignment horizontal="left"/>
    </xf>
    <xf numFmtId="0" fontId="48" fillId="0" borderId="0" xfId="0" applyFont="1" applyAlignment="1"/>
    <xf numFmtId="1" fontId="5" fillId="0" borderId="6" xfId="0" applyNumberFormat="1" applyFont="1" applyFill="1" applyBorder="1" applyAlignment="1">
      <alignment horizontal="center"/>
    </xf>
    <xf numFmtId="1" fontId="15" fillId="0" borderId="6" xfId="0" applyNumberFormat="1" applyFont="1" applyFill="1" applyBorder="1" applyAlignment="1">
      <alignment horizontal="center"/>
    </xf>
    <xf numFmtId="0" fontId="0" fillId="0" borderId="0" xfId="0" applyFont="1" applyFill="1" applyAlignment="1"/>
    <xf numFmtId="0" fontId="12" fillId="0" borderId="0" xfId="0" applyFont="1" applyFill="1" applyAlignment="1"/>
    <xf numFmtId="1" fontId="15" fillId="0" borderId="0" xfId="0" applyNumberFormat="1" applyFont="1" applyFill="1" applyAlignment="1">
      <alignment horizontal="left"/>
    </xf>
    <xf numFmtId="0" fontId="15" fillId="24" borderId="0" xfId="0" applyFont="1" applyFill="1" applyAlignment="1"/>
    <xf numFmtId="170" fontId="3" fillId="0" borderId="1" xfId="0" applyNumberFormat="1" applyFont="1" applyFill="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8"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165" fontId="5" fillId="0" borderId="0" xfId="0" applyNumberFormat="1" applyFont="1" applyFill="1" applyAlignment="1">
      <alignment horizontal="left"/>
    </xf>
    <xf numFmtId="0" fontId="15" fillId="0" borderId="8" xfId="0" applyFont="1" applyFill="1" applyBorder="1" applyAlignment="1">
      <alignment horizontal="right"/>
    </xf>
    <xf numFmtId="0" fontId="32" fillId="0" borderId="8" xfId="0" applyFont="1" applyFill="1" applyBorder="1" applyAlignment="1">
      <alignment horizontal="right"/>
    </xf>
    <xf numFmtId="172" fontId="5" fillId="0" borderId="6" xfId="0" applyNumberFormat="1" applyFont="1" applyBorder="1" applyAlignment="1">
      <alignment horizontal="right"/>
    </xf>
    <xf numFmtId="0" fontId="3" fillId="0" borderId="9" xfId="0" applyFont="1" applyFill="1" applyBorder="1" applyAlignment="1"/>
    <xf numFmtId="170" fontId="3" fillId="0" borderId="9" xfId="0" applyNumberFormat="1" applyFont="1" applyFill="1" applyBorder="1" applyAlignment="1"/>
    <xf numFmtId="2" fontId="5" fillId="0" borderId="1" xfId="0" applyNumberFormat="1" applyFont="1" applyFill="1" applyBorder="1" applyAlignment="1">
      <alignment horizontal="center"/>
    </xf>
    <xf numFmtId="0" fontId="15" fillId="0" borderId="1" xfId="0" applyFont="1" applyFill="1" applyBorder="1" applyAlignment="1">
      <alignment horizontal="right"/>
    </xf>
    <xf numFmtId="2" fontId="15" fillId="0" borderId="1" xfId="0" applyNumberFormat="1" applyFont="1" applyFill="1" applyBorder="1" applyAlignment="1">
      <alignment horizontal="center"/>
    </xf>
    <xf numFmtId="0" fontId="32" fillId="0" borderId="1" xfId="0" applyFont="1" applyFill="1" applyBorder="1" applyAlignment="1">
      <alignment horizontal="right"/>
    </xf>
    <xf numFmtId="0" fontId="3" fillId="25" borderId="1" xfId="0" applyFont="1" applyFill="1" applyBorder="1" applyAlignment="1">
      <alignment horizontal="center"/>
    </xf>
    <xf numFmtId="0" fontId="3" fillId="0" borderId="8" xfId="0" applyFont="1" applyBorder="1" applyAlignment="1">
      <alignment horizontal="right"/>
    </xf>
    <xf numFmtId="0" fontId="3" fillId="26" borderId="1" xfId="0" applyFont="1" applyFill="1" applyBorder="1" applyAlignment="1">
      <alignment horizontal="right"/>
    </xf>
    <xf numFmtId="168" fontId="3" fillId="25" borderId="1" xfId="0" applyNumberFormat="1" applyFont="1" applyFill="1" applyBorder="1" applyAlignment="1"/>
    <xf numFmtId="2" fontId="3" fillId="25" borderId="1" xfId="0" applyNumberFormat="1" applyFont="1" applyFill="1" applyBorder="1" applyAlignment="1"/>
    <xf numFmtId="0" fontId="3" fillId="25" borderId="1" xfId="0" applyFont="1" applyFill="1" applyBorder="1" applyAlignment="1">
      <alignment horizontal="right"/>
    </xf>
    <xf numFmtId="0" fontId="3" fillId="25" borderId="1" xfId="0" applyFont="1" applyFill="1" applyBorder="1" applyAlignment="1"/>
    <xf numFmtId="0" fontId="27" fillId="0" borderId="0" xfId="0" applyFont="1" applyFill="1" applyAlignment="1"/>
    <xf numFmtId="0" fontId="3" fillId="27" borderId="1" xfId="0" applyFont="1" applyFill="1" applyBorder="1" applyAlignment="1">
      <alignment horizontal="right"/>
    </xf>
    <xf numFmtId="0" fontId="49" fillId="0" borderId="0" xfId="0" applyFont="1" applyAlignment="1"/>
    <xf numFmtId="0" fontId="50" fillId="0" borderId="0" xfId="0" applyFont="1" applyAlignment="1"/>
    <xf numFmtId="0" fontId="51" fillId="0" borderId="0" xfId="0" applyFont="1" applyAlignment="1">
      <alignment horizontal="right"/>
    </xf>
    <xf numFmtId="0" fontId="31" fillId="28" borderId="1" xfId="0" applyFont="1" applyFill="1" applyBorder="1" applyAlignment="1">
      <alignment horizontal="right"/>
    </xf>
    <xf numFmtId="171" fontId="16" fillId="28" borderId="5" xfId="0" applyNumberFormat="1" applyFont="1" applyFill="1" applyBorder="1" applyAlignment="1">
      <alignment horizontal="right"/>
    </xf>
    <xf numFmtId="2" fontId="3" fillId="28" borderId="0" xfId="0" applyNumberFormat="1" applyFont="1" applyFill="1" applyAlignment="1"/>
    <xf numFmtId="2" fontId="3" fillId="28" borderId="1" xfId="0" applyNumberFormat="1" applyFont="1" applyFill="1" applyBorder="1" applyAlignment="1"/>
    <xf numFmtId="0" fontId="5" fillId="28" borderId="7" xfId="0" applyFont="1" applyFill="1" applyBorder="1" applyAlignment="1">
      <alignment horizontal="center"/>
    </xf>
    <xf numFmtId="0" fontId="31" fillId="29" borderId="1" xfId="0" applyFont="1" applyFill="1" applyBorder="1" applyAlignment="1">
      <alignment horizontal="right"/>
    </xf>
    <xf numFmtId="171" fontId="16" fillId="29" borderId="5" xfId="0" applyNumberFormat="1" applyFont="1" applyFill="1" applyBorder="1" applyAlignment="1">
      <alignment horizontal="right"/>
    </xf>
    <xf numFmtId="0" fontId="5" fillId="28" borderId="1" xfId="0" applyFont="1" applyFill="1" applyBorder="1" applyAlignment="1">
      <alignment horizontal="center"/>
    </xf>
    <xf numFmtId="0" fontId="3" fillId="28" borderId="1" xfId="0" applyFont="1" applyFill="1" applyBorder="1" applyAlignment="1">
      <alignment horizontal="center"/>
    </xf>
    <xf numFmtId="0" fontId="36" fillId="28" borderId="0" xfId="0" applyFont="1" applyFill="1" applyAlignment="1"/>
    <xf numFmtId="0" fontId="3" fillId="28" borderId="0" xfId="0" applyFont="1" applyFill="1" applyAlignment="1"/>
    <xf numFmtId="0" fontId="0" fillId="28" borderId="0" xfId="0" applyFont="1" applyFill="1" applyAlignment="1"/>
    <xf numFmtId="0" fontId="0" fillId="0" borderId="0" xfId="0" applyFont="1" applyAlignment="1"/>
    <xf numFmtId="0" fontId="3" fillId="0" borderId="0" xfId="0" applyFont="1" applyAlignment="1">
      <alignment horizontal="right"/>
    </xf>
    <xf numFmtId="0" fontId="5" fillId="0" borderId="0" xfId="0" applyFont="1" applyAlignment="1">
      <alignment horizontal="right"/>
    </xf>
    <xf numFmtId="0" fontId="3" fillId="30" borderId="1" xfId="0" applyFont="1" applyFill="1" applyBorder="1" applyAlignment="1">
      <alignment horizontal="right"/>
    </xf>
    <xf numFmtId="0" fontId="0" fillId="31" borderId="0" xfId="0" applyFont="1" applyFill="1" applyAlignment="1"/>
    <xf numFmtId="0" fontId="15" fillId="31" borderId="0" xfId="0" applyFont="1" applyFill="1" applyAlignment="1"/>
    <xf numFmtId="0" fontId="12" fillId="0" borderId="8" xfId="0" applyFont="1" applyBorder="1" applyAlignment="1"/>
    <xf numFmtId="0" fontId="49" fillId="0" borderId="8" xfId="0" applyFont="1" applyBorder="1" applyAlignment="1"/>
    <xf numFmtId="0" fontId="3" fillId="32" borderId="8" xfId="0" applyFont="1" applyFill="1" applyBorder="1" applyAlignment="1"/>
    <xf numFmtId="0" fontId="16" fillId="10" borderId="3" xfId="0" applyFont="1" applyFill="1" applyBorder="1" applyAlignment="1">
      <alignment horizontal="right"/>
    </xf>
    <xf numFmtId="0" fontId="17" fillId="0" borderId="5" xfId="0" applyFont="1" applyBorder="1" applyAlignment="1"/>
    <xf numFmtId="0" fontId="15" fillId="9" borderId="3" xfId="0" applyFont="1" applyFill="1" applyBorder="1" applyAlignment="1">
      <alignment horizontal="right"/>
    </xf>
    <xf numFmtId="0" fontId="16" fillId="8" borderId="3" xfId="0" applyFont="1" applyFill="1" applyBorder="1" applyAlignment="1">
      <alignment horizontal="center"/>
    </xf>
    <xf numFmtId="0" fontId="17" fillId="0" borderId="4" xfId="0" applyFont="1" applyBorder="1" applyAlignment="1"/>
    <xf numFmtId="0" fontId="5" fillId="0" borderId="3" xfId="0" applyFont="1" applyBorder="1" applyAlignment="1">
      <alignment horizontal="right"/>
    </xf>
    <xf numFmtId="0" fontId="15" fillId="0" borderId="3" xfId="0" applyFont="1" applyBorder="1" applyAlignment="1">
      <alignment horizontal="right"/>
    </xf>
    <xf numFmtId="0" fontId="20" fillId="9" borderId="3" xfId="0" applyFont="1" applyFill="1" applyBorder="1" applyAlignment="1">
      <alignment horizontal="right"/>
    </xf>
    <xf numFmtId="0" fontId="22" fillId="8" borderId="3" xfId="0" applyFont="1" applyFill="1" applyBorder="1" applyAlignment="1">
      <alignment horizontal="center"/>
    </xf>
    <xf numFmtId="0" fontId="30" fillId="0" borderId="0" xfId="0" applyFont="1" applyAlignment="1">
      <alignment horizontal="center"/>
    </xf>
    <xf numFmtId="0" fontId="0" fillId="0" borderId="0" xfId="0" applyFont="1" applyAlignment="1"/>
    <xf numFmtId="0" fontId="33" fillId="0" borderId="0" xfId="0" applyFont="1" applyAlignment="1"/>
    <xf numFmtId="0" fontId="16" fillId="8" borderId="3" xfId="0" applyFont="1" applyFill="1" applyBorder="1" applyAlignment="1">
      <alignment horizontal="center" vertical="center"/>
    </xf>
    <xf numFmtId="0" fontId="20" fillId="16" borderId="3" xfId="0" applyFont="1" applyFill="1" applyBorder="1" applyAlignment="1">
      <alignment horizontal="right"/>
    </xf>
    <xf numFmtId="0" fontId="28" fillId="16" borderId="3" xfId="0" applyFont="1" applyFill="1" applyBorder="1" applyAlignment="1">
      <alignment horizontal="right"/>
    </xf>
    <xf numFmtId="0" fontId="3" fillId="9" borderId="3" xfId="0" applyFont="1" applyFill="1" applyBorder="1" applyAlignment="1">
      <alignment horizontal="right"/>
    </xf>
    <xf numFmtId="0" fontId="29" fillId="17" borderId="3" xfId="0" applyFont="1" applyFill="1" applyBorder="1" applyAlignment="1">
      <alignment horizontal="right"/>
    </xf>
    <xf numFmtId="0" fontId="5" fillId="0" borderId="0" xfId="0" applyFont="1" applyAlignment="1">
      <alignment horizontal="right"/>
    </xf>
    <xf numFmtId="0" fontId="3" fillId="0" borderId="0" xfId="0" applyFont="1" applyAlignment="1">
      <alignment horizontal="right"/>
    </xf>
    <xf numFmtId="0" fontId="16" fillId="0" borderId="0" xfId="0" applyFont="1" applyAlignment="1">
      <alignment horizontal="center" vertical="center"/>
    </xf>
    <xf numFmtId="0" fontId="20" fillId="0" borderId="0" xfId="0" applyFont="1" applyAlignment="1">
      <alignment horizontal="right"/>
    </xf>
    <xf numFmtId="0" fontId="28" fillId="0" borderId="0" xfId="0" applyFont="1" applyAlignment="1">
      <alignment horizontal="right"/>
    </xf>
    <xf numFmtId="0" fontId="29" fillId="0" borderId="0" xfId="0" applyFont="1" applyAlignment="1">
      <alignment horizontal="right"/>
    </xf>
    <xf numFmtId="0" fontId="0" fillId="33" borderId="0" xfId="0" applyFont="1" applyFill="1" applyAlignment="1"/>
    <xf numFmtId="0" fontId="0" fillId="34"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942975</xdr:colOff>
      <xdr:row>4</xdr:row>
      <xdr:rowOff>47625</xdr:rowOff>
    </xdr:from>
    <xdr:ext cx="3438525" cy="438150"/>
    <xdr:pic>
      <xdr:nvPicPr>
        <xdr:cNvPr id="2" name="image2.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10</xdr:col>
      <xdr:colOff>358429</xdr:colOff>
      <xdr:row>6</xdr:row>
      <xdr:rowOff>7655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934200" y="792480"/>
          <a:ext cx="3330229" cy="403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352425</xdr:colOff>
      <xdr:row>63</xdr:row>
      <xdr:rowOff>28575</xdr:rowOff>
    </xdr:from>
    <xdr:ext cx="1647825" cy="83820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66</xdr:row>
      <xdr:rowOff>171450</xdr:rowOff>
    </xdr:from>
    <xdr:ext cx="1800225" cy="1171575"/>
    <xdr:pic>
      <xdr:nvPicPr>
        <xdr:cNvPr id="3" name="image3.png" title="Image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666750</xdr:colOff>
      <xdr:row>81</xdr:row>
      <xdr:rowOff>171450</xdr:rowOff>
    </xdr:from>
    <xdr:ext cx="2495550" cy="1800225"/>
    <xdr:pic>
      <xdr:nvPicPr>
        <xdr:cNvPr id="4" name="image4.png" title="Imagen">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352425</xdr:colOff>
      <xdr:row>84</xdr:row>
      <xdr:rowOff>171450</xdr:rowOff>
    </xdr:from>
    <xdr:ext cx="1800225" cy="1171575"/>
    <xdr:pic>
      <xdr:nvPicPr>
        <xdr:cNvPr id="2" name="image3.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85</xdr:row>
      <xdr:rowOff>28575</xdr:rowOff>
    </xdr:from>
    <xdr:ext cx="1647825" cy="838200"/>
    <xdr:pic>
      <xdr:nvPicPr>
        <xdr:cNvPr id="3" name="image1.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352425</xdr:colOff>
      <xdr:row>87</xdr:row>
      <xdr:rowOff>171450</xdr:rowOff>
    </xdr:from>
    <xdr:ext cx="1800225" cy="1171575"/>
    <xdr:pic>
      <xdr:nvPicPr>
        <xdr:cNvPr id="4" name="image3.png" title="Imagen">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6"/>
  <sheetViews>
    <sheetView workbookViewId="0"/>
  </sheetViews>
  <sheetFormatPr defaultColWidth="14.42578125" defaultRowHeight="15.75" customHeight="1"/>
  <sheetData>
    <row r="1" spans="1:1" ht="15.75" customHeight="1">
      <c r="A1" s="5" t="s">
        <v>0</v>
      </c>
    </row>
    <row r="2" spans="1:1" ht="12.75">
      <c r="A2" s="79" t="s">
        <v>1</v>
      </c>
    </row>
    <row r="3" spans="1:1" ht="12.75">
      <c r="A3" s="79" t="s">
        <v>2</v>
      </c>
    </row>
    <row r="4" spans="1:1" ht="12.75">
      <c r="A4" s="79" t="s">
        <v>3</v>
      </c>
    </row>
    <row r="5" spans="1:1" ht="12.75">
      <c r="A5" s="79" t="s">
        <v>4</v>
      </c>
    </row>
    <row r="6" spans="1:1" ht="12.75">
      <c r="A6" s="79"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75"/>
  <sheetViews>
    <sheetView topLeftCell="B11" workbookViewId="0">
      <selection activeCell="F25" sqref="F25"/>
    </sheetView>
  </sheetViews>
  <sheetFormatPr defaultColWidth="14.42578125" defaultRowHeight="15.75" customHeight="1"/>
  <sheetData>
    <row r="1" spans="1:8" ht="12.75">
      <c r="A1" s="29" t="s">
        <v>174</v>
      </c>
      <c r="B1" s="218"/>
      <c r="C1" s="218"/>
      <c r="D1" s="218"/>
      <c r="E1" s="218"/>
      <c r="F1" s="218"/>
      <c r="G1" s="218"/>
      <c r="H1" s="218"/>
    </row>
    <row r="2" spans="1:8" ht="12.75">
      <c r="A2" s="29" t="s">
        <v>175</v>
      </c>
      <c r="B2" s="218"/>
      <c r="C2" s="218"/>
      <c r="D2" s="218"/>
      <c r="E2" s="218"/>
      <c r="F2" s="218"/>
      <c r="G2" s="218"/>
      <c r="H2" s="218"/>
    </row>
    <row r="3" spans="1:8" ht="12.75">
      <c r="A3" s="29" t="s">
        <v>49</v>
      </c>
      <c r="B3" s="218"/>
      <c r="C3" s="218"/>
      <c r="D3" s="218"/>
      <c r="E3" s="218"/>
      <c r="F3" s="218"/>
      <c r="G3" s="218"/>
      <c r="H3" s="218"/>
    </row>
    <row r="4" spans="1:8" ht="12.75">
      <c r="A4" s="29" t="s">
        <v>50</v>
      </c>
      <c r="B4" s="218"/>
      <c r="C4" s="218"/>
      <c r="D4" s="218"/>
      <c r="E4" s="218"/>
      <c r="F4" s="218"/>
      <c r="G4" s="218"/>
      <c r="H4" s="218"/>
    </row>
    <row r="5" spans="1:8" ht="12.75">
      <c r="A5" s="29" t="s">
        <v>176</v>
      </c>
      <c r="B5" s="218"/>
      <c r="C5" s="218"/>
      <c r="D5" s="218"/>
      <c r="E5" s="218"/>
      <c r="F5" s="218"/>
      <c r="G5" s="218"/>
      <c r="H5" s="218"/>
    </row>
    <row r="6" spans="1:8" ht="12.75">
      <c r="A6" s="29" t="s">
        <v>177</v>
      </c>
      <c r="B6" s="218"/>
      <c r="C6" s="218"/>
      <c r="D6" s="218"/>
      <c r="E6" s="218"/>
      <c r="F6" s="218"/>
      <c r="G6" s="218"/>
      <c r="H6" s="218"/>
    </row>
    <row r="7" spans="1:8" ht="12.75">
      <c r="A7" s="36" t="s">
        <v>60</v>
      </c>
      <c r="B7" s="36" t="s">
        <v>138</v>
      </c>
      <c r="C7" s="218"/>
      <c r="D7" s="218"/>
      <c r="E7" s="218"/>
      <c r="F7" s="218"/>
      <c r="G7" s="218"/>
      <c r="H7" s="218"/>
    </row>
    <row r="8" spans="1:8" ht="12.75">
      <c r="A8" s="77">
        <v>0</v>
      </c>
      <c r="B8" s="77">
        <v>5.28E-3</v>
      </c>
      <c r="C8" s="218"/>
      <c r="D8" s="218"/>
      <c r="E8" s="218"/>
      <c r="F8" s="218"/>
      <c r="G8" s="218"/>
      <c r="H8" s="218"/>
    </row>
    <row r="9" spans="1:8" ht="12.75">
      <c r="A9" s="77">
        <v>1</v>
      </c>
      <c r="B9" s="77">
        <v>0.13331000000000001</v>
      </c>
      <c r="C9" s="218"/>
      <c r="D9" s="218"/>
      <c r="E9" s="218"/>
      <c r="F9" s="218"/>
      <c r="G9" s="218"/>
      <c r="H9" s="218"/>
    </row>
    <row r="10" spans="1:8" ht="12.75">
      <c r="A10" s="77">
        <v>2</v>
      </c>
      <c r="B10" s="94">
        <v>0.10970000000000001</v>
      </c>
      <c r="C10" s="218"/>
      <c r="D10" s="218"/>
      <c r="E10" s="218"/>
      <c r="F10" s="218"/>
      <c r="G10" s="218"/>
      <c r="H10" s="218"/>
    </row>
    <row r="11" spans="1:8" ht="12.75">
      <c r="A11" s="77">
        <v>3</v>
      </c>
      <c r="B11" s="94">
        <v>5.1000000000000004E-3</v>
      </c>
      <c r="C11" s="218"/>
      <c r="D11" s="218"/>
      <c r="E11" s="218"/>
      <c r="F11" s="79" t="s">
        <v>167</v>
      </c>
      <c r="G11" s="218"/>
      <c r="H11" s="79">
        <v>0.95</v>
      </c>
    </row>
    <row r="12" spans="1:8" ht="12.75">
      <c r="A12" s="77">
        <v>4</v>
      </c>
      <c r="B12" s="77">
        <v>0.19581999999999999</v>
      </c>
      <c r="C12" s="218"/>
      <c r="D12" s="218"/>
      <c r="E12" s="218"/>
      <c r="F12" s="218"/>
      <c r="G12" s="218"/>
      <c r="H12" s="218"/>
    </row>
    <row r="13" spans="1:8" ht="15.75" customHeight="1">
      <c r="A13" s="77">
        <v>5</v>
      </c>
      <c r="B13" s="77">
        <v>0.20996999999999999</v>
      </c>
      <c r="C13" s="218"/>
      <c r="D13" s="218"/>
      <c r="E13" s="218"/>
      <c r="F13" s="25" t="s">
        <v>56</v>
      </c>
      <c r="G13" s="218"/>
      <c r="H13" s="218"/>
    </row>
    <row r="14" spans="1:8" ht="12.75">
      <c r="A14" s="77">
        <v>6</v>
      </c>
      <c r="B14" s="77">
        <v>0.13331000000000001</v>
      </c>
      <c r="C14" s="218"/>
      <c r="D14" s="218"/>
      <c r="E14" s="218"/>
      <c r="F14" s="218"/>
      <c r="G14" s="218"/>
      <c r="H14" s="218"/>
    </row>
    <row r="15" spans="1:8" ht="12.75">
      <c r="A15" s="77">
        <v>7</v>
      </c>
      <c r="B15" s="77">
        <v>6.6909999999999997E-2</v>
      </c>
      <c r="C15" s="218"/>
      <c r="D15" s="218"/>
      <c r="E15" s="218"/>
      <c r="F15" s="218"/>
      <c r="G15" s="219" t="s">
        <v>58</v>
      </c>
      <c r="H15" s="79">
        <v>40</v>
      </c>
    </row>
    <row r="16" spans="1:8" ht="15">
      <c r="A16" s="77">
        <v>8</v>
      </c>
      <c r="B16" s="94">
        <v>3.0800000000000001E-2</v>
      </c>
      <c r="C16" s="218"/>
      <c r="D16" s="218"/>
      <c r="E16" s="218"/>
      <c r="F16" s="239" t="s">
        <v>140</v>
      </c>
      <c r="G16" s="231"/>
      <c r="H16" s="228"/>
    </row>
    <row r="17" spans="1:9" ht="14.25">
      <c r="A17" s="77">
        <v>9</v>
      </c>
      <c r="B17" s="77">
        <v>5.5890000000000002E-2</v>
      </c>
      <c r="C17" s="218"/>
      <c r="D17" s="218"/>
      <c r="E17" s="218"/>
      <c r="F17" s="232" t="s">
        <v>62</v>
      </c>
      <c r="G17" s="228"/>
      <c r="H17" s="30">
        <f>1-H11</f>
        <v>5.0000000000000044E-2</v>
      </c>
      <c r="I17" s="218"/>
    </row>
    <row r="18" spans="1:9" ht="14.25">
      <c r="A18" s="77">
        <v>10</v>
      </c>
      <c r="B18" s="77">
        <v>0.11458</v>
      </c>
      <c r="C18" s="218"/>
      <c r="D18" s="218"/>
      <c r="E18" s="218"/>
      <c r="F18" s="232" t="s">
        <v>63</v>
      </c>
      <c r="G18" s="228"/>
      <c r="H18" s="32">
        <f>1-H17/2</f>
        <v>0.97499999999999998</v>
      </c>
      <c r="I18" s="218"/>
    </row>
    <row r="19" spans="1:9" ht="15.75" customHeight="1">
      <c r="A19" s="77">
        <v>11</v>
      </c>
      <c r="B19" s="77">
        <v>2.461E-2</v>
      </c>
      <c r="C19" s="218"/>
      <c r="D19" s="218"/>
      <c r="E19" s="218"/>
      <c r="F19" s="233" t="s">
        <v>64</v>
      </c>
      <c r="G19" s="228"/>
      <c r="H19" s="33">
        <f>NORMSINV(H18)</f>
        <v>1.9599639845400536</v>
      </c>
      <c r="I19" s="218"/>
    </row>
    <row r="20" spans="1:9" ht="15.75" customHeight="1">
      <c r="A20" s="77">
        <v>12</v>
      </c>
      <c r="B20" s="77">
        <v>0.17168</v>
      </c>
      <c r="C20" s="218"/>
      <c r="D20" s="218"/>
      <c r="E20" s="218"/>
      <c r="F20" s="234" t="s">
        <v>65</v>
      </c>
      <c r="G20" s="228"/>
      <c r="H20" s="34">
        <f>(1/2)-H19*(1/(SQRT(12*H15)))</f>
        <v>0.41054029281414217</v>
      </c>
      <c r="I20" s="218"/>
    </row>
    <row r="21" spans="1:9" ht="15.75" customHeight="1">
      <c r="A21" s="77">
        <v>13</v>
      </c>
      <c r="B21" s="77">
        <v>0.17186999999999999</v>
      </c>
      <c r="C21" s="218"/>
      <c r="D21" s="218"/>
      <c r="E21" s="218"/>
      <c r="F21" s="227" t="s">
        <v>66</v>
      </c>
      <c r="G21" s="228"/>
      <c r="H21" s="37">
        <f>AVERAGE(B8:B47)</f>
        <v>0.14564375000000002</v>
      </c>
      <c r="I21" s="218"/>
    </row>
    <row r="22" spans="1:9" ht="15.75" customHeight="1">
      <c r="A22" s="77">
        <v>14</v>
      </c>
      <c r="B22" s="94">
        <v>0.10970000000000001</v>
      </c>
      <c r="C22" s="218"/>
      <c r="D22" s="218"/>
      <c r="E22" s="218"/>
      <c r="F22" s="229" t="s">
        <v>67</v>
      </c>
      <c r="G22" s="228"/>
      <c r="H22" s="39">
        <f>(1/2)+H19*(1/(SQRT(12*H15)))</f>
        <v>0.58945970718585783</v>
      </c>
      <c r="I22" s="79">
        <v>49</v>
      </c>
    </row>
    <row r="23" spans="1:9" ht="15.75" customHeight="1">
      <c r="A23" s="77">
        <v>15</v>
      </c>
      <c r="B23" s="77">
        <v>2.461E-2</v>
      </c>
      <c r="C23" s="218"/>
      <c r="D23" s="218"/>
      <c r="E23" s="218"/>
      <c r="F23" s="218"/>
      <c r="G23" s="95" t="s">
        <v>178</v>
      </c>
      <c r="H23" s="218"/>
      <c r="I23" s="218"/>
    </row>
    <row r="24" spans="1:9" ht="12.75">
      <c r="A24" s="77">
        <v>16</v>
      </c>
      <c r="B24" s="77">
        <v>0.23483000000000001</v>
      </c>
      <c r="C24" s="218"/>
      <c r="D24" s="218"/>
      <c r="E24" s="218"/>
      <c r="F24" s="218"/>
      <c r="G24" s="114"/>
      <c r="H24" s="218"/>
      <c r="I24" s="218"/>
    </row>
    <row r="25" spans="1:9" ht="15">
      <c r="A25" s="77">
        <v>17</v>
      </c>
      <c r="B25" s="77">
        <v>0.19139</v>
      </c>
      <c r="C25" s="218"/>
      <c r="D25" s="218"/>
      <c r="E25" s="218"/>
      <c r="F25" s="173" t="s">
        <v>15</v>
      </c>
      <c r="G25" s="218"/>
      <c r="H25" s="218"/>
      <c r="I25" s="218"/>
    </row>
    <row r="26" spans="1:9" ht="12.75">
      <c r="A26" s="77">
        <v>18</v>
      </c>
      <c r="B26" s="77">
        <v>8.3119999999999999E-2</v>
      </c>
      <c r="C26" s="218"/>
      <c r="D26" s="218"/>
      <c r="E26" s="218"/>
      <c r="F26" s="218" t="s">
        <v>179</v>
      </c>
      <c r="G26" s="218"/>
      <c r="H26" s="218"/>
      <c r="I26" s="218"/>
    </row>
    <row r="27" spans="1:9" ht="12.75">
      <c r="A27" s="77">
        <v>19</v>
      </c>
      <c r="B27" s="96">
        <v>5.398E-2</v>
      </c>
      <c r="C27" s="218"/>
      <c r="D27" s="218"/>
      <c r="E27" s="218"/>
      <c r="F27" s="218"/>
      <c r="G27" s="218"/>
      <c r="H27" s="218"/>
      <c r="I27" s="218"/>
    </row>
    <row r="28" spans="1:9" ht="20.25">
      <c r="A28" s="77">
        <v>20</v>
      </c>
      <c r="B28" s="96">
        <v>0.46994000000000002</v>
      </c>
      <c r="C28" s="218"/>
      <c r="D28" s="218"/>
      <c r="E28" s="218"/>
      <c r="F28" s="218"/>
      <c r="G28" s="25"/>
      <c r="H28" s="218"/>
      <c r="I28" s="218"/>
    </row>
    <row r="29" spans="1:9" ht="12.75">
      <c r="A29" s="77">
        <v>21</v>
      </c>
      <c r="B29" s="97">
        <v>7.6700000000000004E-2</v>
      </c>
      <c r="C29" s="218"/>
      <c r="D29" s="218"/>
      <c r="E29" s="218"/>
      <c r="F29" s="218"/>
      <c r="G29" s="218"/>
      <c r="H29" s="218"/>
      <c r="I29" s="218"/>
    </row>
    <row r="30" spans="1:9" ht="15">
      <c r="A30" s="77">
        <v>22</v>
      </c>
      <c r="B30" s="96">
        <v>0.11458</v>
      </c>
      <c r="C30" s="218"/>
      <c r="D30" s="218"/>
      <c r="E30" s="218"/>
      <c r="F30" s="218"/>
      <c r="G30" s="246"/>
      <c r="H30" s="237"/>
      <c r="I30" s="237"/>
    </row>
    <row r="31" spans="1:9" ht="14.25">
      <c r="A31" s="77">
        <v>23</v>
      </c>
      <c r="B31" s="96">
        <v>6.4089999999999994E-2</v>
      </c>
      <c r="C31" s="218"/>
      <c r="D31" s="218"/>
      <c r="E31" s="218"/>
      <c r="F31" s="218"/>
      <c r="G31" s="244"/>
      <c r="H31" s="237"/>
      <c r="I31" s="220"/>
    </row>
    <row r="32" spans="1:9" ht="14.25">
      <c r="A32" s="77">
        <v>24</v>
      </c>
      <c r="B32" s="96">
        <v>0.49762000000000001</v>
      </c>
      <c r="C32" s="218"/>
      <c r="D32" s="218"/>
      <c r="E32" s="218"/>
      <c r="F32" s="218"/>
      <c r="G32" s="244"/>
      <c r="H32" s="237"/>
      <c r="I32" s="220"/>
    </row>
    <row r="33" spans="1:10" ht="14.25">
      <c r="A33" s="77">
        <v>25</v>
      </c>
      <c r="B33" s="96">
        <v>6.7000000000000002E-4</v>
      </c>
      <c r="C33" s="218"/>
      <c r="D33" s="218"/>
      <c r="E33" s="218"/>
      <c r="F33" s="218"/>
      <c r="G33" s="244"/>
      <c r="H33" s="237"/>
      <c r="I33" s="98"/>
      <c r="J33" s="218"/>
    </row>
    <row r="34" spans="1:10" ht="15">
      <c r="A34" s="77">
        <v>26</v>
      </c>
      <c r="B34" s="96">
        <v>3.5319999999999997E-2</v>
      </c>
      <c r="C34" s="218"/>
      <c r="D34" s="218"/>
      <c r="E34" s="218"/>
      <c r="F34" s="218"/>
      <c r="G34" s="247"/>
      <c r="H34" s="237"/>
      <c r="I34" s="99"/>
      <c r="J34" s="218"/>
    </row>
    <row r="35" spans="1:10">
      <c r="A35" s="77">
        <v>27</v>
      </c>
      <c r="B35" s="96">
        <v>0.31562000000000001</v>
      </c>
      <c r="C35" s="218"/>
      <c r="D35" s="218"/>
      <c r="E35" s="218"/>
      <c r="F35" s="218"/>
      <c r="G35" s="248"/>
      <c r="H35" s="237"/>
      <c r="I35" s="100"/>
      <c r="J35" s="218"/>
    </row>
    <row r="36" spans="1:10" ht="12.75">
      <c r="A36" s="77">
        <v>28</v>
      </c>
      <c r="B36" s="97">
        <v>4.7899999999999998E-2</v>
      </c>
      <c r="C36" s="218"/>
      <c r="D36" s="218"/>
      <c r="E36" s="218"/>
      <c r="F36" s="218"/>
      <c r="G36" s="245"/>
      <c r="H36" s="237"/>
      <c r="I36" s="218"/>
      <c r="J36" s="218"/>
    </row>
    <row r="37" spans="1:10" ht="12.75">
      <c r="A37" s="77">
        <v>29</v>
      </c>
      <c r="B37" s="96">
        <v>0.49762000000000001</v>
      </c>
      <c r="C37" s="218"/>
      <c r="D37" s="218"/>
      <c r="E37" s="218"/>
      <c r="F37" s="218"/>
      <c r="G37" s="249"/>
      <c r="H37" s="237"/>
      <c r="I37" s="218"/>
      <c r="J37" s="218"/>
    </row>
    <row r="38" spans="1:10" ht="12.75">
      <c r="A38" s="77">
        <v>30</v>
      </c>
      <c r="B38" s="96">
        <v>6.7000000000000002E-4</v>
      </c>
      <c r="C38" s="218"/>
      <c r="D38" s="218"/>
      <c r="E38" s="218"/>
      <c r="F38" s="218"/>
      <c r="G38" s="245"/>
      <c r="H38" s="237"/>
      <c r="I38" s="218"/>
      <c r="J38" s="218"/>
    </row>
    <row r="39" spans="1:10" ht="18">
      <c r="A39" s="77">
        <v>31</v>
      </c>
      <c r="B39" s="96">
        <v>0.31562000000000001</v>
      </c>
      <c r="C39" s="218"/>
      <c r="D39" s="218"/>
      <c r="E39" s="218"/>
      <c r="F39" s="218"/>
      <c r="G39" s="218"/>
      <c r="H39" s="45"/>
      <c r="I39" s="218"/>
      <c r="J39" s="218"/>
    </row>
    <row r="40" spans="1:10" ht="12.75">
      <c r="A40" s="77">
        <v>32</v>
      </c>
      <c r="B40" s="96">
        <v>8.7190000000000004E-2</v>
      </c>
      <c r="C40" s="218"/>
      <c r="D40" s="218"/>
      <c r="E40" s="218"/>
      <c r="F40" s="218"/>
      <c r="G40" s="218"/>
      <c r="H40" s="218"/>
      <c r="I40" s="218"/>
      <c r="J40" s="218"/>
    </row>
    <row r="41" spans="1:10" ht="21">
      <c r="A41" s="77">
        <v>33</v>
      </c>
      <c r="B41" s="96">
        <v>0.21421999999999999</v>
      </c>
      <c r="C41" s="218"/>
      <c r="D41" s="218"/>
      <c r="E41" s="236"/>
      <c r="F41" s="237"/>
      <c r="G41" s="237"/>
      <c r="H41" s="237"/>
      <c r="I41" s="56"/>
      <c r="J41" s="56"/>
    </row>
    <row r="42" spans="1:10" ht="15">
      <c r="A42" s="77">
        <v>34</v>
      </c>
      <c r="B42" s="96">
        <v>9.4390000000000002E-2</v>
      </c>
      <c r="C42" s="218"/>
      <c r="D42" s="218"/>
      <c r="E42" s="26"/>
      <c r="F42" s="55"/>
      <c r="G42" s="56"/>
      <c r="H42" s="56"/>
      <c r="I42" s="56"/>
      <c r="J42" s="56"/>
    </row>
    <row r="43" spans="1:10" ht="15">
      <c r="A43" s="77">
        <v>35</v>
      </c>
      <c r="B43" s="96">
        <v>0.18295</v>
      </c>
      <c r="C43" s="218"/>
      <c r="D43" s="218"/>
      <c r="E43" s="56"/>
      <c r="F43" s="56"/>
      <c r="G43" s="56"/>
      <c r="H43" s="56"/>
      <c r="I43" s="56"/>
      <c r="J43" s="56"/>
    </row>
    <row r="44" spans="1:10" ht="15">
      <c r="A44" s="77">
        <v>36</v>
      </c>
      <c r="B44" s="96">
        <v>0.3836</v>
      </c>
      <c r="C44" s="218"/>
      <c r="D44" s="218"/>
      <c r="E44" s="101"/>
      <c r="F44" s="102"/>
      <c r="G44" s="103"/>
      <c r="H44" s="26"/>
      <c r="I44" s="56"/>
      <c r="J44" s="56"/>
    </row>
    <row r="45" spans="1:10" ht="15">
      <c r="A45" s="77">
        <v>37</v>
      </c>
      <c r="B45" s="96">
        <v>0.19139</v>
      </c>
      <c r="C45" s="218"/>
      <c r="D45" s="218"/>
      <c r="E45" s="101"/>
      <c r="F45" s="102"/>
      <c r="G45" s="103"/>
      <c r="H45" s="26"/>
      <c r="I45" s="56"/>
      <c r="J45" s="56"/>
    </row>
    <row r="46" spans="1:10" ht="15">
      <c r="A46" s="77">
        <v>38</v>
      </c>
      <c r="B46" s="96">
        <v>5.398E-2</v>
      </c>
      <c r="C46" s="218"/>
      <c r="D46" s="218"/>
      <c r="E46" s="101"/>
      <c r="F46" s="102"/>
      <c r="G46" s="103"/>
      <c r="H46" s="26"/>
      <c r="I46" s="56"/>
      <c r="J46" s="56"/>
    </row>
    <row r="47" spans="1:10" ht="15">
      <c r="A47" s="77">
        <v>39</v>
      </c>
      <c r="B47" s="96">
        <v>5.5219999999999998E-2</v>
      </c>
      <c r="C47" s="218"/>
      <c r="D47" s="218"/>
      <c r="E47" s="104"/>
      <c r="F47" s="102"/>
      <c r="G47" s="103"/>
      <c r="H47" s="26"/>
      <c r="I47" s="218"/>
      <c r="J47" s="218"/>
    </row>
    <row r="48" spans="1:10" ht="23.25">
      <c r="A48" s="218"/>
      <c r="B48" s="218"/>
      <c r="C48" s="218"/>
      <c r="D48" s="218"/>
      <c r="E48" s="26"/>
      <c r="F48" s="102"/>
      <c r="G48" s="102"/>
      <c r="H48" s="105"/>
      <c r="I48" s="106"/>
      <c r="J48" s="56"/>
    </row>
    <row r="49" spans="4:11" ht="23.25">
      <c r="D49" s="56"/>
      <c r="E49" s="106"/>
      <c r="F49" s="107"/>
      <c r="G49" s="56"/>
      <c r="H49" s="238"/>
      <c r="I49" s="237"/>
      <c r="J49" s="218"/>
      <c r="K49" s="218"/>
    </row>
    <row r="52" spans="4:11" ht="21">
      <c r="D52" s="57"/>
      <c r="E52" s="218"/>
      <c r="F52" s="218"/>
      <c r="G52" s="218"/>
      <c r="H52" s="218"/>
      <c r="I52" s="218"/>
      <c r="J52" s="218"/>
      <c r="K52" s="218"/>
    </row>
    <row r="54" spans="4:11" ht="12.75">
      <c r="D54" s="110"/>
      <c r="E54" s="110"/>
      <c r="F54" s="110"/>
      <c r="G54" s="110"/>
      <c r="H54" s="110"/>
      <c r="I54" s="110"/>
      <c r="J54" s="218"/>
      <c r="K54" s="218"/>
    </row>
    <row r="55" spans="4:11" ht="12.75">
      <c r="D55" s="110"/>
      <c r="E55" s="108"/>
      <c r="F55" s="109"/>
      <c r="G55" s="110"/>
      <c r="H55" s="110"/>
      <c r="I55" s="110"/>
      <c r="J55" s="218"/>
      <c r="K55" s="218"/>
    </row>
    <row r="56" spans="4:11" ht="14.25">
      <c r="D56" s="110"/>
      <c r="E56" s="108"/>
      <c r="F56" s="109"/>
      <c r="G56" s="110"/>
      <c r="H56" s="110"/>
      <c r="I56" s="110"/>
      <c r="J56" s="218"/>
      <c r="K56" s="61"/>
    </row>
    <row r="57" spans="4:11" ht="12.75">
      <c r="D57" s="110"/>
      <c r="E57" s="108"/>
      <c r="F57" s="109"/>
      <c r="G57" s="110"/>
      <c r="H57" s="110"/>
      <c r="I57" s="110"/>
      <c r="J57" s="218"/>
      <c r="K57" s="218"/>
    </row>
    <row r="58" spans="4:11" ht="12.75">
      <c r="D58" s="110"/>
      <c r="E58" s="108"/>
      <c r="F58" s="108"/>
      <c r="G58" s="110"/>
      <c r="H58" s="110"/>
      <c r="I58" s="110"/>
      <c r="J58" s="218"/>
      <c r="K58" s="218"/>
    </row>
    <row r="59" spans="4:11" ht="12.75">
      <c r="D59" s="110"/>
      <c r="E59" s="108"/>
      <c r="F59" s="109"/>
      <c r="G59" s="110"/>
      <c r="H59" s="110"/>
      <c r="I59" s="110"/>
      <c r="J59" s="218"/>
      <c r="K59" s="218"/>
    </row>
    <row r="60" spans="4:11" ht="12.75">
      <c r="D60" s="110"/>
      <c r="E60" s="108"/>
      <c r="F60" s="109"/>
      <c r="G60" s="110"/>
      <c r="H60" s="110"/>
      <c r="I60" s="110"/>
      <c r="J60" s="218"/>
      <c r="K60" s="218"/>
    </row>
    <row r="61" spans="4:11" ht="12.75">
      <c r="D61" s="110"/>
      <c r="E61" s="108"/>
      <c r="F61" s="109"/>
      <c r="G61" s="110"/>
      <c r="H61" s="110"/>
      <c r="I61" s="110"/>
      <c r="J61" s="218"/>
      <c r="K61" s="218"/>
    </row>
    <row r="62" spans="4:11" ht="12.75">
      <c r="D62" s="110"/>
      <c r="E62" s="108"/>
      <c r="F62" s="109"/>
      <c r="G62" s="110"/>
      <c r="H62" s="110"/>
      <c r="I62" s="110"/>
      <c r="J62" s="218"/>
      <c r="K62" s="218"/>
    </row>
    <row r="63" spans="4:11" ht="12.75">
      <c r="D63" s="110"/>
      <c r="E63" s="108"/>
      <c r="F63" s="109"/>
      <c r="G63" s="110"/>
      <c r="H63" s="110"/>
      <c r="I63" s="110"/>
      <c r="J63" s="218"/>
      <c r="K63" s="218"/>
    </row>
    <row r="64" spans="4:11" ht="12.75">
      <c r="D64" s="110"/>
      <c r="E64" s="108"/>
      <c r="F64" s="109"/>
      <c r="G64" s="110"/>
      <c r="H64" s="110"/>
      <c r="I64" s="110"/>
      <c r="J64" s="218"/>
      <c r="K64" s="218"/>
    </row>
    <row r="65" spans="4:10" ht="18.75">
      <c r="D65" s="110"/>
      <c r="E65" s="108"/>
      <c r="F65" s="109"/>
      <c r="G65" s="110"/>
      <c r="H65" s="110"/>
      <c r="I65" s="111"/>
      <c r="J65" s="112"/>
    </row>
    <row r="66" spans="4:10" ht="12.75">
      <c r="D66" s="110"/>
      <c r="E66" s="108"/>
      <c r="F66" s="109"/>
      <c r="G66" s="110"/>
      <c r="H66" s="110"/>
      <c r="I66" s="218"/>
      <c r="J66" s="218"/>
    </row>
    <row r="67" spans="4:10" ht="12.75">
      <c r="D67" s="110"/>
      <c r="E67" s="108"/>
      <c r="F67" s="109"/>
      <c r="G67" s="110"/>
      <c r="H67" s="110"/>
      <c r="I67" s="218"/>
      <c r="J67" s="218"/>
    </row>
    <row r="68" spans="4:10" ht="12.75">
      <c r="D68" s="110"/>
      <c r="E68" s="108"/>
      <c r="F68" s="109"/>
      <c r="G68" s="110"/>
      <c r="H68" s="110"/>
      <c r="I68" s="218"/>
      <c r="J68" s="218"/>
    </row>
    <row r="69" spans="4:10" ht="12.75">
      <c r="D69" s="110"/>
      <c r="E69" s="108"/>
      <c r="F69" s="109"/>
      <c r="G69" s="110"/>
      <c r="H69" s="110"/>
      <c r="I69" s="218"/>
      <c r="J69" s="218"/>
    </row>
    <row r="70" spans="4:10" ht="12.75">
      <c r="D70" s="110"/>
      <c r="E70" s="108"/>
      <c r="F70" s="108"/>
      <c r="G70" s="110"/>
      <c r="H70" s="110"/>
      <c r="I70" s="218"/>
      <c r="J70" s="218"/>
    </row>
    <row r="71" spans="4:10" ht="12.75">
      <c r="D71" s="110"/>
      <c r="E71" s="108"/>
      <c r="F71" s="109"/>
      <c r="G71" s="110"/>
      <c r="H71" s="110"/>
      <c r="I71" s="218"/>
      <c r="J71" s="218"/>
    </row>
    <row r="72" spans="4:10" ht="12.75">
      <c r="D72" s="110"/>
      <c r="E72" s="108"/>
      <c r="F72" s="109"/>
      <c r="G72" s="110"/>
      <c r="H72" s="110"/>
      <c r="I72" s="218"/>
      <c r="J72" s="218"/>
    </row>
    <row r="73" spans="4:10" ht="12.75">
      <c r="D73" s="110"/>
      <c r="E73" s="108"/>
      <c r="F73" s="108"/>
      <c r="G73" s="110"/>
      <c r="H73" s="110"/>
      <c r="I73" s="218"/>
      <c r="J73" s="218"/>
    </row>
    <row r="74" spans="4:10" ht="12.75">
      <c r="D74" s="110"/>
      <c r="E74" s="108"/>
      <c r="F74" s="109"/>
      <c r="G74" s="110"/>
      <c r="H74" s="110"/>
      <c r="I74" s="218"/>
      <c r="J74" s="218"/>
    </row>
    <row r="75" spans="4:10" ht="12.75">
      <c r="D75" s="218"/>
      <c r="E75" s="218"/>
      <c r="F75" s="109"/>
      <c r="G75" s="218"/>
      <c r="H75" s="218"/>
      <c r="I75" s="218"/>
      <c r="J75" s="218"/>
    </row>
  </sheetData>
  <mergeCells count="18">
    <mergeCell ref="G38:H38"/>
    <mergeCell ref="E41:H41"/>
    <mergeCell ref="G30:I30"/>
    <mergeCell ref="G36:H36"/>
    <mergeCell ref="H49:I49"/>
    <mergeCell ref="G34:H34"/>
    <mergeCell ref="G35:H35"/>
    <mergeCell ref="G37:H37"/>
    <mergeCell ref="F16:H16"/>
    <mergeCell ref="F17:G17"/>
    <mergeCell ref="F18:G18"/>
    <mergeCell ref="F19:G19"/>
    <mergeCell ref="F20:G20"/>
    <mergeCell ref="F21:G21"/>
    <mergeCell ref="F22:G22"/>
    <mergeCell ref="G32:H32"/>
    <mergeCell ref="G31:H31"/>
    <mergeCell ref="G33:H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93"/>
  <sheetViews>
    <sheetView tabSelected="1" topLeftCell="A49" zoomScale="120" zoomScaleNormal="120" workbookViewId="0">
      <selection activeCell="G57" sqref="G57"/>
    </sheetView>
  </sheetViews>
  <sheetFormatPr defaultColWidth="14.42578125" defaultRowHeight="15.75" customHeight="1"/>
  <cols>
    <col min="7" max="7" width="18" customWidth="1"/>
  </cols>
  <sheetData>
    <row r="1" spans="1:9" ht="12.75">
      <c r="A1" s="79" t="s">
        <v>180</v>
      </c>
      <c r="B1" s="218"/>
      <c r="C1" s="218"/>
      <c r="D1" s="218"/>
      <c r="E1" s="218"/>
      <c r="F1" s="218"/>
      <c r="G1" s="218"/>
      <c r="H1" s="218"/>
      <c r="I1" s="218"/>
    </row>
    <row r="2" spans="1:9" ht="12.75">
      <c r="A2" s="79" t="s">
        <v>175</v>
      </c>
      <c r="B2" s="218"/>
      <c r="C2" s="218"/>
      <c r="D2" s="218"/>
      <c r="E2" s="218"/>
      <c r="F2" s="218"/>
      <c r="G2" s="218"/>
      <c r="H2" s="218"/>
      <c r="I2" s="218"/>
    </row>
    <row r="3" spans="1:9" ht="12.75">
      <c r="A3" s="79" t="s">
        <v>49</v>
      </c>
      <c r="B3" s="218"/>
      <c r="C3" s="218"/>
      <c r="D3" s="218"/>
      <c r="E3" s="218"/>
      <c r="F3" s="218"/>
      <c r="G3" s="218"/>
      <c r="H3" s="218"/>
      <c r="I3" s="218"/>
    </row>
    <row r="4" spans="1:9" ht="12.75">
      <c r="A4" s="79" t="s">
        <v>50</v>
      </c>
      <c r="B4" s="218"/>
      <c r="C4" s="218"/>
      <c r="D4" s="218"/>
      <c r="E4" s="218"/>
      <c r="F4" s="218"/>
      <c r="G4" s="218"/>
      <c r="H4" s="218"/>
      <c r="I4" s="218"/>
    </row>
    <row r="5" spans="1:9" ht="12.75">
      <c r="A5" s="79" t="s">
        <v>176</v>
      </c>
      <c r="B5" s="218"/>
      <c r="C5" s="218"/>
      <c r="D5" s="218"/>
      <c r="E5" s="218"/>
      <c r="F5" s="218"/>
      <c r="G5" s="218"/>
      <c r="H5" s="218"/>
      <c r="I5" s="218"/>
    </row>
    <row r="6" spans="1:9" ht="12.75">
      <c r="A6" s="79" t="s">
        <v>181</v>
      </c>
      <c r="B6" s="218"/>
      <c r="C6" s="218"/>
      <c r="D6" s="218"/>
      <c r="E6" s="218"/>
      <c r="F6" s="218"/>
      <c r="G6" s="218"/>
      <c r="H6" s="218"/>
      <c r="I6" s="218"/>
    </row>
    <row r="7" spans="1:9" ht="12.75">
      <c r="A7" s="134" t="s">
        <v>60</v>
      </c>
      <c r="B7" s="134" t="s">
        <v>138</v>
      </c>
      <c r="C7" s="218"/>
      <c r="D7" s="218"/>
      <c r="E7" s="218"/>
      <c r="F7" s="218"/>
      <c r="G7" s="218"/>
      <c r="H7" s="218"/>
      <c r="I7" s="218"/>
    </row>
    <row r="8" spans="1:9" ht="12.75">
      <c r="A8" s="134">
        <v>0</v>
      </c>
      <c r="B8" s="188">
        <v>5.28E-3</v>
      </c>
      <c r="C8" s="218"/>
      <c r="D8" s="218"/>
      <c r="E8" s="218"/>
      <c r="F8" s="218"/>
      <c r="G8" s="218"/>
      <c r="H8" s="218"/>
      <c r="I8" s="218"/>
    </row>
    <row r="9" spans="1:9" ht="12.75">
      <c r="A9" s="138">
        <f t="shared" ref="A9:A37" si="0">A8+1</f>
        <v>1</v>
      </c>
      <c r="B9" s="188">
        <v>0.63331000000000004</v>
      </c>
      <c r="C9" s="218"/>
      <c r="D9" s="218"/>
      <c r="E9" s="218"/>
      <c r="F9" s="218"/>
      <c r="G9" s="218"/>
      <c r="H9" s="218"/>
      <c r="I9" s="218"/>
    </row>
    <row r="10" spans="1:9" ht="12.75">
      <c r="A10" s="138">
        <f t="shared" si="0"/>
        <v>2</v>
      </c>
      <c r="B10" s="188">
        <v>0.71081000000000005</v>
      </c>
      <c r="C10" s="218"/>
      <c r="D10" s="218"/>
      <c r="E10" s="218"/>
      <c r="F10" s="218"/>
      <c r="G10" s="218"/>
      <c r="H10" s="218"/>
      <c r="I10" s="218"/>
    </row>
    <row r="11" spans="1:9" ht="12.75">
      <c r="A11" s="138">
        <f t="shared" si="0"/>
        <v>3</v>
      </c>
      <c r="B11" s="189">
        <v>4.8999999999999998E-3</v>
      </c>
      <c r="C11" s="218"/>
      <c r="D11" s="218"/>
      <c r="E11" s="218"/>
      <c r="F11" s="218"/>
      <c r="G11" s="79" t="s">
        <v>167</v>
      </c>
      <c r="H11" s="218"/>
      <c r="I11" s="79">
        <v>0.95</v>
      </c>
    </row>
    <row r="12" spans="1:9" ht="12.75">
      <c r="A12" s="138">
        <f t="shared" si="0"/>
        <v>4</v>
      </c>
      <c r="B12" s="188">
        <v>0.70692999999999995</v>
      </c>
      <c r="C12" s="218"/>
      <c r="D12" s="218"/>
      <c r="E12" s="218"/>
      <c r="F12" s="218"/>
      <c r="G12" s="218"/>
      <c r="H12" s="218"/>
      <c r="I12" s="218"/>
    </row>
    <row r="13" spans="1:9" ht="15.75" customHeight="1">
      <c r="A13" s="138">
        <f t="shared" si="0"/>
        <v>5</v>
      </c>
      <c r="B13" s="188">
        <v>0.66005999999999998</v>
      </c>
      <c r="C13" s="218"/>
      <c r="D13" s="218"/>
      <c r="E13" s="218"/>
      <c r="F13" s="218"/>
      <c r="G13" s="25" t="s">
        <v>56</v>
      </c>
      <c r="H13" s="218"/>
      <c r="I13" s="218"/>
    </row>
    <row r="14" spans="1:9" ht="12.75">
      <c r="A14" s="138">
        <f t="shared" si="0"/>
        <v>6</v>
      </c>
      <c r="B14" s="189">
        <v>0.53080000000000005</v>
      </c>
      <c r="C14" s="218"/>
      <c r="D14" s="218"/>
      <c r="E14" s="218"/>
      <c r="F14" s="218"/>
      <c r="G14" s="218"/>
      <c r="H14" s="218"/>
      <c r="I14" s="218"/>
    </row>
    <row r="15" spans="1:9" ht="12.75">
      <c r="A15" s="138">
        <f t="shared" si="0"/>
        <v>7</v>
      </c>
      <c r="B15" s="188">
        <v>0.55589</v>
      </c>
      <c r="C15" s="218"/>
      <c r="D15" s="218"/>
      <c r="E15" s="218"/>
      <c r="F15" s="218"/>
      <c r="G15" s="218"/>
      <c r="H15" s="219" t="s">
        <v>58</v>
      </c>
      <c r="I15" s="79">
        <v>30</v>
      </c>
    </row>
    <row r="16" spans="1:9" ht="15">
      <c r="A16" s="138">
        <f t="shared" si="0"/>
        <v>8</v>
      </c>
      <c r="B16" s="188">
        <v>0.61458000000000002</v>
      </c>
      <c r="C16" s="218"/>
      <c r="D16" s="218"/>
      <c r="E16" s="218"/>
      <c r="F16" s="218"/>
      <c r="G16" s="239" t="s">
        <v>140</v>
      </c>
      <c r="H16" s="231"/>
      <c r="I16" s="228"/>
    </row>
    <row r="17" spans="1:9" ht="14.25">
      <c r="A17" s="138">
        <f t="shared" si="0"/>
        <v>9</v>
      </c>
      <c r="B17" s="188">
        <v>2.461E-2</v>
      </c>
      <c r="C17" s="218"/>
      <c r="D17" s="218"/>
      <c r="E17" s="218"/>
      <c r="F17" s="218"/>
      <c r="G17" s="232" t="s">
        <v>62</v>
      </c>
      <c r="H17" s="228"/>
      <c r="I17" s="30">
        <f>1-I11</f>
        <v>5.0000000000000044E-2</v>
      </c>
    </row>
    <row r="18" spans="1:9" ht="14.25">
      <c r="A18" s="138">
        <f t="shared" si="0"/>
        <v>10</v>
      </c>
      <c r="B18" s="188">
        <v>0.67168000000000005</v>
      </c>
      <c r="C18" s="218"/>
      <c r="D18" s="218"/>
      <c r="E18" s="218"/>
      <c r="F18" s="218"/>
      <c r="G18" s="232" t="s">
        <v>63</v>
      </c>
      <c r="H18" s="228"/>
      <c r="I18" s="32">
        <f>1-I17/2</f>
        <v>0.97499999999999998</v>
      </c>
    </row>
    <row r="19" spans="1:9" ht="15.75" customHeight="1">
      <c r="A19" s="138">
        <f t="shared" si="0"/>
        <v>11</v>
      </c>
      <c r="B19" s="188">
        <v>0.70996999999999999</v>
      </c>
      <c r="C19" s="218"/>
      <c r="D19" s="218"/>
      <c r="E19" s="218"/>
      <c r="F19" s="218"/>
      <c r="G19" s="233" t="s">
        <v>64</v>
      </c>
      <c r="H19" s="228"/>
      <c r="I19" s="33">
        <f>NORMSINV(I18)</f>
        <v>1.9599639845400536</v>
      </c>
    </row>
    <row r="20" spans="1:9" ht="15.75" customHeight="1">
      <c r="A20" s="138">
        <f t="shared" si="0"/>
        <v>12</v>
      </c>
      <c r="B20" s="188">
        <v>0.73482999999999998</v>
      </c>
      <c r="C20" s="218"/>
      <c r="D20" s="218"/>
      <c r="E20" s="218"/>
      <c r="F20" s="218"/>
      <c r="G20" s="234" t="s">
        <v>65</v>
      </c>
      <c r="H20" s="228"/>
      <c r="I20" s="34">
        <f>(1/2)-I19*(1/(SQRT(12*I15)))</f>
        <v>0.39670082794923978</v>
      </c>
    </row>
    <row r="21" spans="1:9" ht="15.75" customHeight="1">
      <c r="A21" s="138">
        <f t="shared" si="0"/>
        <v>13</v>
      </c>
      <c r="B21" s="188">
        <v>0.69138999999999995</v>
      </c>
      <c r="C21" s="218"/>
      <c r="D21" s="218"/>
      <c r="E21" s="218"/>
      <c r="F21" s="218"/>
      <c r="G21" s="227" t="s">
        <v>66</v>
      </c>
      <c r="H21" s="228"/>
      <c r="I21" s="37">
        <f>AVERAGE(B8:B37)</f>
        <v>0.5578590000000001</v>
      </c>
    </row>
    <row r="22" spans="1:9" ht="15.75" customHeight="1">
      <c r="A22" s="138">
        <f t="shared" si="0"/>
        <v>14</v>
      </c>
      <c r="B22" s="188">
        <v>0.58311999999999997</v>
      </c>
      <c r="C22" s="218"/>
      <c r="D22" s="218"/>
      <c r="E22" s="218"/>
      <c r="F22" s="218"/>
      <c r="G22" s="229" t="s">
        <v>67</v>
      </c>
      <c r="H22" s="228"/>
      <c r="I22" s="39">
        <f>(1/2)+I19*(1/(SQRT(12*I15)))</f>
        <v>0.60329917205076022</v>
      </c>
    </row>
    <row r="23" spans="1:9" ht="15.75" customHeight="1">
      <c r="A23" s="138">
        <f t="shared" si="0"/>
        <v>15</v>
      </c>
      <c r="B23" s="188">
        <v>5.398E-2</v>
      </c>
      <c r="C23" s="218"/>
      <c r="D23" s="218"/>
      <c r="E23" s="218"/>
      <c r="F23" s="218"/>
      <c r="G23" s="218"/>
      <c r="H23" s="45" t="s">
        <v>141</v>
      </c>
      <c r="I23" s="218"/>
    </row>
    <row r="24" spans="1:9" ht="12.75">
      <c r="A24" s="138">
        <f t="shared" si="0"/>
        <v>16</v>
      </c>
      <c r="B24" s="188">
        <v>0.46994000000000002</v>
      </c>
      <c r="C24" s="218"/>
      <c r="D24" s="218"/>
      <c r="E24" s="218"/>
      <c r="F24" s="218"/>
      <c r="G24" s="218"/>
      <c r="H24" s="218"/>
      <c r="I24" s="218"/>
    </row>
    <row r="25" spans="1:9" ht="12.75">
      <c r="A25" s="138">
        <f t="shared" si="0"/>
        <v>17</v>
      </c>
      <c r="B25" s="188">
        <v>0.78298000000000001</v>
      </c>
      <c r="C25" s="218"/>
      <c r="D25" s="218"/>
      <c r="E25" s="218"/>
      <c r="F25" s="218"/>
      <c r="G25" s="218" t="s">
        <v>182</v>
      </c>
      <c r="H25" s="218"/>
      <c r="I25" s="218"/>
    </row>
    <row r="26" spans="1:9" ht="12.75">
      <c r="A26" s="138">
        <f t="shared" si="0"/>
        <v>18</v>
      </c>
      <c r="B26" s="188">
        <v>0.99761999999999995</v>
      </c>
      <c r="C26" s="218"/>
      <c r="D26" s="218"/>
      <c r="E26" s="218"/>
      <c r="F26" s="218"/>
      <c r="G26" s="218"/>
      <c r="H26" s="218"/>
      <c r="I26" s="218"/>
    </row>
    <row r="27" spans="1:9" ht="20.25">
      <c r="A27" s="138">
        <f t="shared" si="0"/>
        <v>19</v>
      </c>
      <c r="B27" s="188">
        <v>6.7000000000000002E-4</v>
      </c>
      <c r="C27" s="218"/>
      <c r="D27" s="218"/>
      <c r="E27" s="218"/>
      <c r="F27" s="218"/>
      <c r="G27" s="25" t="s">
        <v>69</v>
      </c>
      <c r="H27" s="218"/>
      <c r="I27" s="218"/>
    </row>
    <row r="28" spans="1:9" ht="12.75">
      <c r="A28" s="138">
        <f t="shared" si="0"/>
        <v>20</v>
      </c>
      <c r="B28" s="188">
        <v>0.53532000000000002</v>
      </c>
      <c r="C28" s="218"/>
      <c r="D28" s="218"/>
      <c r="E28" s="218"/>
      <c r="F28" s="218"/>
      <c r="G28" s="218"/>
      <c r="H28" s="79" t="s">
        <v>142</v>
      </c>
      <c r="I28" s="79">
        <v>30</v>
      </c>
    </row>
    <row r="29" spans="1:9" ht="15">
      <c r="A29" s="138">
        <f t="shared" si="0"/>
        <v>21</v>
      </c>
      <c r="B29" s="188">
        <v>0.81562000000000001</v>
      </c>
      <c r="C29" s="218"/>
      <c r="D29" s="218"/>
      <c r="E29" s="218"/>
      <c r="F29" s="218"/>
      <c r="G29" s="239" t="s">
        <v>69</v>
      </c>
      <c r="H29" s="231"/>
      <c r="I29" s="228"/>
    </row>
    <row r="30" spans="1:9" ht="14.25">
      <c r="A30" s="138">
        <f t="shared" si="0"/>
        <v>22</v>
      </c>
      <c r="B30" s="189">
        <v>0.54790000000000005</v>
      </c>
      <c r="C30" s="218"/>
      <c r="D30" s="218"/>
      <c r="E30" s="218"/>
      <c r="F30" s="218"/>
      <c r="G30" s="232" t="s">
        <v>62</v>
      </c>
      <c r="H30" s="228"/>
      <c r="I30" s="30">
        <v>0.05</v>
      </c>
    </row>
    <row r="31" spans="1:9" ht="14.25">
      <c r="A31" s="138">
        <f t="shared" si="0"/>
        <v>23</v>
      </c>
      <c r="B31" s="189">
        <v>0.57669999999999999</v>
      </c>
      <c r="C31" s="218"/>
      <c r="D31" s="218"/>
      <c r="E31" s="218"/>
      <c r="F31" s="218"/>
      <c r="G31" s="232" t="s">
        <v>143</v>
      </c>
      <c r="H31" s="228"/>
      <c r="I31" s="30">
        <f>I30/2</f>
        <v>2.5000000000000001E-2</v>
      </c>
    </row>
    <row r="32" spans="1:9" ht="14.25">
      <c r="A32" s="138">
        <f t="shared" si="0"/>
        <v>24</v>
      </c>
      <c r="B32" s="188">
        <v>0.58718999999999999</v>
      </c>
      <c r="C32" s="218"/>
      <c r="D32" s="218"/>
      <c r="E32" s="218"/>
      <c r="F32" s="218"/>
      <c r="G32" s="232" t="s">
        <v>63</v>
      </c>
      <c r="H32" s="228"/>
      <c r="I32" s="32">
        <f>1-(I30/2)</f>
        <v>0.97499999999999998</v>
      </c>
    </row>
    <row r="33" spans="1:10" ht="15">
      <c r="A33" s="138">
        <f t="shared" si="0"/>
        <v>25</v>
      </c>
      <c r="B33" s="188">
        <v>0.71442000000000005</v>
      </c>
      <c r="C33" s="218"/>
      <c r="D33" s="218"/>
      <c r="E33" s="218"/>
      <c r="F33" s="218"/>
      <c r="G33" s="240" t="s">
        <v>71</v>
      </c>
      <c r="H33" s="228"/>
      <c r="I33" s="51">
        <f>_xlfn.CHISQ.INV(I31,I28-1)</f>
        <v>16.047071695364885</v>
      </c>
      <c r="J33" s="218"/>
    </row>
    <row r="34" spans="1:10">
      <c r="A34" s="138">
        <f t="shared" si="0"/>
        <v>26</v>
      </c>
      <c r="B34" s="188">
        <v>0.59438999999999997</v>
      </c>
      <c r="C34" s="218"/>
      <c r="D34" s="218"/>
      <c r="E34" s="218"/>
      <c r="F34" s="218"/>
      <c r="G34" s="241" t="s">
        <v>72</v>
      </c>
      <c r="H34" s="228"/>
      <c r="I34" s="33">
        <f>_xlfn.CHISQ.INV(I32,I28-1)</f>
        <v>45.722285804174525</v>
      </c>
      <c r="J34" s="218"/>
    </row>
    <row r="35" spans="1:10" ht="12.75">
      <c r="A35" s="138">
        <f t="shared" si="0"/>
        <v>27</v>
      </c>
      <c r="B35" s="188">
        <v>0.79315999999999998</v>
      </c>
      <c r="C35" s="218"/>
      <c r="D35" s="218"/>
      <c r="E35" s="218"/>
      <c r="F35" s="218"/>
      <c r="G35" s="242" t="s">
        <v>74</v>
      </c>
      <c r="H35" s="228"/>
      <c r="I35" s="52">
        <f>I33/(12*(I28-1))</f>
        <v>4.6112274986680704E-2</v>
      </c>
      <c r="J35" s="218"/>
    </row>
    <row r="36" spans="1:10" ht="12.75">
      <c r="A36" s="138">
        <f t="shared" si="0"/>
        <v>28</v>
      </c>
      <c r="B36" s="189">
        <v>0.77249999999999996</v>
      </c>
      <c r="C36" s="218"/>
      <c r="D36" s="218"/>
      <c r="E36" s="218"/>
      <c r="F36" s="218"/>
      <c r="G36" s="243" t="s">
        <v>73</v>
      </c>
      <c r="H36" s="228"/>
      <c r="I36" s="53">
        <f>_xlfn.VAR.S(B8:B37)</f>
        <v>7.1318193278275793E-2</v>
      </c>
      <c r="J36" s="218"/>
    </row>
    <row r="37" spans="1:10" ht="12.75">
      <c r="A37" s="138">
        <f t="shared" si="0"/>
        <v>29</v>
      </c>
      <c r="B37" s="188">
        <v>0.65522000000000002</v>
      </c>
      <c r="C37" s="218"/>
      <c r="D37" s="218"/>
      <c r="E37" s="218"/>
      <c r="F37" s="218"/>
      <c r="G37" s="242" t="s">
        <v>75</v>
      </c>
      <c r="H37" s="228"/>
      <c r="I37" s="52">
        <f>I34/(12*(I28-1))</f>
        <v>0.13138587874762794</v>
      </c>
      <c r="J37" s="218"/>
    </row>
    <row r="38" spans="1:10" ht="18">
      <c r="A38" s="218"/>
      <c r="B38" s="173"/>
      <c r="C38" s="218"/>
      <c r="D38" s="218"/>
      <c r="E38" s="218"/>
      <c r="F38" s="218"/>
      <c r="G38" s="218"/>
      <c r="H38" s="45" t="s">
        <v>141</v>
      </c>
      <c r="I38" s="218"/>
      <c r="J38" s="218"/>
    </row>
    <row r="39" spans="1:10" ht="15.75" customHeight="1">
      <c r="A39" s="218"/>
      <c r="B39" s="114"/>
      <c r="C39" s="218"/>
      <c r="D39" s="218"/>
      <c r="E39" s="218"/>
      <c r="F39" s="218"/>
      <c r="G39" s="218" t="s">
        <v>183</v>
      </c>
      <c r="H39" s="218"/>
      <c r="I39" s="218"/>
      <c r="J39" s="218"/>
    </row>
    <row r="40" spans="1:10" ht="21">
      <c r="A40" s="218"/>
      <c r="B40" s="218"/>
      <c r="C40" s="218"/>
      <c r="D40" s="236" t="s">
        <v>168</v>
      </c>
      <c r="E40" s="237"/>
      <c r="F40" s="237"/>
      <c r="G40" s="237"/>
      <c r="H40" s="56"/>
      <c r="I40" s="56"/>
      <c r="J40" s="218"/>
    </row>
    <row r="41" spans="1:10" ht="15">
      <c r="A41" s="218"/>
      <c r="B41" s="218"/>
      <c r="C41" s="218"/>
      <c r="D41" s="26" t="s">
        <v>78</v>
      </c>
      <c r="E41" s="55">
        <v>6</v>
      </c>
      <c r="F41" s="56" t="s">
        <v>58</v>
      </c>
      <c r="G41" s="56">
        <v>30</v>
      </c>
      <c r="H41" s="56"/>
      <c r="I41" s="56"/>
      <c r="J41" s="218"/>
    </row>
    <row r="42" spans="1:10" ht="15">
      <c r="A42" s="218"/>
      <c r="B42" s="218"/>
      <c r="C42" s="218"/>
      <c r="D42" s="153" t="s">
        <v>79</v>
      </c>
      <c r="E42" s="153" t="s">
        <v>80</v>
      </c>
      <c r="F42" s="153" t="s">
        <v>81</v>
      </c>
      <c r="G42" s="153" t="s">
        <v>82</v>
      </c>
      <c r="H42" s="116"/>
      <c r="I42" s="56"/>
      <c r="J42" s="218"/>
    </row>
    <row r="43" spans="1:10" ht="15">
      <c r="A43" s="218"/>
      <c r="B43" s="218"/>
      <c r="C43" s="218"/>
      <c r="D43" s="213" t="s">
        <v>184</v>
      </c>
      <c r="E43" s="156">
        <f>COUNTIFS(B8:B37,"&gt;=0,0", B8:B37, "&lt;0,17")</f>
        <v>5</v>
      </c>
      <c r="F43" s="190">
        <f>G41/E41</f>
        <v>5</v>
      </c>
      <c r="G43" s="191">
        <f t="shared" ref="G43:G47" si="1">(F43-E43)^2/F43</f>
        <v>0</v>
      </c>
      <c r="H43" s="116"/>
      <c r="I43" s="56"/>
      <c r="J43" s="218"/>
    </row>
    <row r="44" spans="1:10" ht="15">
      <c r="A44" s="218"/>
      <c r="B44" s="218"/>
      <c r="C44" s="218"/>
      <c r="D44" s="213" t="s">
        <v>185</v>
      </c>
      <c r="E44" s="156">
        <f>COUNTIFS(B8:B37,"&gt;=0,17", B8:B37, "&lt;0,33")</f>
        <v>0</v>
      </c>
      <c r="F44" s="190">
        <f>G41/E41</f>
        <v>5</v>
      </c>
      <c r="G44" s="191">
        <f t="shared" si="1"/>
        <v>5</v>
      </c>
      <c r="H44" s="116"/>
      <c r="I44" s="56"/>
      <c r="J44" s="218"/>
    </row>
    <row r="45" spans="1:10" ht="15">
      <c r="A45" s="218"/>
      <c r="B45" s="218"/>
      <c r="C45" s="218"/>
      <c r="D45" s="213" t="s">
        <v>186</v>
      </c>
      <c r="E45" s="156">
        <f>COUNTIFS(B8:B37,"&gt;=0,33", B8:B37, "&lt;0,51")</f>
        <v>1</v>
      </c>
      <c r="F45" s="190">
        <f>G41/E41</f>
        <v>5</v>
      </c>
      <c r="G45" s="191">
        <f t="shared" si="1"/>
        <v>3.2</v>
      </c>
      <c r="H45" s="173"/>
      <c r="I45" s="56"/>
      <c r="J45" s="218"/>
    </row>
    <row r="46" spans="1:10" ht="15">
      <c r="A46" s="218"/>
      <c r="B46" s="218"/>
      <c r="C46" s="218"/>
      <c r="D46" s="214" t="s">
        <v>187</v>
      </c>
      <c r="E46" s="156">
        <f>COUNTIFS(B8:B37,"&gt;=0,51", B8:B37, "&lt;0,67")</f>
        <v>12</v>
      </c>
      <c r="F46" s="190">
        <f>G41/E41</f>
        <v>5</v>
      </c>
      <c r="G46" s="191">
        <f t="shared" si="1"/>
        <v>9.8000000000000007</v>
      </c>
      <c r="H46" s="218"/>
      <c r="I46" s="218"/>
      <c r="J46" s="218"/>
    </row>
    <row r="47" spans="1:10" ht="15">
      <c r="A47" s="218"/>
      <c r="B47" s="218"/>
      <c r="C47" s="218"/>
      <c r="D47" s="214" t="s">
        <v>188</v>
      </c>
      <c r="E47" s="156">
        <f>COUNTIFS(B8:B37,"&gt;=0,67", B8:B37, "&lt;0,84")</f>
        <v>11</v>
      </c>
      <c r="F47" s="190">
        <f>G41/E41</f>
        <v>5</v>
      </c>
      <c r="G47" s="191">
        <f t="shared" si="1"/>
        <v>7.2</v>
      </c>
      <c r="H47" s="218"/>
      <c r="I47" s="218"/>
      <c r="J47" s="218"/>
    </row>
    <row r="48" spans="1:10" s="165" customFormat="1" ht="15">
      <c r="A48" s="218"/>
      <c r="B48" s="218"/>
      <c r="C48" s="218"/>
      <c r="D48" s="214" t="s">
        <v>189</v>
      </c>
      <c r="E48" s="156">
        <f>COUNTIFS(B8:B37,"&gt;=0,84", B8:B37, "&lt;1")</f>
        <v>1</v>
      </c>
      <c r="F48" s="190">
        <f>G41/E41</f>
        <v>5</v>
      </c>
      <c r="G48" s="191">
        <f>(F48-E48)^2/F48</f>
        <v>3.2</v>
      </c>
      <c r="H48" s="218"/>
      <c r="I48" s="218"/>
      <c r="J48" s="218"/>
    </row>
    <row r="49" spans="3:9" ht="23.25">
      <c r="C49" s="218"/>
      <c r="D49" s="191" t="s">
        <v>91</v>
      </c>
      <c r="E49" s="156">
        <f>SUM(E43:E48)</f>
        <v>30</v>
      </c>
      <c r="F49" s="192">
        <f>SUM(F43:F48)</f>
        <v>30</v>
      </c>
      <c r="G49" s="193">
        <f>SUM(G43:G48)</f>
        <v>28.4</v>
      </c>
      <c r="H49" s="106"/>
      <c r="I49" s="56"/>
    </row>
    <row r="50" spans="3:9" ht="15">
      <c r="C50" s="218"/>
      <c r="D50" s="56"/>
      <c r="E50" s="218"/>
      <c r="F50" s="218"/>
      <c r="G50" s="56"/>
      <c r="H50" s="56"/>
      <c r="I50" s="56"/>
    </row>
    <row r="51" spans="3:9" ht="15">
      <c r="C51" s="218"/>
      <c r="D51" s="56"/>
      <c r="E51" s="218"/>
      <c r="F51" s="218"/>
      <c r="G51" s="56"/>
      <c r="H51" s="238" t="s">
        <v>178</v>
      </c>
      <c r="I51" s="237"/>
    </row>
    <row r="52" spans="3:9" ht="15.75" customHeight="1">
      <c r="C52" s="218"/>
      <c r="D52" s="218"/>
      <c r="E52" s="26" t="s">
        <v>62</v>
      </c>
      <c r="F52" s="60">
        <v>0.05</v>
      </c>
      <c r="G52" s="114"/>
      <c r="H52" s="218"/>
      <c r="I52" s="218"/>
    </row>
    <row r="53" spans="3:9" ht="15.75" customHeight="1">
      <c r="C53" s="218"/>
      <c r="D53" s="218"/>
      <c r="E53" s="211" t="s">
        <v>97</v>
      </c>
      <c r="F53" s="212">
        <f>_xlfn.CHISQ.INV.RT(F52,5)</f>
        <v>11.070497693516353</v>
      </c>
      <c r="G53" s="114"/>
      <c r="H53" s="173" t="s">
        <v>15</v>
      </c>
      <c r="I53" s="218"/>
    </row>
    <row r="54" spans="3:9" ht="15.75" customHeight="1">
      <c r="C54" s="218"/>
      <c r="D54" s="218"/>
      <c r="E54" s="218"/>
      <c r="F54" s="218"/>
      <c r="G54" s="218" t="s">
        <v>190</v>
      </c>
      <c r="H54" s="218"/>
      <c r="I54" s="218"/>
    </row>
    <row r="55" spans="3:9" ht="15.75" customHeight="1">
      <c r="C55" s="218"/>
      <c r="D55" s="218"/>
      <c r="E55" s="203" t="s">
        <v>191</v>
      </c>
      <c r="F55" s="218"/>
      <c r="G55" s="218"/>
      <c r="H55" s="218"/>
      <c r="I55" s="218"/>
    </row>
    <row r="56" spans="3:9" ht="15.75" customHeight="1">
      <c r="C56" s="218"/>
      <c r="D56" s="218"/>
      <c r="E56" s="222" t="s">
        <v>15</v>
      </c>
      <c r="F56" s="218"/>
      <c r="G56" s="218"/>
      <c r="H56" s="218"/>
      <c r="I56" s="218"/>
    </row>
    <row r="57" spans="3:9" ht="15.75" customHeight="1">
      <c r="C57" s="218"/>
      <c r="D57" s="218"/>
      <c r="E57" s="218"/>
      <c r="F57" s="218"/>
      <c r="G57" s="218"/>
      <c r="H57" s="218"/>
      <c r="I57" s="218"/>
    </row>
    <row r="60" spans="3:9" ht="15.75" customHeight="1">
      <c r="C60" s="218"/>
      <c r="D60" s="215" t="s">
        <v>112</v>
      </c>
      <c r="E60" s="216"/>
      <c r="F60" s="216"/>
      <c r="G60" s="216"/>
      <c r="H60" s="217"/>
      <c r="I60" s="218"/>
    </row>
    <row r="61" spans="3:9" ht="15.75" customHeight="1">
      <c r="C61" s="218"/>
      <c r="D61" s="225" t="s">
        <v>192</v>
      </c>
      <c r="E61" s="68"/>
      <c r="F61" s="68"/>
      <c r="G61" s="79"/>
      <c r="H61" s="218"/>
      <c r="I61" s="218"/>
    </row>
    <row r="62" spans="3:9" ht="15.75" customHeight="1">
      <c r="C62" s="180"/>
      <c r="D62" s="180"/>
      <c r="E62" s="195"/>
      <c r="F62" s="180"/>
      <c r="G62" s="226" t="s">
        <v>15</v>
      </c>
      <c r="H62" s="79"/>
      <c r="I62" s="218"/>
    </row>
    <row r="63" spans="3:9" ht="15.75" customHeight="1">
      <c r="C63" s="180"/>
      <c r="D63" s="218"/>
      <c r="E63" s="218"/>
      <c r="F63" s="218"/>
      <c r="G63" s="68"/>
      <c r="H63" s="218"/>
      <c r="I63" s="218"/>
    </row>
    <row r="64" spans="3:9" ht="15.75" customHeight="1">
      <c r="C64" s="180"/>
      <c r="D64" s="218"/>
      <c r="E64" s="218"/>
      <c r="F64" s="218"/>
      <c r="G64" s="68"/>
      <c r="H64" s="218"/>
      <c r="I64" s="218"/>
    </row>
    <row r="65" spans="3:10" ht="15.75" customHeight="1">
      <c r="C65" s="180"/>
      <c r="D65" s="218"/>
      <c r="E65" s="218"/>
      <c r="F65" s="218"/>
      <c r="G65" s="68"/>
      <c r="H65" s="218"/>
      <c r="I65" s="218"/>
      <c r="J65" s="218"/>
    </row>
    <row r="66" spans="3:10" ht="15.75" customHeight="1">
      <c r="C66" s="180"/>
      <c r="D66" s="218"/>
      <c r="E66" s="218"/>
      <c r="F66" s="218"/>
      <c r="G66" s="68"/>
      <c r="H66" s="218"/>
      <c r="I66" s="218"/>
      <c r="J66" s="218"/>
    </row>
    <row r="67" spans="3:10" ht="15.75" customHeight="1">
      <c r="C67" s="180"/>
      <c r="D67" s="218"/>
      <c r="E67" s="218"/>
      <c r="F67" s="218"/>
      <c r="G67" s="68"/>
      <c r="H67" s="218"/>
      <c r="I67" s="218"/>
      <c r="J67" s="218"/>
    </row>
    <row r="68" spans="3:10" ht="15.75" customHeight="1">
      <c r="C68" s="180"/>
      <c r="D68" s="218"/>
      <c r="E68" s="218"/>
      <c r="F68" s="218"/>
      <c r="G68" s="68"/>
      <c r="H68" s="218"/>
      <c r="I68" s="218"/>
      <c r="J68" s="218"/>
    </row>
    <row r="69" spans="3:10" ht="15.75" customHeight="1">
      <c r="C69" s="180"/>
      <c r="D69" s="218"/>
      <c r="E69" s="218"/>
      <c r="F69" s="218"/>
      <c r="G69" s="68"/>
      <c r="H69" s="218"/>
      <c r="I69" s="218"/>
      <c r="J69" s="218"/>
    </row>
    <row r="70" spans="3:10" ht="15.75" customHeight="1">
      <c r="C70" s="180"/>
      <c r="D70" s="218"/>
      <c r="E70" s="218"/>
      <c r="F70" s="218"/>
      <c r="G70" s="68"/>
      <c r="H70" s="218"/>
      <c r="I70" s="218"/>
      <c r="J70" s="218"/>
    </row>
    <row r="71" spans="3:10" ht="15.75" customHeight="1">
      <c r="C71" s="180"/>
      <c r="D71" s="218"/>
      <c r="E71" s="218"/>
      <c r="F71" s="218"/>
      <c r="G71" s="224"/>
      <c r="H71" s="218"/>
      <c r="I71" s="218"/>
      <c r="J71" s="218"/>
    </row>
    <row r="72" spans="3:10" ht="15.75" customHeight="1">
      <c r="C72" s="180"/>
      <c r="D72" s="218"/>
      <c r="E72" s="218"/>
      <c r="F72" s="218"/>
      <c r="G72" s="68"/>
      <c r="H72" s="218"/>
      <c r="I72" s="218"/>
      <c r="J72" s="218"/>
    </row>
    <row r="73" spans="3:10" ht="15.75" customHeight="1">
      <c r="C73" s="180"/>
      <c r="D73" s="218"/>
      <c r="E73" s="218"/>
      <c r="F73" s="218"/>
      <c r="G73" s="224"/>
      <c r="H73" s="218"/>
      <c r="I73" s="218"/>
      <c r="J73" s="218"/>
    </row>
    <row r="74" spans="3:10" ht="15.75" customHeight="1">
      <c r="C74" s="180"/>
      <c r="D74" s="218"/>
      <c r="E74" s="218"/>
      <c r="F74" s="218"/>
      <c r="G74" s="180"/>
      <c r="H74" s="218"/>
      <c r="I74" s="218"/>
      <c r="J74" s="218"/>
    </row>
    <row r="75" spans="3:10" ht="15.75" customHeight="1">
      <c r="C75" s="180"/>
      <c r="D75" s="218"/>
      <c r="E75" s="218"/>
      <c r="F75" s="218"/>
      <c r="G75" s="180"/>
      <c r="H75" s="218"/>
      <c r="I75" s="218"/>
      <c r="J75" s="218"/>
    </row>
    <row r="76" spans="3:10" ht="15.75" customHeight="1">
      <c r="C76" s="180"/>
      <c r="D76" s="218"/>
      <c r="E76" s="218"/>
      <c r="F76" s="218"/>
      <c r="G76" s="180"/>
      <c r="H76" s="218"/>
      <c r="I76" s="218"/>
      <c r="J76" s="218"/>
    </row>
    <row r="77" spans="3:10" ht="15.75" customHeight="1">
      <c r="C77" s="180"/>
      <c r="D77" s="218"/>
      <c r="E77" s="218"/>
      <c r="F77" s="218"/>
      <c r="G77" s="180"/>
      <c r="H77" s="218"/>
      <c r="I77" s="218"/>
      <c r="J77" s="218"/>
    </row>
    <row r="78" spans="3:10" ht="15.75" customHeight="1">
      <c r="C78" s="180"/>
      <c r="D78" s="218"/>
      <c r="E78" s="218"/>
      <c r="F78" s="218"/>
      <c r="G78" s="180"/>
      <c r="H78" s="218"/>
      <c r="I78" s="218"/>
      <c r="J78" s="218"/>
    </row>
    <row r="79" spans="3:10" ht="15.75" customHeight="1">
      <c r="C79" s="180"/>
      <c r="D79" s="218"/>
      <c r="E79" s="218"/>
      <c r="F79" s="218"/>
      <c r="G79" s="180"/>
      <c r="H79" s="218"/>
      <c r="I79" s="218"/>
      <c r="J79" s="218"/>
    </row>
    <row r="80" spans="3:10" ht="15.75" customHeight="1">
      <c r="C80" s="180"/>
      <c r="D80" s="218"/>
      <c r="E80" s="218"/>
      <c r="F80" s="218"/>
      <c r="G80" s="180"/>
      <c r="H80" s="218"/>
      <c r="I80" s="218"/>
      <c r="J80" s="218"/>
    </row>
    <row r="81" spans="3:7" ht="15.75" customHeight="1">
      <c r="C81" s="180"/>
      <c r="D81" s="218"/>
      <c r="E81" s="218"/>
      <c r="F81" s="218"/>
      <c r="G81" s="180"/>
    </row>
    <row r="82" spans="3:7" ht="15.75" customHeight="1">
      <c r="C82" s="180"/>
      <c r="D82" s="218"/>
      <c r="E82" s="218"/>
      <c r="F82" s="218"/>
      <c r="G82" s="180"/>
    </row>
    <row r="83" spans="3:7" ht="15.75" customHeight="1">
      <c r="C83" s="180"/>
      <c r="D83" s="218"/>
      <c r="E83" s="218"/>
      <c r="F83" s="218"/>
      <c r="G83" s="180"/>
    </row>
    <row r="84" spans="3:7" ht="15.75" customHeight="1">
      <c r="C84" s="180"/>
      <c r="D84" s="218"/>
      <c r="E84" s="218"/>
      <c r="F84" s="218"/>
      <c r="G84" s="180"/>
    </row>
    <row r="85" spans="3:7" ht="15.75" customHeight="1">
      <c r="C85" s="180"/>
      <c r="D85" s="218"/>
      <c r="E85" s="218"/>
      <c r="F85" s="218"/>
      <c r="G85" s="180"/>
    </row>
    <row r="86" spans="3:7" ht="15.75" customHeight="1">
      <c r="C86" s="180"/>
      <c r="D86" s="218"/>
      <c r="E86" s="218"/>
      <c r="F86" s="218"/>
      <c r="G86" s="180"/>
    </row>
    <row r="87" spans="3:7" ht="15.75" customHeight="1">
      <c r="C87" s="180"/>
      <c r="D87" s="218"/>
      <c r="E87" s="218"/>
      <c r="F87" s="218"/>
      <c r="G87" s="180"/>
    </row>
    <row r="88" spans="3:7" ht="15.75" customHeight="1">
      <c r="C88" s="180"/>
      <c r="D88" s="218"/>
      <c r="E88" s="218"/>
      <c r="F88" s="218"/>
      <c r="G88" s="180"/>
    </row>
    <row r="89" spans="3:7" ht="15.75" customHeight="1">
      <c r="C89" s="180"/>
      <c r="D89" s="218"/>
      <c r="E89" s="218"/>
      <c r="F89" s="218"/>
      <c r="G89" s="180"/>
    </row>
    <row r="90" spans="3:7" ht="15.75" customHeight="1">
      <c r="C90" s="180"/>
      <c r="D90" s="218"/>
      <c r="E90" s="218"/>
      <c r="F90" s="218"/>
      <c r="G90" s="180"/>
    </row>
    <row r="91" spans="3:7" ht="15.75" customHeight="1">
      <c r="C91" s="180"/>
      <c r="D91" s="218"/>
      <c r="E91" s="218"/>
      <c r="F91" s="218"/>
      <c r="G91" s="180"/>
    </row>
    <row r="92" spans="3:7" ht="15.75" customHeight="1">
      <c r="C92" s="180"/>
      <c r="D92" s="218"/>
      <c r="E92" s="218"/>
      <c r="F92" s="218"/>
      <c r="G92" s="180"/>
    </row>
    <row r="93" spans="3:7" ht="15.75" customHeight="1">
      <c r="C93" s="218"/>
      <c r="D93" s="218"/>
      <c r="E93" s="218"/>
      <c r="F93" s="218"/>
      <c r="G93" s="218"/>
    </row>
  </sheetData>
  <mergeCells count="18">
    <mergeCell ref="G16:I16"/>
    <mergeCell ref="G17:H17"/>
    <mergeCell ref="G18:H18"/>
    <mergeCell ref="G19:H19"/>
    <mergeCell ref="G20:H20"/>
    <mergeCell ref="H51:I51"/>
    <mergeCell ref="G21:H21"/>
    <mergeCell ref="G22:H22"/>
    <mergeCell ref="G36:H36"/>
    <mergeCell ref="G37:H37"/>
    <mergeCell ref="D40:G40"/>
    <mergeCell ref="G29:I29"/>
    <mergeCell ref="G30:H30"/>
    <mergeCell ref="G31:H31"/>
    <mergeCell ref="G32:H32"/>
    <mergeCell ref="G33:H33"/>
    <mergeCell ref="G34:H34"/>
    <mergeCell ref="G35:H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20"/>
  <sheetViews>
    <sheetView workbookViewId="0">
      <selection activeCell="E10" sqref="E10"/>
    </sheetView>
  </sheetViews>
  <sheetFormatPr defaultColWidth="14.42578125" defaultRowHeight="15.75" customHeight="1"/>
  <sheetData>
    <row r="2" spans="1:15">
      <c r="A2" s="11" t="s">
        <v>6</v>
      </c>
      <c r="B2" s="1"/>
      <c r="C2" s="1"/>
      <c r="D2" s="1"/>
      <c r="E2" s="1"/>
      <c r="F2" s="1"/>
      <c r="G2" s="1"/>
      <c r="H2" s="1"/>
      <c r="I2" s="1"/>
      <c r="J2" s="218"/>
      <c r="K2" s="218"/>
      <c r="L2" s="218"/>
      <c r="M2" s="218"/>
      <c r="N2" s="218"/>
      <c r="O2" s="218"/>
    </row>
    <row r="3" spans="1:15">
      <c r="A3" s="6"/>
      <c r="B3" s="218"/>
      <c r="C3" s="218"/>
      <c r="D3" s="218"/>
      <c r="E3" s="218"/>
      <c r="F3" s="218"/>
      <c r="G3" s="218"/>
      <c r="H3" s="218"/>
      <c r="I3" s="218"/>
      <c r="J3" s="218"/>
      <c r="K3" s="218"/>
      <c r="L3" s="218"/>
      <c r="M3" s="218"/>
      <c r="N3" s="218"/>
      <c r="O3" s="218"/>
    </row>
    <row r="4" spans="1:15">
      <c r="A4" s="7" t="s">
        <v>7</v>
      </c>
      <c r="B4" s="7" t="s">
        <v>8</v>
      </c>
      <c r="C4" s="7" t="s">
        <v>9</v>
      </c>
      <c r="D4" s="7" t="s">
        <v>10</v>
      </c>
      <c r="E4" s="7" t="s">
        <v>11</v>
      </c>
      <c r="F4" s="7" t="s">
        <v>12</v>
      </c>
      <c r="G4" s="218"/>
      <c r="H4" s="218"/>
      <c r="I4" s="218"/>
      <c r="J4" s="218"/>
      <c r="K4" s="218"/>
      <c r="L4" s="218"/>
      <c r="M4" s="218"/>
      <c r="N4" s="218"/>
      <c r="O4" s="218"/>
    </row>
    <row r="5" spans="1:15">
      <c r="A5" s="71">
        <v>0</v>
      </c>
      <c r="B5" s="71">
        <v>5115</v>
      </c>
      <c r="C5" s="71">
        <f t="shared" ref="C5:C14" si="0">B5*B5</f>
        <v>26163225</v>
      </c>
      <c r="D5" s="8">
        <f>IF(ISEVEN(LEN(C5)),C5, CONCATENATE(0,C5))</f>
        <v>26163225</v>
      </c>
      <c r="E5" s="71" t="str">
        <f t="shared" ref="E5:E14" si="1">MID(D5,3,4)</f>
        <v>1632</v>
      </c>
      <c r="F5" s="4">
        <f t="shared" ref="F5:F14" si="2">E5/10000</f>
        <v>0.16320000000000001</v>
      </c>
      <c r="G5" s="218"/>
      <c r="H5" s="218"/>
      <c r="I5" s="218"/>
      <c r="J5" s="218"/>
      <c r="K5" s="218"/>
      <c r="L5" s="218"/>
      <c r="M5" s="218"/>
      <c r="N5" s="218"/>
      <c r="O5" s="218"/>
    </row>
    <row r="6" spans="1:15">
      <c r="A6" s="71">
        <v>1</v>
      </c>
      <c r="B6" s="71" t="str">
        <f t="shared" ref="B6:B14" si="3">E5</f>
        <v>1632</v>
      </c>
      <c r="C6" s="71">
        <f t="shared" si="0"/>
        <v>2663424</v>
      </c>
      <c r="D6" s="8" t="str">
        <f>IF(ISEVEN(LEN(C6)),C6, CONCATENATE(0,C6))</f>
        <v>02663424</v>
      </c>
      <c r="E6" s="71" t="str">
        <f t="shared" si="1"/>
        <v>6634</v>
      </c>
      <c r="F6" s="4">
        <f t="shared" si="2"/>
        <v>0.66339999999999999</v>
      </c>
      <c r="G6" s="218"/>
      <c r="H6" s="218"/>
      <c r="I6" s="218"/>
      <c r="J6" s="218"/>
      <c r="K6" s="218"/>
      <c r="L6" s="218"/>
      <c r="M6" s="218"/>
      <c r="N6" s="218"/>
      <c r="O6" s="218"/>
    </row>
    <row r="7" spans="1:15">
      <c r="A7" s="71">
        <v>2</v>
      </c>
      <c r="B7" s="71" t="str">
        <f t="shared" si="3"/>
        <v>6634</v>
      </c>
      <c r="C7" s="71">
        <f t="shared" si="0"/>
        <v>44009956</v>
      </c>
      <c r="D7" s="8">
        <f t="shared" ref="D7:D14" si="4">IF(ISEVEN(LEN(C7)),C7, CONCATENATE(0,C7))</f>
        <v>44009956</v>
      </c>
      <c r="E7" s="71" t="str">
        <f>MID(D7,3,4)</f>
        <v>0099</v>
      </c>
      <c r="F7" s="4">
        <f t="shared" si="2"/>
        <v>9.9000000000000008E-3</v>
      </c>
      <c r="G7" s="218"/>
      <c r="H7" s="218"/>
      <c r="I7" s="218"/>
      <c r="J7" s="218"/>
      <c r="K7" s="218"/>
      <c r="L7" s="218"/>
      <c r="M7" s="218"/>
      <c r="N7" s="218"/>
      <c r="O7" s="218"/>
    </row>
    <row r="8" spans="1:15">
      <c r="A8" s="71">
        <v>3</v>
      </c>
      <c r="B8" s="71" t="str">
        <f t="shared" si="3"/>
        <v>0099</v>
      </c>
      <c r="C8" s="71">
        <f t="shared" si="0"/>
        <v>9801</v>
      </c>
      <c r="D8" s="8">
        <f>IF(ISEVEN(LEN(C8)),C8, CONCATENATE(0,C8))</f>
        <v>9801</v>
      </c>
      <c r="E8" s="8">
        <f>9801</f>
        <v>9801</v>
      </c>
      <c r="F8" s="4">
        <f t="shared" si="2"/>
        <v>0.98009999999999997</v>
      </c>
      <c r="G8" s="218"/>
      <c r="H8" s="218"/>
      <c r="I8" s="218"/>
      <c r="J8" s="219"/>
      <c r="K8" s="219"/>
      <c r="L8" s="219"/>
      <c r="M8" s="219"/>
      <c r="N8" s="219"/>
      <c r="O8" s="219"/>
    </row>
    <row r="9" spans="1:15">
      <c r="A9" s="71">
        <v>4</v>
      </c>
      <c r="B9" s="71">
        <f t="shared" si="3"/>
        <v>9801</v>
      </c>
      <c r="C9" s="71">
        <f t="shared" si="0"/>
        <v>96059601</v>
      </c>
      <c r="D9" s="8">
        <f t="shared" si="4"/>
        <v>96059601</v>
      </c>
      <c r="E9" s="71" t="str">
        <f>MID(D9,3,4)</f>
        <v>0596</v>
      </c>
      <c r="F9" s="4">
        <f t="shared" si="2"/>
        <v>5.96E-2</v>
      </c>
      <c r="G9" s="218"/>
      <c r="H9" s="218"/>
      <c r="I9" s="218"/>
      <c r="J9" s="219"/>
      <c r="K9" s="219"/>
      <c r="L9" s="219"/>
      <c r="M9" s="220"/>
      <c r="N9" s="219"/>
      <c r="O9" s="219"/>
    </row>
    <row r="10" spans="1:15">
      <c r="A10" s="71">
        <v>5</v>
      </c>
      <c r="B10" s="71" t="str">
        <f t="shared" si="3"/>
        <v>0596</v>
      </c>
      <c r="C10" s="71">
        <f t="shared" si="0"/>
        <v>355216</v>
      </c>
      <c r="D10" s="8">
        <f t="shared" si="4"/>
        <v>355216</v>
      </c>
      <c r="E10" s="221">
        <v>5521</v>
      </c>
      <c r="F10" s="202">
        <f t="shared" si="2"/>
        <v>0.55210000000000004</v>
      </c>
      <c r="G10" s="203" t="s">
        <v>13</v>
      </c>
      <c r="H10" s="218"/>
      <c r="I10" s="218"/>
      <c r="J10" s="219"/>
      <c r="K10" s="219"/>
      <c r="L10" s="219"/>
      <c r="M10" s="220"/>
      <c r="N10" s="219"/>
      <c r="O10" s="219"/>
    </row>
    <row r="11" spans="1:15">
      <c r="A11" s="71">
        <v>6</v>
      </c>
      <c r="B11" s="71">
        <f t="shared" si="3"/>
        <v>5521</v>
      </c>
      <c r="C11" s="71">
        <f t="shared" si="0"/>
        <v>30481441</v>
      </c>
      <c r="D11" s="8">
        <f t="shared" si="4"/>
        <v>30481441</v>
      </c>
      <c r="E11" s="71" t="str">
        <f t="shared" si="1"/>
        <v>4814</v>
      </c>
      <c r="F11" s="202">
        <f t="shared" si="2"/>
        <v>0.48139999999999999</v>
      </c>
      <c r="G11" s="203" t="s">
        <v>14</v>
      </c>
      <c r="H11" s="218"/>
      <c r="I11" s="218"/>
      <c r="J11" s="219"/>
      <c r="K11" s="219"/>
      <c r="L11" s="219"/>
      <c r="M11" s="220"/>
      <c r="N11" s="219"/>
      <c r="O11" s="219"/>
    </row>
    <row r="12" spans="1:15">
      <c r="A12" s="71">
        <v>7</v>
      </c>
      <c r="B12" s="71" t="str">
        <f t="shared" si="3"/>
        <v>4814</v>
      </c>
      <c r="C12" s="71">
        <f t="shared" si="0"/>
        <v>23174596</v>
      </c>
      <c r="D12" s="8">
        <f t="shared" si="4"/>
        <v>23174596</v>
      </c>
      <c r="E12" s="71" t="str">
        <f t="shared" si="1"/>
        <v>1745</v>
      </c>
      <c r="F12" s="202">
        <f t="shared" si="2"/>
        <v>0.17449999999999999</v>
      </c>
      <c r="G12" s="222" t="s">
        <v>15</v>
      </c>
      <c r="H12" s="218"/>
      <c r="I12" s="218"/>
      <c r="J12" s="219"/>
      <c r="K12" s="219"/>
      <c r="L12" s="219"/>
      <c r="M12" s="220"/>
      <c r="N12" s="219"/>
      <c r="O12" s="219"/>
    </row>
    <row r="13" spans="1:15">
      <c r="A13" s="71">
        <v>8</v>
      </c>
      <c r="B13" s="71" t="str">
        <f t="shared" si="3"/>
        <v>1745</v>
      </c>
      <c r="C13" s="71">
        <f t="shared" si="0"/>
        <v>3045025</v>
      </c>
      <c r="D13" s="8" t="str">
        <f t="shared" si="4"/>
        <v>03045025</v>
      </c>
      <c r="E13" s="71" t="str">
        <f t="shared" si="1"/>
        <v>0450</v>
      </c>
      <c r="F13" s="202">
        <f t="shared" si="2"/>
        <v>4.4999999999999998E-2</v>
      </c>
      <c r="G13" s="218"/>
      <c r="H13" s="218"/>
      <c r="I13" s="218"/>
      <c r="J13" s="219"/>
      <c r="K13" s="219"/>
      <c r="L13" s="219"/>
      <c r="M13" s="220"/>
      <c r="N13" s="219"/>
      <c r="O13" s="219"/>
    </row>
    <row r="14" spans="1:15">
      <c r="A14" s="71">
        <v>9</v>
      </c>
      <c r="B14" s="71" t="str">
        <f t="shared" si="3"/>
        <v>0450</v>
      </c>
      <c r="C14" s="71">
        <f t="shared" si="0"/>
        <v>202500</v>
      </c>
      <c r="D14" s="8">
        <f t="shared" si="4"/>
        <v>202500</v>
      </c>
      <c r="E14" s="71" t="str">
        <f t="shared" si="1"/>
        <v>2500</v>
      </c>
      <c r="F14" s="202">
        <f t="shared" si="2"/>
        <v>0.25</v>
      </c>
      <c r="G14" s="218"/>
      <c r="H14" s="218"/>
      <c r="I14" s="218"/>
      <c r="J14" s="219"/>
      <c r="K14" s="219"/>
      <c r="L14" s="219"/>
      <c r="M14" s="220"/>
      <c r="N14" s="219"/>
      <c r="O14" s="219"/>
    </row>
    <row r="15" spans="1:15">
      <c r="A15" s="218"/>
      <c r="B15" s="218"/>
      <c r="C15" s="218"/>
      <c r="D15" s="218"/>
      <c r="E15" s="218"/>
      <c r="F15" s="218"/>
      <c r="G15" s="218"/>
      <c r="H15" s="218"/>
      <c r="I15" s="218"/>
      <c r="J15" s="219"/>
      <c r="K15" s="219"/>
      <c r="L15" s="219"/>
      <c r="M15" s="220"/>
      <c r="N15" s="219"/>
      <c r="O15" s="219"/>
    </row>
    <row r="16" spans="1:15">
      <c r="A16" s="114"/>
      <c r="B16" s="218"/>
      <c r="C16" s="218"/>
      <c r="D16" s="218"/>
      <c r="E16" s="218"/>
      <c r="F16" s="218"/>
      <c r="G16" s="218"/>
      <c r="H16" s="218"/>
      <c r="I16" s="218"/>
      <c r="J16" s="219"/>
      <c r="K16" s="219"/>
      <c r="L16" s="219"/>
      <c r="M16" s="220"/>
      <c r="N16" s="219"/>
      <c r="O16" s="219"/>
    </row>
    <row r="17" spans="2:15">
      <c r="B17" s="218"/>
      <c r="C17" s="218"/>
      <c r="D17" s="218"/>
      <c r="E17" s="218"/>
      <c r="F17" s="218"/>
      <c r="G17" s="218"/>
      <c r="H17" s="218"/>
      <c r="I17" s="218"/>
      <c r="J17" s="219"/>
      <c r="K17" s="219"/>
      <c r="L17" s="219"/>
      <c r="M17" s="220"/>
      <c r="N17" s="219"/>
      <c r="O17" s="219"/>
    </row>
    <row r="18" spans="2:15">
      <c r="B18" s="218"/>
      <c r="C18" s="218"/>
      <c r="D18" s="218"/>
      <c r="E18" s="218"/>
      <c r="F18" s="218"/>
      <c r="G18" s="218"/>
      <c r="H18" s="218"/>
      <c r="I18" s="218"/>
      <c r="J18" s="219"/>
      <c r="K18" s="219"/>
      <c r="L18" s="219"/>
      <c r="M18" s="220"/>
      <c r="N18" s="219"/>
      <c r="O18" s="219"/>
    </row>
    <row r="19" spans="2:15">
      <c r="B19" s="219"/>
      <c r="C19" s="219"/>
      <c r="D19" s="220"/>
      <c r="E19" s="219"/>
      <c r="F19" s="219"/>
      <c r="G19" s="218"/>
      <c r="H19" s="218"/>
      <c r="I19" s="218"/>
      <c r="J19" s="218"/>
      <c r="K19" s="218"/>
      <c r="L19" s="218"/>
      <c r="M19" s="218"/>
      <c r="N19" s="218"/>
      <c r="O19" s="218"/>
    </row>
    <row r="20" spans="2:15">
      <c r="B20" s="219"/>
      <c r="C20" s="218"/>
      <c r="D20" s="218"/>
      <c r="E20" s="218"/>
      <c r="F20" s="218"/>
      <c r="G20" s="218"/>
      <c r="H20" s="218"/>
      <c r="I20" s="218"/>
      <c r="J20" s="218"/>
      <c r="K20" s="218"/>
      <c r="L20" s="218"/>
      <c r="M20" s="218"/>
      <c r="N20" s="218"/>
      <c r="O20" s="218"/>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8"/>
  <sheetViews>
    <sheetView workbookViewId="0">
      <selection activeCell="I19" sqref="I19"/>
    </sheetView>
  </sheetViews>
  <sheetFormatPr defaultColWidth="14.42578125" defaultRowHeight="15.75" customHeight="1"/>
  <sheetData>
    <row r="1" spans="1:10" ht="14.25">
      <c r="A1" s="11" t="s">
        <v>16</v>
      </c>
      <c r="B1" s="1"/>
      <c r="C1" s="1"/>
      <c r="D1" s="1"/>
      <c r="E1" s="1"/>
      <c r="F1" s="1"/>
      <c r="G1" s="1"/>
      <c r="H1" s="1"/>
      <c r="I1" s="1"/>
      <c r="J1" s="1"/>
    </row>
    <row r="2" spans="1:10" ht="14.25">
      <c r="A2" s="2"/>
      <c r="B2" s="1"/>
      <c r="C2" s="1"/>
      <c r="D2" s="1"/>
      <c r="E2" s="1"/>
      <c r="F2" s="1"/>
      <c r="G2" s="1"/>
      <c r="H2" s="1"/>
      <c r="I2" s="1"/>
      <c r="J2" s="1"/>
    </row>
    <row r="4" spans="1:10" ht="12.75">
      <c r="A4" s="3" t="s">
        <v>7</v>
      </c>
      <c r="B4" s="3" t="s">
        <v>8</v>
      </c>
      <c r="C4" s="3" t="s">
        <v>11</v>
      </c>
      <c r="D4" s="3" t="s">
        <v>17</v>
      </c>
      <c r="E4" s="3" t="s">
        <v>18</v>
      </c>
      <c r="F4" s="3" t="s">
        <v>19</v>
      </c>
      <c r="G4" s="3" t="s">
        <v>12</v>
      </c>
      <c r="H4" s="218"/>
      <c r="I4" s="218"/>
      <c r="J4" s="218"/>
    </row>
    <row r="5" spans="1:10" ht="12.75">
      <c r="A5" s="71">
        <v>0</v>
      </c>
      <c r="B5" s="120">
        <v>5215</v>
      </c>
      <c r="C5" s="120">
        <v>5836</v>
      </c>
      <c r="D5" s="120">
        <f t="shared" ref="D5:D14" si="0">B5*C5</f>
        <v>30434740</v>
      </c>
      <c r="E5" s="120">
        <f>IF(ISODD(LEN(D5)),CONCATENATE(0,D5), D5)</f>
        <v>30434740</v>
      </c>
      <c r="F5" s="120" t="str">
        <f t="shared" ref="F5:F14" si="1">MID(E5,3,4)</f>
        <v>4347</v>
      </c>
      <c r="G5" s="120">
        <f t="shared" ref="G5:G14" si="2">F5/10000</f>
        <v>0.43469999999999998</v>
      </c>
      <c r="H5" s="218"/>
      <c r="I5" s="218"/>
      <c r="J5" s="218"/>
    </row>
    <row r="6" spans="1:10" ht="12.75">
      <c r="A6" s="71">
        <v>1</v>
      </c>
      <c r="B6" s="120">
        <f t="shared" ref="B6:B14" si="3">C5</f>
        <v>5836</v>
      </c>
      <c r="C6" s="120" t="str">
        <f t="shared" ref="C6:C14" si="4">F5</f>
        <v>4347</v>
      </c>
      <c r="D6" s="120">
        <f t="shared" si="0"/>
        <v>25369092</v>
      </c>
      <c r="E6" s="120">
        <f t="shared" ref="E6:E14" si="5">IF(ISODD(LEN(D6)),CONCATENATE(0,D6), D6)</f>
        <v>25369092</v>
      </c>
      <c r="F6" s="120" t="str">
        <f t="shared" si="1"/>
        <v>3690</v>
      </c>
      <c r="G6" s="120">
        <f t="shared" si="2"/>
        <v>0.36899999999999999</v>
      </c>
      <c r="H6" s="218"/>
      <c r="I6" s="218"/>
      <c r="J6" s="218"/>
    </row>
    <row r="7" spans="1:10" ht="12.75">
      <c r="A7" s="71">
        <v>2</v>
      </c>
      <c r="B7" s="120" t="str">
        <f t="shared" si="3"/>
        <v>4347</v>
      </c>
      <c r="C7" s="120" t="str">
        <f t="shared" si="4"/>
        <v>3690</v>
      </c>
      <c r="D7" s="120">
        <f t="shared" si="0"/>
        <v>16040430</v>
      </c>
      <c r="E7" s="120">
        <f t="shared" si="5"/>
        <v>16040430</v>
      </c>
      <c r="F7" s="120" t="str">
        <f t="shared" si="1"/>
        <v>0404</v>
      </c>
      <c r="G7" s="120">
        <f t="shared" si="2"/>
        <v>4.0399999999999998E-2</v>
      </c>
      <c r="H7" s="218"/>
      <c r="I7" s="218"/>
      <c r="J7" s="218"/>
    </row>
    <row r="8" spans="1:10" ht="12.75">
      <c r="A8" s="71">
        <v>3</v>
      </c>
      <c r="B8" s="120" t="str">
        <f t="shared" si="3"/>
        <v>3690</v>
      </c>
      <c r="C8" s="120" t="str">
        <f t="shared" si="4"/>
        <v>0404</v>
      </c>
      <c r="D8" s="120">
        <f t="shared" si="0"/>
        <v>1490760</v>
      </c>
      <c r="E8" s="120" t="str">
        <f t="shared" si="5"/>
        <v>01490760</v>
      </c>
      <c r="F8" s="120" t="str">
        <f t="shared" si="1"/>
        <v>4907</v>
      </c>
      <c r="G8" s="120">
        <f t="shared" si="2"/>
        <v>0.49070000000000003</v>
      </c>
      <c r="H8" s="218"/>
      <c r="I8" s="218"/>
      <c r="J8" s="218"/>
    </row>
    <row r="9" spans="1:10" ht="12.75">
      <c r="A9" s="71">
        <v>4</v>
      </c>
      <c r="B9" s="120" t="str">
        <f t="shared" si="3"/>
        <v>0404</v>
      </c>
      <c r="C9" s="120" t="str">
        <f t="shared" si="4"/>
        <v>4907</v>
      </c>
      <c r="D9" s="120">
        <f t="shared" si="0"/>
        <v>1982428</v>
      </c>
      <c r="E9" s="120" t="str">
        <f t="shared" si="5"/>
        <v>01982428</v>
      </c>
      <c r="F9" s="120" t="str">
        <f t="shared" si="1"/>
        <v>9824</v>
      </c>
      <c r="G9" s="120">
        <f t="shared" si="2"/>
        <v>0.98240000000000005</v>
      </c>
      <c r="H9" s="218"/>
      <c r="I9" s="218"/>
      <c r="J9" s="218"/>
    </row>
    <row r="10" spans="1:10" ht="12.75">
      <c r="A10" s="71">
        <v>5</v>
      </c>
      <c r="B10" s="120" t="str">
        <f t="shared" si="3"/>
        <v>4907</v>
      </c>
      <c r="C10" s="120" t="str">
        <f t="shared" si="4"/>
        <v>9824</v>
      </c>
      <c r="D10" s="120">
        <f t="shared" si="0"/>
        <v>48206368</v>
      </c>
      <c r="E10" s="120">
        <f t="shared" si="5"/>
        <v>48206368</v>
      </c>
      <c r="F10" s="120" t="str">
        <f t="shared" si="1"/>
        <v>2063</v>
      </c>
      <c r="G10" s="120">
        <f t="shared" si="2"/>
        <v>0.20630000000000001</v>
      </c>
      <c r="H10" s="218"/>
      <c r="I10" s="218"/>
      <c r="J10" s="218"/>
    </row>
    <row r="11" spans="1:10" ht="12.75">
      <c r="A11" s="71">
        <v>6</v>
      </c>
      <c r="B11" s="120" t="str">
        <f t="shared" si="3"/>
        <v>9824</v>
      </c>
      <c r="C11" s="120" t="str">
        <f t="shared" si="4"/>
        <v>2063</v>
      </c>
      <c r="D11" s="120">
        <f t="shared" si="0"/>
        <v>20266912</v>
      </c>
      <c r="E11" s="120">
        <f t="shared" si="5"/>
        <v>20266912</v>
      </c>
      <c r="F11" s="120" t="str">
        <f t="shared" si="1"/>
        <v>2669</v>
      </c>
      <c r="G11" s="120">
        <f t="shared" si="2"/>
        <v>0.26690000000000003</v>
      </c>
      <c r="H11" s="218"/>
      <c r="I11" s="218"/>
      <c r="J11" s="218"/>
    </row>
    <row r="12" spans="1:10" ht="12.75">
      <c r="A12" s="71">
        <v>7</v>
      </c>
      <c r="B12" s="120" t="str">
        <f t="shared" si="3"/>
        <v>2063</v>
      </c>
      <c r="C12" s="120" t="str">
        <f t="shared" si="4"/>
        <v>2669</v>
      </c>
      <c r="D12" s="120">
        <f t="shared" si="0"/>
        <v>5506147</v>
      </c>
      <c r="E12" s="120" t="str">
        <f t="shared" si="5"/>
        <v>05506147</v>
      </c>
      <c r="F12" s="120" t="str">
        <f t="shared" si="1"/>
        <v>5061</v>
      </c>
      <c r="G12" s="120">
        <f t="shared" si="2"/>
        <v>0.50609999999999999</v>
      </c>
      <c r="H12" s="218"/>
      <c r="I12" s="218"/>
      <c r="J12" s="218"/>
    </row>
    <row r="13" spans="1:10" ht="12.75">
      <c r="A13" s="71">
        <v>8</v>
      </c>
      <c r="B13" s="120" t="str">
        <f t="shared" si="3"/>
        <v>2669</v>
      </c>
      <c r="C13" s="120" t="str">
        <f t="shared" si="4"/>
        <v>5061</v>
      </c>
      <c r="D13" s="120">
        <f t="shared" si="0"/>
        <v>13507809</v>
      </c>
      <c r="E13" s="120">
        <f t="shared" si="5"/>
        <v>13507809</v>
      </c>
      <c r="F13" s="120" t="str">
        <f t="shared" si="1"/>
        <v>5078</v>
      </c>
      <c r="G13" s="120">
        <f t="shared" si="2"/>
        <v>0.50780000000000003</v>
      </c>
      <c r="H13" s="218"/>
      <c r="I13" s="218"/>
      <c r="J13" s="218"/>
    </row>
    <row r="14" spans="1:10" ht="12.75">
      <c r="A14" s="71">
        <v>9</v>
      </c>
      <c r="B14" s="120" t="str">
        <f t="shared" si="3"/>
        <v>5061</v>
      </c>
      <c r="C14" s="120" t="str">
        <f t="shared" si="4"/>
        <v>5078</v>
      </c>
      <c r="D14" s="120">
        <f t="shared" si="0"/>
        <v>25699758</v>
      </c>
      <c r="E14" s="120">
        <f t="shared" si="5"/>
        <v>25699758</v>
      </c>
      <c r="F14" s="120" t="str">
        <f t="shared" si="1"/>
        <v>6997</v>
      </c>
      <c r="G14" s="120">
        <f t="shared" si="2"/>
        <v>0.69969999999999999</v>
      </c>
      <c r="H14" s="218"/>
      <c r="I14" s="218"/>
      <c r="J14" s="218"/>
    </row>
    <row r="16" spans="1:10" ht="15.75" customHeight="1">
      <c r="A16" s="114"/>
      <c r="B16" s="218"/>
      <c r="C16" s="218"/>
      <c r="D16" s="218"/>
      <c r="E16" s="218"/>
      <c r="F16" s="218"/>
      <c r="G16" s="218"/>
      <c r="H16" s="218"/>
      <c r="I16" s="218"/>
      <c r="J16" s="218"/>
    </row>
    <row r="17" spans="1:1" ht="15.75" customHeight="1">
      <c r="A17" s="114"/>
    </row>
    <row r="18" spans="1:1" ht="15.75" customHeight="1">
      <c r="A18" s="12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8"/>
  <sheetViews>
    <sheetView zoomScaleNormal="100" workbookViewId="0">
      <selection activeCell="D20" sqref="D20"/>
    </sheetView>
  </sheetViews>
  <sheetFormatPr defaultColWidth="14.42578125" defaultRowHeight="15.75" customHeight="1"/>
  <sheetData>
    <row r="1" spans="1:7" ht="12.75">
      <c r="A1" s="9" t="s">
        <v>20</v>
      </c>
      <c r="B1" s="218"/>
      <c r="C1" s="218"/>
      <c r="D1" s="218"/>
      <c r="E1" s="218"/>
      <c r="F1" s="218"/>
      <c r="G1" s="218"/>
    </row>
    <row r="2" spans="1:7" ht="12.75">
      <c r="A2" s="9" t="s">
        <v>21</v>
      </c>
      <c r="B2" s="218"/>
      <c r="C2" s="218"/>
      <c r="D2" s="218"/>
      <c r="E2" s="218"/>
      <c r="F2" s="218"/>
      <c r="G2" s="218"/>
    </row>
    <row r="5" spans="1:7" ht="12.75">
      <c r="A5" s="3" t="s">
        <v>7</v>
      </c>
      <c r="B5" s="3" t="s">
        <v>22</v>
      </c>
      <c r="C5" s="3" t="s">
        <v>11</v>
      </c>
      <c r="D5" s="3" t="s">
        <v>17</v>
      </c>
      <c r="E5" s="3" t="s">
        <v>18</v>
      </c>
      <c r="F5" s="3" t="s">
        <v>19</v>
      </c>
      <c r="G5" s="3" t="s">
        <v>12</v>
      </c>
    </row>
    <row r="6" spans="1:7" ht="12.75">
      <c r="A6" s="71">
        <v>0</v>
      </c>
      <c r="B6" s="71">
        <v>3724</v>
      </c>
      <c r="C6" s="71">
        <v>5215</v>
      </c>
      <c r="D6" s="71">
        <f t="shared" ref="D6:D15" si="0">B6*C6</f>
        <v>19420660</v>
      </c>
      <c r="E6" s="71">
        <f>IF(ISODD(LEN(D6)),CONCATENATE(0,D6), D6)</f>
        <v>19420660</v>
      </c>
      <c r="F6" s="71" t="str">
        <f t="shared" ref="F6:F14" si="1">MID(E6,3,4)</f>
        <v>4206</v>
      </c>
      <c r="G6" s="4">
        <f t="shared" ref="G6:G15" si="2">F6/10000</f>
        <v>0.42059999999999997</v>
      </c>
    </row>
    <row r="7" spans="1:7" ht="12.75">
      <c r="A7" s="71">
        <v>1</v>
      </c>
      <c r="B7" s="71">
        <v>3724</v>
      </c>
      <c r="C7" s="10" t="str">
        <f t="shared" ref="C7:C15" si="3">F6</f>
        <v>4206</v>
      </c>
      <c r="D7" s="71">
        <f t="shared" si="0"/>
        <v>15663144</v>
      </c>
      <c r="E7" s="71">
        <f t="shared" ref="E7:E14" si="4">IF(ISODD(LEN(D7)),CONCATENATE(0,D7), D7)</f>
        <v>15663144</v>
      </c>
      <c r="F7" s="71" t="str">
        <f t="shared" si="1"/>
        <v>6631</v>
      </c>
      <c r="G7" s="4">
        <f t="shared" si="2"/>
        <v>0.66310000000000002</v>
      </c>
    </row>
    <row r="8" spans="1:7" ht="12.75">
      <c r="A8" s="71">
        <v>2</v>
      </c>
      <c r="B8" s="71">
        <v>3724</v>
      </c>
      <c r="C8" s="10" t="str">
        <f t="shared" si="3"/>
        <v>6631</v>
      </c>
      <c r="D8" s="71">
        <f t="shared" si="0"/>
        <v>24693844</v>
      </c>
      <c r="E8" s="71">
        <f t="shared" si="4"/>
        <v>24693844</v>
      </c>
      <c r="F8" s="71" t="str">
        <f t="shared" si="1"/>
        <v>6938</v>
      </c>
      <c r="G8" s="4">
        <f t="shared" si="2"/>
        <v>0.69379999999999997</v>
      </c>
    </row>
    <row r="9" spans="1:7" ht="12.75">
      <c r="A9" s="71">
        <v>3</v>
      </c>
      <c r="B9" s="71">
        <v>3724</v>
      </c>
      <c r="C9" s="10" t="str">
        <f t="shared" si="3"/>
        <v>6938</v>
      </c>
      <c r="D9" s="71">
        <f t="shared" si="0"/>
        <v>25837112</v>
      </c>
      <c r="E9" s="71">
        <f t="shared" si="4"/>
        <v>25837112</v>
      </c>
      <c r="F9" s="71" t="str">
        <f t="shared" si="1"/>
        <v>8371</v>
      </c>
      <c r="G9" s="4">
        <f t="shared" si="2"/>
        <v>0.83709999999999996</v>
      </c>
    </row>
    <row r="10" spans="1:7" ht="12.75">
      <c r="A10" s="21">
        <v>4</v>
      </c>
      <c r="B10" s="21">
        <v>3724</v>
      </c>
      <c r="C10" s="122" t="str">
        <f t="shared" si="3"/>
        <v>8371</v>
      </c>
      <c r="D10" s="21">
        <f t="shared" si="0"/>
        <v>31173604</v>
      </c>
      <c r="E10" s="21">
        <f t="shared" si="4"/>
        <v>31173604</v>
      </c>
      <c r="F10" s="21" t="str">
        <f t="shared" si="1"/>
        <v>1736</v>
      </c>
      <c r="G10" s="123">
        <f t="shared" si="2"/>
        <v>0.1736</v>
      </c>
    </row>
    <row r="11" spans="1:7" ht="12.75">
      <c r="A11" s="124">
        <v>5</v>
      </c>
      <c r="B11" s="124">
        <v>3724</v>
      </c>
      <c r="C11" s="125" t="str">
        <f t="shared" si="3"/>
        <v>1736</v>
      </c>
      <c r="D11" s="124">
        <f t="shared" si="0"/>
        <v>6464864</v>
      </c>
      <c r="E11" s="124" t="str">
        <f t="shared" si="4"/>
        <v>06464864</v>
      </c>
      <c r="F11" s="124" t="str">
        <f t="shared" si="1"/>
        <v>4648</v>
      </c>
      <c r="G11" s="126">
        <f t="shared" si="2"/>
        <v>0.46479999999999999</v>
      </c>
    </row>
    <row r="12" spans="1:7" ht="12.75">
      <c r="A12" s="124">
        <v>6</v>
      </c>
      <c r="B12" s="124">
        <v>3724</v>
      </c>
      <c r="C12" s="125" t="str">
        <f t="shared" si="3"/>
        <v>4648</v>
      </c>
      <c r="D12" s="124">
        <f t="shared" si="0"/>
        <v>17309152</v>
      </c>
      <c r="E12" s="124">
        <f t="shared" si="4"/>
        <v>17309152</v>
      </c>
      <c r="F12" s="124" t="str">
        <f t="shared" si="1"/>
        <v>3091</v>
      </c>
      <c r="G12" s="126">
        <f t="shared" si="2"/>
        <v>0.30909999999999999</v>
      </c>
    </row>
    <row r="13" spans="1:7" ht="12.75">
      <c r="A13" s="124">
        <v>7</v>
      </c>
      <c r="B13" s="124">
        <v>3724</v>
      </c>
      <c r="C13" s="125" t="str">
        <f t="shared" si="3"/>
        <v>3091</v>
      </c>
      <c r="D13" s="124">
        <f t="shared" si="0"/>
        <v>11510884</v>
      </c>
      <c r="E13" s="124">
        <f t="shared" si="4"/>
        <v>11510884</v>
      </c>
      <c r="F13" s="124" t="str">
        <f t="shared" si="1"/>
        <v>5108</v>
      </c>
      <c r="G13" s="126">
        <f t="shared" si="2"/>
        <v>0.51080000000000003</v>
      </c>
    </row>
    <row r="14" spans="1:7" ht="12.75">
      <c r="A14" s="124">
        <v>8</v>
      </c>
      <c r="B14" s="124">
        <v>3724</v>
      </c>
      <c r="C14" s="125" t="str">
        <f t="shared" si="3"/>
        <v>5108</v>
      </c>
      <c r="D14" s="124">
        <f t="shared" si="0"/>
        <v>19022192</v>
      </c>
      <c r="E14" s="124">
        <f t="shared" si="4"/>
        <v>19022192</v>
      </c>
      <c r="F14" s="124" t="str">
        <f t="shared" si="1"/>
        <v>0221</v>
      </c>
      <c r="G14" s="126">
        <f t="shared" si="2"/>
        <v>2.2100000000000002E-2</v>
      </c>
    </row>
    <row r="15" spans="1:7" ht="12.75">
      <c r="A15" s="124">
        <v>9</v>
      </c>
      <c r="B15" s="124">
        <v>3724</v>
      </c>
      <c r="C15" s="125" t="str">
        <f t="shared" si="3"/>
        <v>0221</v>
      </c>
      <c r="D15" s="124">
        <f t="shared" si="0"/>
        <v>823004</v>
      </c>
      <c r="E15" s="124">
        <f>IF(ISODD(LEN(D15)),CONCATENATE(0,D15), D15)</f>
        <v>823004</v>
      </c>
      <c r="F15" s="124">
        <v>2300</v>
      </c>
      <c r="G15" s="126">
        <f t="shared" si="2"/>
        <v>0.23</v>
      </c>
    </row>
    <row r="16" spans="1:7" ht="12.75">
      <c r="A16" s="218"/>
      <c r="B16" s="219"/>
      <c r="C16" s="218"/>
      <c r="D16" s="218"/>
      <c r="E16" s="218"/>
      <c r="F16" s="218"/>
      <c r="G16" s="218"/>
    </row>
    <row r="17" spans="1:1" ht="15.75" customHeight="1">
      <c r="A17" s="114"/>
    </row>
    <row r="18" spans="1:1" ht="15.75" customHeight="1">
      <c r="A18"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8"/>
  <sheetViews>
    <sheetView topLeftCell="E7" workbookViewId="0">
      <selection activeCell="H17" sqref="H17"/>
    </sheetView>
  </sheetViews>
  <sheetFormatPr defaultColWidth="14.42578125" defaultRowHeight="15.75" customHeight="1"/>
  <sheetData>
    <row r="1" spans="1:14">
      <c r="A1" s="79" t="s">
        <v>23</v>
      </c>
      <c r="B1" s="218"/>
      <c r="C1" s="218"/>
      <c r="D1" s="218"/>
      <c r="E1" s="218"/>
      <c r="F1" s="218"/>
      <c r="G1" s="218"/>
      <c r="H1" s="218"/>
      <c r="I1" s="218"/>
      <c r="J1" s="218"/>
      <c r="K1" s="218"/>
      <c r="L1" s="218"/>
      <c r="M1" s="218"/>
      <c r="N1" s="218"/>
    </row>
    <row r="2" spans="1:14">
      <c r="A2" s="11" t="s">
        <v>24</v>
      </c>
      <c r="B2" s="1"/>
      <c r="C2" s="1"/>
      <c r="D2" s="1"/>
      <c r="E2" s="1"/>
      <c r="F2" s="1"/>
      <c r="G2" s="1"/>
      <c r="H2" s="1"/>
      <c r="I2" s="1"/>
      <c r="J2" s="1"/>
      <c r="K2" s="1"/>
      <c r="L2" s="218"/>
      <c r="M2" s="1"/>
      <c r="N2" s="13"/>
    </row>
    <row r="3" spans="1:14">
      <c r="A3" s="11" t="s">
        <v>25</v>
      </c>
      <c r="B3" s="1"/>
      <c r="C3" s="1"/>
      <c r="D3" s="1"/>
      <c r="E3" s="1"/>
      <c r="F3" s="1"/>
      <c r="G3" s="1"/>
      <c r="H3" s="1"/>
      <c r="I3" s="1"/>
      <c r="J3" s="1"/>
      <c r="K3" s="1"/>
      <c r="L3" s="1"/>
      <c r="M3" s="1"/>
      <c r="N3" s="13"/>
    </row>
    <row r="4" spans="1:14">
      <c r="A4" s="11" t="s">
        <v>26</v>
      </c>
      <c r="B4" s="1"/>
      <c r="C4" s="1"/>
      <c r="D4" s="1"/>
      <c r="E4" s="1"/>
      <c r="F4" s="1"/>
      <c r="G4" s="218"/>
      <c r="H4" s="1"/>
      <c r="I4" s="1"/>
      <c r="J4" s="1"/>
      <c r="K4" s="1"/>
      <c r="L4" s="1"/>
      <c r="M4" s="1"/>
      <c r="N4" s="13"/>
    </row>
    <row r="5" spans="1:14">
      <c r="A5" s="6"/>
      <c r="B5" s="218"/>
      <c r="C5" s="218"/>
      <c r="D5" s="218"/>
      <c r="E5" s="218"/>
      <c r="F5" s="218"/>
      <c r="G5" s="218"/>
      <c r="H5" s="218"/>
      <c r="I5" s="218"/>
      <c r="J5" s="218"/>
      <c r="K5" s="218"/>
      <c r="L5" s="218"/>
      <c r="M5" s="218"/>
      <c r="N5" s="218"/>
    </row>
    <row r="6" spans="1:14">
      <c r="A6" s="79" t="s">
        <v>27</v>
      </c>
      <c r="B6" s="218"/>
      <c r="C6" s="218"/>
      <c r="D6" s="218"/>
      <c r="E6" s="218"/>
      <c r="F6" s="218"/>
      <c r="G6" s="218"/>
      <c r="H6" s="218"/>
      <c r="I6" s="218"/>
      <c r="J6" s="218"/>
      <c r="K6" s="218"/>
      <c r="L6" s="218"/>
      <c r="M6" s="218"/>
      <c r="N6" s="218"/>
    </row>
    <row r="8" spans="1:14">
      <c r="A8" s="79" t="s">
        <v>28</v>
      </c>
      <c r="B8" s="79" t="s">
        <v>29</v>
      </c>
      <c r="C8" s="218"/>
      <c r="D8" s="218"/>
      <c r="E8" s="218"/>
      <c r="F8" s="218"/>
      <c r="G8" s="218"/>
      <c r="H8" s="218"/>
      <c r="I8" s="218"/>
      <c r="J8" s="218"/>
      <c r="K8" s="218"/>
      <c r="L8" s="218"/>
      <c r="M8" s="218"/>
      <c r="N8" s="218"/>
    </row>
    <row r="9" spans="1:14">
      <c r="A9" s="16">
        <f>2^B15</f>
        <v>16</v>
      </c>
      <c r="B9" s="218"/>
      <c r="C9" s="218"/>
      <c r="D9" s="218"/>
      <c r="E9" s="218"/>
      <c r="F9" s="218"/>
      <c r="G9" s="218"/>
      <c r="H9" s="218"/>
      <c r="I9" s="218"/>
      <c r="J9" s="218"/>
      <c r="K9" s="218"/>
      <c r="L9" s="218"/>
      <c r="M9" s="218"/>
      <c r="N9" s="218"/>
    </row>
    <row r="10" spans="1:14">
      <c r="A10" s="218"/>
      <c r="B10" s="218"/>
      <c r="C10" s="218"/>
      <c r="D10" s="218"/>
      <c r="E10" s="218"/>
      <c r="F10" s="218"/>
      <c r="G10" s="218"/>
      <c r="H10" s="79" t="s">
        <v>30</v>
      </c>
      <c r="I10" s="121"/>
      <c r="J10" s="121"/>
      <c r="K10" s="121"/>
      <c r="L10" s="121"/>
      <c r="M10" s="121"/>
      <c r="N10" s="121"/>
    </row>
    <row r="11" spans="1:14">
      <c r="A11" s="218"/>
      <c r="B11" s="218"/>
      <c r="C11" s="218"/>
      <c r="D11" s="18" t="s">
        <v>7</v>
      </c>
      <c r="E11" s="18" t="s">
        <v>8</v>
      </c>
      <c r="F11" s="18" t="s">
        <v>11</v>
      </c>
      <c r="G11" s="18" t="s">
        <v>31</v>
      </c>
      <c r="H11" s="203" t="s">
        <v>32</v>
      </c>
      <c r="I11" s="121"/>
      <c r="J11" s="121"/>
      <c r="K11" s="121"/>
      <c r="L11" s="121"/>
      <c r="M11" s="121"/>
      <c r="N11" s="121"/>
    </row>
    <row r="12" spans="1:14">
      <c r="A12" s="19" t="s">
        <v>33</v>
      </c>
      <c r="B12" s="20"/>
      <c r="C12" s="218"/>
      <c r="D12" s="127">
        <v>1</v>
      </c>
      <c r="E12" s="127">
        <v>5</v>
      </c>
      <c r="F12" s="128">
        <f>MOD(B17*E12+B16,B18)</f>
        <v>8</v>
      </c>
      <c r="G12" s="129">
        <f t="shared" ref="G12:G27" si="0">E12/($B$18-1)</f>
        <v>0.33333333333333331</v>
      </c>
      <c r="H12" s="203" t="s">
        <v>34</v>
      </c>
      <c r="I12" s="218"/>
      <c r="J12" s="218"/>
      <c r="K12" s="218"/>
      <c r="L12" s="218"/>
      <c r="M12" s="218"/>
      <c r="N12" s="218"/>
    </row>
    <row r="13" spans="1:14">
      <c r="A13" s="77" t="s">
        <v>35</v>
      </c>
      <c r="B13" s="77">
        <v>6</v>
      </c>
      <c r="C13" s="218"/>
      <c r="D13" s="23">
        <f>D12+1</f>
        <v>2</v>
      </c>
      <c r="E13" s="77">
        <f>F12</f>
        <v>8</v>
      </c>
      <c r="F13" s="22">
        <f t="shared" ref="F13:F27" si="1">MOD($B$17*E13+$B$16,$B$18)</f>
        <v>15</v>
      </c>
      <c r="G13" s="23">
        <f t="shared" si="0"/>
        <v>0.53333333333333333</v>
      </c>
      <c r="H13" s="203" t="s">
        <v>36</v>
      </c>
      <c r="I13" s="79"/>
      <c r="J13" s="218"/>
      <c r="K13" s="218"/>
      <c r="L13" s="218"/>
      <c r="M13" s="218"/>
      <c r="N13" s="218"/>
    </row>
    <row r="14" spans="1:14">
      <c r="A14" s="77" t="s">
        <v>37</v>
      </c>
      <c r="B14" s="77">
        <v>3</v>
      </c>
      <c r="C14" s="218"/>
      <c r="D14" s="23">
        <f t="shared" ref="D14:D15" si="2">D13+1</f>
        <v>3</v>
      </c>
      <c r="E14" s="77">
        <f t="shared" ref="E14:E27" si="3">F13</f>
        <v>15</v>
      </c>
      <c r="F14" s="22">
        <f t="shared" si="1"/>
        <v>10</v>
      </c>
      <c r="G14" s="23">
        <f t="shared" si="0"/>
        <v>1</v>
      </c>
      <c r="H14" s="114"/>
      <c r="I14" s="218"/>
      <c r="J14" s="218"/>
      <c r="K14" s="218"/>
      <c r="L14" s="218"/>
      <c r="M14" s="218"/>
      <c r="N14" s="218"/>
    </row>
    <row r="15" spans="1:14">
      <c r="A15" s="77" t="s">
        <v>38</v>
      </c>
      <c r="B15" s="77">
        <v>4</v>
      </c>
      <c r="C15" s="218"/>
      <c r="D15" s="23">
        <f t="shared" si="2"/>
        <v>4</v>
      </c>
      <c r="E15" s="77">
        <f t="shared" si="3"/>
        <v>10</v>
      </c>
      <c r="F15" s="22">
        <f t="shared" si="1"/>
        <v>9</v>
      </c>
      <c r="G15" s="23">
        <f t="shared" si="0"/>
        <v>0.66666666666666663</v>
      </c>
      <c r="H15" s="143" t="s">
        <v>39</v>
      </c>
      <c r="I15" s="218"/>
      <c r="J15" s="218"/>
      <c r="K15" s="218"/>
      <c r="L15" s="218"/>
      <c r="M15" s="218"/>
      <c r="N15" s="218"/>
    </row>
    <row r="16" spans="1:14">
      <c r="A16" s="77" t="s">
        <v>40</v>
      </c>
      <c r="B16" s="77">
        <v>7</v>
      </c>
      <c r="C16" s="218"/>
      <c r="D16" s="23">
        <f t="shared" ref="D16:D27" si="4">D15+1</f>
        <v>5</v>
      </c>
      <c r="E16" s="77">
        <f t="shared" si="3"/>
        <v>9</v>
      </c>
      <c r="F16" s="22">
        <f t="shared" si="1"/>
        <v>12</v>
      </c>
      <c r="G16" s="23">
        <f t="shared" si="0"/>
        <v>0.6</v>
      </c>
      <c r="H16" s="114"/>
      <c r="I16" s="218"/>
      <c r="J16" s="218"/>
      <c r="K16" s="218"/>
      <c r="L16" s="218"/>
      <c r="M16" s="218"/>
      <c r="N16" s="218"/>
    </row>
    <row r="17" spans="1:8">
      <c r="A17" s="77" t="s">
        <v>22</v>
      </c>
      <c r="B17" s="23">
        <f>1+4*B14</f>
        <v>13</v>
      </c>
      <c r="C17" s="218"/>
      <c r="D17" s="23">
        <f t="shared" si="4"/>
        <v>6</v>
      </c>
      <c r="E17" s="77">
        <f t="shared" si="3"/>
        <v>12</v>
      </c>
      <c r="F17" s="22">
        <f t="shared" si="1"/>
        <v>3</v>
      </c>
      <c r="G17" s="23">
        <f t="shared" si="0"/>
        <v>0.8</v>
      </c>
      <c r="H17" s="222" t="s">
        <v>15</v>
      </c>
    </row>
    <row r="18" spans="1:8">
      <c r="A18" s="77" t="s">
        <v>41</v>
      </c>
      <c r="B18" s="23">
        <v>16</v>
      </c>
      <c r="C18" s="218"/>
      <c r="D18" s="23">
        <f t="shared" si="4"/>
        <v>7</v>
      </c>
      <c r="E18" s="77">
        <f t="shared" si="3"/>
        <v>3</v>
      </c>
      <c r="F18" s="22">
        <f t="shared" si="1"/>
        <v>14</v>
      </c>
      <c r="G18" s="23">
        <f t="shared" si="0"/>
        <v>0.2</v>
      </c>
      <c r="H18" s="218"/>
    </row>
    <row r="19" spans="1:8">
      <c r="A19" s="77" t="s">
        <v>42</v>
      </c>
      <c r="B19" s="23">
        <f>16</f>
        <v>16</v>
      </c>
      <c r="C19" s="218"/>
      <c r="D19" s="23">
        <f t="shared" si="4"/>
        <v>8</v>
      </c>
      <c r="E19" s="77">
        <f t="shared" si="3"/>
        <v>14</v>
      </c>
      <c r="F19" s="22">
        <f t="shared" si="1"/>
        <v>13</v>
      </c>
      <c r="G19" s="23">
        <f t="shared" si="0"/>
        <v>0.93333333333333335</v>
      </c>
      <c r="H19" s="218"/>
    </row>
    <row r="20" spans="1:8">
      <c r="A20" s="218"/>
      <c r="B20" s="218"/>
      <c r="C20" s="218"/>
      <c r="D20" s="23">
        <f t="shared" si="4"/>
        <v>9</v>
      </c>
      <c r="E20" s="77">
        <f t="shared" si="3"/>
        <v>13</v>
      </c>
      <c r="F20" s="22">
        <f t="shared" si="1"/>
        <v>0</v>
      </c>
      <c r="G20" s="23">
        <f t="shared" si="0"/>
        <v>0.8666666666666667</v>
      </c>
      <c r="H20" s="218"/>
    </row>
    <row r="21" spans="1:8">
      <c r="A21" s="218"/>
      <c r="B21" s="218"/>
      <c r="C21" s="218"/>
      <c r="D21" s="23">
        <f t="shared" si="4"/>
        <v>10</v>
      </c>
      <c r="E21" s="77">
        <f t="shared" si="3"/>
        <v>0</v>
      </c>
      <c r="F21" s="22">
        <f t="shared" si="1"/>
        <v>7</v>
      </c>
      <c r="G21" s="23">
        <f t="shared" si="0"/>
        <v>0</v>
      </c>
      <c r="H21" s="79"/>
    </row>
    <row r="22" spans="1:8">
      <c r="A22" s="218"/>
      <c r="B22" s="218"/>
      <c r="C22" s="218"/>
      <c r="D22" s="23">
        <f t="shared" si="4"/>
        <v>11</v>
      </c>
      <c r="E22" s="77">
        <f t="shared" si="3"/>
        <v>7</v>
      </c>
      <c r="F22" s="22">
        <f t="shared" si="1"/>
        <v>2</v>
      </c>
      <c r="G22" s="23">
        <f t="shared" si="0"/>
        <v>0.46666666666666667</v>
      </c>
      <c r="H22" s="218"/>
    </row>
    <row r="23" spans="1:8">
      <c r="A23" s="218"/>
      <c r="B23" s="218"/>
      <c r="C23" s="218"/>
      <c r="D23" s="23">
        <f t="shared" si="4"/>
        <v>12</v>
      </c>
      <c r="E23" s="77">
        <f t="shared" si="3"/>
        <v>2</v>
      </c>
      <c r="F23" s="22">
        <f t="shared" si="1"/>
        <v>1</v>
      </c>
      <c r="G23" s="23">
        <f t="shared" si="0"/>
        <v>0.13333333333333333</v>
      </c>
      <c r="H23" s="218"/>
    </row>
    <row r="24" spans="1:8">
      <c r="A24" s="218"/>
      <c r="B24" s="218"/>
      <c r="C24" s="218"/>
      <c r="D24" s="23">
        <f t="shared" si="4"/>
        <v>13</v>
      </c>
      <c r="E24" s="77">
        <f t="shared" si="3"/>
        <v>1</v>
      </c>
      <c r="F24" s="22">
        <f t="shared" si="1"/>
        <v>4</v>
      </c>
      <c r="G24" s="23">
        <f t="shared" si="0"/>
        <v>6.6666666666666666E-2</v>
      </c>
      <c r="H24" s="218"/>
    </row>
    <row r="25" spans="1:8">
      <c r="A25" s="218"/>
      <c r="B25" s="218"/>
      <c r="C25" s="218"/>
      <c r="D25" s="136">
        <f t="shared" si="4"/>
        <v>14</v>
      </c>
      <c r="E25" s="130">
        <f t="shared" si="3"/>
        <v>4</v>
      </c>
      <c r="F25" s="137">
        <f t="shared" si="1"/>
        <v>11</v>
      </c>
      <c r="G25" s="136">
        <f t="shared" si="0"/>
        <v>0.26666666666666666</v>
      </c>
      <c r="H25" s="218"/>
    </row>
    <row r="26" spans="1:8">
      <c r="A26" s="218"/>
      <c r="B26" s="218"/>
      <c r="C26" s="218"/>
      <c r="D26" s="138">
        <f t="shared" si="4"/>
        <v>15</v>
      </c>
      <c r="E26" s="134">
        <f t="shared" si="3"/>
        <v>11</v>
      </c>
      <c r="F26" s="139">
        <f t="shared" si="1"/>
        <v>6</v>
      </c>
      <c r="G26" s="138">
        <f t="shared" si="0"/>
        <v>0.73333333333333328</v>
      </c>
      <c r="H26" s="218"/>
    </row>
    <row r="27" spans="1:8">
      <c r="A27" s="218"/>
      <c r="B27" s="218"/>
      <c r="C27" s="218"/>
      <c r="D27" s="138">
        <f t="shared" si="4"/>
        <v>16</v>
      </c>
      <c r="E27" s="134">
        <f t="shared" si="3"/>
        <v>6</v>
      </c>
      <c r="F27" s="139">
        <f t="shared" si="1"/>
        <v>5</v>
      </c>
      <c r="G27" s="138">
        <f t="shared" si="0"/>
        <v>0.4</v>
      </c>
      <c r="H27" s="218"/>
    </row>
    <row r="28" spans="1:8">
      <c r="A28" s="218"/>
      <c r="B28" s="218"/>
      <c r="C28" s="218"/>
      <c r="D28" s="131"/>
      <c r="E28" s="68"/>
      <c r="F28" s="132"/>
      <c r="G28" s="131"/>
      <c r="H28" s="21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N40"/>
  <sheetViews>
    <sheetView topLeftCell="E1" zoomScale="85" zoomScaleNormal="85" workbookViewId="0">
      <selection activeCell="I24" sqref="I24"/>
    </sheetView>
  </sheetViews>
  <sheetFormatPr defaultColWidth="14.42578125" defaultRowHeight="15.75" customHeight="1"/>
  <sheetData>
    <row r="2" spans="1:14" ht="15.75" customHeight="1">
      <c r="A2" s="11" t="s">
        <v>43</v>
      </c>
      <c r="B2" s="12"/>
      <c r="C2" s="12"/>
      <c r="D2" s="12"/>
      <c r="E2" s="12"/>
      <c r="F2" s="12"/>
      <c r="G2" s="12"/>
      <c r="H2" s="12"/>
      <c r="I2" s="12"/>
      <c r="J2" s="12"/>
      <c r="K2" s="12"/>
      <c r="L2" s="14"/>
      <c r="M2" s="12"/>
      <c r="N2" s="15"/>
    </row>
    <row r="3" spans="1:14" ht="15.75" customHeight="1">
      <c r="A3" s="11" t="s">
        <v>44</v>
      </c>
      <c r="B3" s="12"/>
      <c r="C3" s="12"/>
      <c r="D3" s="12"/>
      <c r="E3" s="12"/>
      <c r="F3" s="12"/>
      <c r="G3" s="12"/>
      <c r="H3" s="12"/>
      <c r="I3" s="12"/>
      <c r="J3" s="12"/>
      <c r="K3" s="12"/>
      <c r="L3" s="12"/>
      <c r="M3" s="12"/>
      <c r="N3" s="15"/>
    </row>
    <row r="4" spans="1:14" ht="15.75" customHeight="1">
      <c r="A4" s="11" t="s">
        <v>25</v>
      </c>
      <c r="B4" s="12"/>
      <c r="C4" s="12"/>
      <c r="D4" s="12"/>
      <c r="E4" s="12"/>
      <c r="F4" s="12"/>
      <c r="G4" s="14"/>
      <c r="H4" s="12"/>
      <c r="I4" s="12"/>
      <c r="J4" s="12"/>
      <c r="K4" s="12"/>
      <c r="L4" s="12"/>
      <c r="M4" s="12"/>
      <c r="N4" s="15"/>
    </row>
    <row r="5" spans="1:14" ht="14.25">
      <c r="A5" s="17" t="s">
        <v>45</v>
      </c>
      <c r="B5" s="12"/>
      <c r="C5" s="12"/>
      <c r="D5" s="14"/>
      <c r="E5" s="14"/>
      <c r="F5" s="14"/>
      <c r="G5" s="14"/>
      <c r="H5" s="14"/>
      <c r="I5" s="14"/>
      <c r="J5" s="14"/>
      <c r="K5" s="14"/>
      <c r="L5" s="14"/>
      <c r="M5" s="14"/>
      <c r="N5" s="14"/>
    </row>
    <row r="8" spans="1:14" ht="12.75">
      <c r="A8" s="79"/>
      <c r="B8" s="218"/>
      <c r="C8" s="218"/>
      <c r="D8" s="79"/>
      <c r="E8" s="79"/>
      <c r="F8" s="79"/>
      <c r="G8" s="79"/>
      <c r="H8" s="218"/>
      <c r="I8" s="218"/>
      <c r="J8" s="218"/>
      <c r="K8" s="218"/>
      <c r="L8" s="218"/>
      <c r="M8" s="218"/>
      <c r="N8" s="218"/>
    </row>
    <row r="9" spans="1:14" ht="14.25">
      <c r="A9" s="79"/>
      <c r="B9" s="79"/>
      <c r="C9" s="218"/>
      <c r="D9" s="79"/>
      <c r="E9" s="79"/>
      <c r="F9" s="14"/>
      <c r="G9" s="218"/>
      <c r="H9" s="218"/>
      <c r="I9" s="218"/>
      <c r="J9" s="218"/>
      <c r="K9" s="218"/>
      <c r="L9" s="218"/>
      <c r="M9" s="218"/>
      <c r="N9" s="218"/>
    </row>
    <row r="10" spans="1:14" ht="14.25">
      <c r="A10" s="79"/>
      <c r="B10" s="79"/>
      <c r="C10" s="218"/>
      <c r="D10" s="218"/>
      <c r="E10" s="79"/>
      <c r="F10" s="14"/>
      <c r="G10" s="218"/>
      <c r="H10" s="218"/>
      <c r="I10" s="218"/>
      <c r="J10" s="218"/>
      <c r="K10" s="218"/>
      <c r="L10" s="218"/>
      <c r="M10" s="218"/>
      <c r="N10" s="218"/>
    </row>
    <row r="11" spans="1:14" ht="12.75">
      <c r="A11" s="79"/>
      <c r="B11" s="79"/>
      <c r="C11" s="218"/>
      <c r="D11" s="18" t="s">
        <v>7</v>
      </c>
      <c r="E11" s="18" t="s">
        <v>8</v>
      </c>
      <c r="F11" s="18" t="s">
        <v>11</v>
      </c>
      <c r="G11" s="18" t="s">
        <v>31</v>
      </c>
      <c r="H11" s="218"/>
      <c r="I11" s="79" t="s">
        <v>46</v>
      </c>
      <c r="J11" s="218"/>
      <c r="K11" s="218"/>
      <c r="L11" s="218"/>
      <c r="M11" s="218"/>
      <c r="N11" s="218"/>
    </row>
    <row r="12" spans="1:14" ht="14.25">
      <c r="A12" s="19" t="s">
        <v>33</v>
      </c>
      <c r="B12" s="20"/>
      <c r="C12" s="218"/>
      <c r="D12" s="127">
        <v>1</v>
      </c>
      <c r="E12" s="127">
        <f>MOD(B17*B13+B16,B18)</f>
        <v>10</v>
      </c>
      <c r="F12" s="128">
        <f>MOD(B17*E12+B16,B18)</f>
        <v>14</v>
      </c>
      <c r="G12" s="129">
        <f t="shared" ref="G12:G36" si="0">E12/($B$18-1)</f>
        <v>0.41666666666666669</v>
      </c>
      <c r="H12" s="218"/>
      <c r="I12" s="79" t="s">
        <v>47</v>
      </c>
      <c r="J12" s="218"/>
      <c r="K12" s="218"/>
      <c r="L12" s="218"/>
      <c r="M12" s="218"/>
      <c r="N12" s="218"/>
    </row>
    <row r="13" spans="1:14" ht="14.25">
      <c r="A13" s="77" t="s">
        <v>35</v>
      </c>
      <c r="B13" s="77">
        <v>2</v>
      </c>
      <c r="C13" s="218"/>
      <c r="D13" s="23">
        <f t="shared" ref="D13:D36" si="1">D12+1</f>
        <v>2</v>
      </c>
      <c r="E13" s="77">
        <f t="shared" ref="E13:E36" si="2">F12</f>
        <v>14</v>
      </c>
      <c r="F13" s="22">
        <f t="shared" ref="F13:F36" si="3">MOD($B$17*E13+$B$16,$B$18)</f>
        <v>16</v>
      </c>
      <c r="G13" s="23">
        <f t="shared" si="0"/>
        <v>0.58333333333333337</v>
      </c>
      <c r="H13" s="114"/>
      <c r="I13" s="218"/>
      <c r="J13" s="218"/>
      <c r="K13" s="218"/>
      <c r="L13" s="218"/>
      <c r="M13" s="218"/>
      <c r="N13" s="218"/>
    </row>
    <row r="14" spans="1:14" ht="14.25">
      <c r="A14" s="77" t="s">
        <v>37</v>
      </c>
      <c r="B14" s="77">
        <v>3</v>
      </c>
      <c r="C14" s="218"/>
      <c r="D14" s="23">
        <f t="shared" si="1"/>
        <v>3</v>
      </c>
      <c r="E14" s="77">
        <f t="shared" si="2"/>
        <v>16</v>
      </c>
      <c r="F14" s="22">
        <f t="shared" si="3"/>
        <v>17</v>
      </c>
      <c r="G14" s="23">
        <f t="shared" si="0"/>
        <v>0.66666666666666663</v>
      </c>
      <c r="H14" s="114"/>
      <c r="I14" s="218"/>
      <c r="J14" s="218"/>
      <c r="K14" s="218"/>
      <c r="L14" s="218"/>
      <c r="M14" s="218"/>
      <c r="N14" s="218"/>
    </row>
    <row r="15" spans="1:14" ht="14.25">
      <c r="A15" s="77" t="s">
        <v>38</v>
      </c>
      <c r="B15" s="77">
        <v>4</v>
      </c>
      <c r="C15" s="218"/>
      <c r="D15" s="23">
        <f t="shared" si="1"/>
        <v>4</v>
      </c>
      <c r="E15" s="77">
        <f t="shared" si="2"/>
        <v>17</v>
      </c>
      <c r="F15" s="22">
        <f t="shared" si="3"/>
        <v>5</v>
      </c>
      <c r="G15" s="23">
        <f t="shared" si="0"/>
        <v>0.70833333333333337</v>
      </c>
      <c r="H15" s="121"/>
      <c r="I15" s="218"/>
      <c r="J15" s="218"/>
      <c r="K15" s="218"/>
      <c r="L15" s="218"/>
      <c r="M15" s="218"/>
      <c r="N15" s="218"/>
    </row>
    <row r="16" spans="1:14" ht="14.25">
      <c r="A16" s="77" t="s">
        <v>40</v>
      </c>
      <c r="B16" s="77">
        <v>9</v>
      </c>
      <c r="C16" s="218"/>
      <c r="D16" s="23">
        <f t="shared" si="1"/>
        <v>5</v>
      </c>
      <c r="E16" s="77">
        <f t="shared" si="2"/>
        <v>5</v>
      </c>
      <c r="F16" s="22">
        <f t="shared" si="3"/>
        <v>24</v>
      </c>
      <c r="G16" s="23">
        <f t="shared" si="0"/>
        <v>0.20833333333333334</v>
      </c>
      <c r="H16" s="218"/>
      <c r="I16" s="218"/>
      <c r="J16" s="218"/>
      <c r="K16" s="218"/>
      <c r="L16" s="218"/>
      <c r="M16" s="218"/>
      <c r="N16" s="218"/>
    </row>
    <row r="17" spans="1:7" ht="14.25">
      <c r="A17" s="77" t="s">
        <v>22</v>
      </c>
      <c r="B17" s="23">
        <f>1+4*B14</f>
        <v>13</v>
      </c>
      <c r="C17" s="218"/>
      <c r="D17" s="23">
        <f t="shared" si="1"/>
        <v>6</v>
      </c>
      <c r="E17" s="77">
        <f t="shared" si="2"/>
        <v>24</v>
      </c>
      <c r="F17" s="22">
        <f t="shared" si="3"/>
        <v>21</v>
      </c>
      <c r="G17" s="23">
        <f t="shared" si="0"/>
        <v>1</v>
      </c>
    </row>
    <row r="18" spans="1:7" ht="14.25">
      <c r="A18" s="77" t="s">
        <v>41</v>
      </c>
      <c r="B18" s="77">
        <v>25</v>
      </c>
      <c r="C18" s="218"/>
      <c r="D18" s="23">
        <f t="shared" si="1"/>
        <v>7</v>
      </c>
      <c r="E18" s="77">
        <f t="shared" si="2"/>
        <v>21</v>
      </c>
      <c r="F18" s="22">
        <f t="shared" si="3"/>
        <v>7</v>
      </c>
      <c r="G18" s="23">
        <f t="shared" si="0"/>
        <v>0.875</v>
      </c>
    </row>
    <row r="19" spans="1:7" ht="14.25">
      <c r="A19" s="77" t="s">
        <v>42</v>
      </c>
      <c r="B19" s="23">
        <v>20</v>
      </c>
      <c r="C19" s="218"/>
      <c r="D19" s="23">
        <f t="shared" si="1"/>
        <v>8</v>
      </c>
      <c r="E19" s="77">
        <f t="shared" si="2"/>
        <v>7</v>
      </c>
      <c r="F19" s="22">
        <f t="shared" si="3"/>
        <v>0</v>
      </c>
      <c r="G19" s="23">
        <f t="shared" si="0"/>
        <v>0.29166666666666669</v>
      </c>
    </row>
    <row r="20" spans="1:7" ht="14.25">
      <c r="A20" s="218"/>
      <c r="B20" s="218"/>
      <c r="C20" s="218"/>
      <c r="D20" s="23">
        <f t="shared" si="1"/>
        <v>9</v>
      </c>
      <c r="E20" s="77">
        <f t="shared" si="2"/>
        <v>0</v>
      </c>
      <c r="F20" s="22">
        <f t="shared" si="3"/>
        <v>9</v>
      </c>
      <c r="G20" s="23">
        <f t="shared" si="0"/>
        <v>0</v>
      </c>
    </row>
    <row r="21" spans="1:7" ht="14.25">
      <c r="A21" s="218"/>
      <c r="B21" s="218"/>
      <c r="C21" s="218"/>
      <c r="D21" s="23">
        <f t="shared" si="1"/>
        <v>10</v>
      </c>
      <c r="E21" s="77">
        <f t="shared" si="2"/>
        <v>9</v>
      </c>
      <c r="F21" s="22">
        <f t="shared" si="3"/>
        <v>1</v>
      </c>
      <c r="G21" s="23">
        <f t="shared" si="0"/>
        <v>0.375</v>
      </c>
    </row>
    <row r="22" spans="1:7" ht="14.25">
      <c r="A22" s="218"/>
      <c r="B22" s="218"/>
      <c r="C22" s="218"/>
      <c r="D22" s="23">
        <f t="shared" si="1"/>
        <v>11</v>
      </c>
      <c r="E22" s="77">
        <f t="shared" si="2"/>
        <v>1</v>
      </c>
      <c r="F22" s="22">
        <f t="shared" si="3"/>
        <v>22</v>
      </c>
      <c r="G22" s="23">
        <f t="shared" si="0"/>
        <v>4.1666666666666664E-2</v>
      </c>
    </row>
    <row r="23" spans="1:7" ht="14.25">
      <c r="A23" s="218"/>
      <c r="B23" s="218"/>
      <c r="C23" s="218"/>
      <c r="D23" s="23">
        <f t="shared" si="1"/>
        <v>12</v>
      </c>
      <c r="E23" s="77">
        <f t="shared" si="2"/>
        <v>22</v>
      </c>
      <c r="F23" s="22">
        <f t="shared" si="3"/>
        <v>20</v>
      </c>
      <c r="G23" s="23">
        <f t="shared" si="0"/>
        <v>0.91666666666666663</v>
      </c>
    </row>
    <row r="24" spans="1:7" ht="14.25">
      <c r="A24" s="218"/>
      <c r="B24" s="218"/>
      <c r="C24" s="218"/>
      <c r="D24" s="23">
        <f t="shared" si="1"/>
        <v>13</v>
      </c>
      <c r="E24" s="77">
        <f t="shared" si="2"/>
        <v>20</v>
      </c>
      <c r="F24" s="22">
        <f t="shared" si="3"/>
        <v>19</v>
      </c>
      <c r="G24" s="23">
        <f t="shared" si="0"/>
        <v>0.83333333333333337</v>
      </c>
    </row>
    <row r="25" spans="1:7" ht="14.25">
      <c r="A25" s="218"/>
      <c r="B25" s="218"/>
      <c r="C25" s="218"/>
      <c r="D25" s="23">
        <f t="shared" si="1"/>
        <v>14</v>
      </c>
      <c r="E25" s="77">
        <f t="shared" si="2"/>
        <v>19</v>
      </c>
      <c r="F25" s="22">
        <f t="shared" si="3"/>
        <v>6</v>
      </c>
      <c r="G25" s="23">
        <f t="shared" si="0"/>
        <v>0.79166666666666663</v>
      </c>
    </row>
    <row r="26" spans="1:7" ht="14.25">
      <c r="A26" s="218"/>
      <c r="B26" s="218"/>
      <c r="C26" s="218"/>
      <c r="D26" s="23">
        <f t="shared" si="1"/>
        <v>15</v>
      </c>
      <c r="E26" s="77">
        <f t="shared" si="2"/>
        <v>6</v>
      </c>
      <c r="F26" s="22">
        <f t="shared" si="3"/>
        <v>12</v>
      </c>
      <c r="G26" s="23">
        <f t="shared" si="0"/>
        <v>0.25</v>
      </c>
    </row>
    <row r="27" spans="1:7" ht="14.25">
      <c r="A27" s="218"/>
      <c r="B27" s="218"/>
      <c r="C27" s="218"/>
      <c r="D27" s="23">
        <f t="shared" si="1"/>
        <v>16</v>
      </c>
      <c r="E27" s="77">
        <f t="shared" si="2"/>
        <v>12</v>
      </c>
      <c r="F27" s="22">
        <f t="shared" si="3"/>
        <v>15</v>
      </c>
      <c r="G27" s="23">
        <f t="shared" si="0"/>
        <v>0.5</v>
      </c>
    </row>
    <row r="28" spans="1:7" ht="14.25">
      <c r="A28" s="218"/>
      <c r="B28" s="218"/>
      <c r="C28" s="218"/>
      <c r="D28" s="23">
        <f t="shared" si="1"/>
        <v>17</v>
      </c>
      <c r="E28" s="77">
        <f t="shared" si="2"/>
        <v>15</v>
      </c>
      <c r="F28" s="22">
        <f t="shared" si="3"/>
        <v>4</v>
      </c>
      <c r="G28" s="23">
        <f t="shared" si="0"/>
        <v>0.625</v>
      </c>
    </row>
    <row r="29" spans="1:7" ht="15.75" customHeight="1">
      <c r="A29" s="218"/>
      <c r="B29" s="218"/>
      <c r="C29" s="218"/>
      <c r="D29" s="23">
        <f t="shared" si="1"/>
        <v>18</v>
      </c>
      <c r="E29" s="77">
        <f t="shared" si="2"/>
        <v>4</v>
      </c>
      <c r="F29" s="22">
        <f t="shared" si="3"/>
        <v>11</v>
      </c>
      <c r="G29" s="23">
        <f t="shared" si="0"/>
        <v>0.16666666666666666</v>
      </c>
    </row>
    <row r="30" spans="1:7" ht="15.75" customHeight="1">
      <c r="A30" s="218"/>
      <c r="B30" s="218"/>
      <c r="C30" s="218"/>
      <c r="D30" s="136">
        <f t="shared" si="1"/>
        <v>19</v>
      </c>
      <c r="E30" s="130">
        <f t="shared" si="2"/>
        <v>11</v>
      </c>
      <c r="F30" s="137">
        <f t="shared" si="3"/>
        <v>2</v>
      </c>
      <c r="G30" s="23">
        <f t="shared" si="0"/>
        <v>0.45833333333333331</v>
      </c>
    </row>
    <row r="31" spans="1:7" ht="15.75" customHeight="1">
      <c r="A31" s="218"/>
      <c r="B31" s="218"/>
      <c r="C31" s="218"/>
      <c r="D31" s="138">
        <f t="shared" si="1"/>
        <v>20</v>
      </c>
      <c r="E31" s="134">
        <f t="shared" si="2"/>
        <v>2</v>
      </c>
      <c r="F31" s="139">
        <f t="shared" si="3"/>
        <v>10</v>
      </c>
      <c r="G31" s="140">
        <f t="shared" si="0"/>
        <v>8.3333333333333329E-2</v>
      </c>
    </row>
    <row r="32" spans="1:7" ht="15.75" customHeight="1">
      <c r="A32" s="218"/>
      <c r="B32" s="218"/>
      <c r="C32" s="218"/>
      <c r="D32" s="133">
        <f t="shared" si="1"/>
        <v>21</v>
      </c>
      <c r="E32" s="141">
        <f t="shared" si="2"/>
        <v>10</v>
      </c>
      <c r="F32" s="135">
        <f t="shared" si="3"/>
        <v>14</v>
      </c>
      <c r="G32" s="142">
        <f t="shared" si="0"/>
        <v>0.41666666666666669</v>
      </c>
    </row>
    <row r="33" spans="4:7" ht="15.75" customHeight="1">
      <c r="D33" s="133">
        <f t="shared" si="1"/>
        <v>22</v>
      </c>
      <c r="E33" s="141">
        <f t="shared" si="2"/>
        <v>14</v>
      </c>
      <c r="F33" s="135">
        <f t="shared" si="3"/>
        <v>16</v>
      </c>
      <c r="G33" s="142">
        <f t="shared" si="0"/>
        <v>0.58333333333333337</v>
      </c>
    </row>
    <row r="34" spans="4:7" ht="15.75" customHeight="1">
      <c r="D34" s="133">
        <f t="shared" si="1"/>
        <v>23</v>
      </c>
      <c r="E34" s="141">
        <f t="shared" si="2"/>
        <v>16</v>
      </c>
      <c r="F34" s="135">
        <f t="shared" si="3"/>
        <v>17</v>
      </c>
      <c r="G34" s="142">
        <f t="shared" si="0"/>
        <v>0.66666666666666663</v>
      </c>
    </row>
    <row r="35" spans="4:7" ht="15.75" customHeight="1">
      <c r="D35" s="133">
        <f t="shared" si="1"/>
        <v>24</v>
      </c>
      <c r="E35" s="141">
        <f t="shared" si="2"/>
        <v>17</v>
      </c>
      <c r="F35" s="135">
        <f t="shared" si="3"/>
        <v>5</v>
      </c>
      <c r="G35" s="142">
        <f t="shared" si="0"/>
        <v>0.70833333333333337</v>
      </c>
    </row>
    <row r="36" spans="4:7" ht="15.75" customHeight="1">
      <c r="D36" s="133">
        <f t="shared" si="1"/>
        <v>25</v>
      </c>
      <c r="E36" s="141">
        <f t="shared" si="2"/>
        <v>5</v>
      </c>
      <c r="F36" s="135">
        <f t="shared" si="3"/>
        <v>24</v>
      </c>
      <c r="G36" s="142">
        <f t="shared" si="0"/>
        <v>0.20833333333333334</v>
      </c>
    </row>
    <row r="37" spans="4:7" ht="15.75" customHeight="1">
      <c r="D37" s="131"/>
      <c r="E37" s="218"/>
      <c r="F37" s="218"/>
      <c r="G37" s="218"/>
    </row>
    <row r="38" spans="4:7" ht="15.75" customHeight="1">
      <c r="D38" s="131"/>
      <c r="E38" s="218"/>
      <c r="F38" s="218"/>
      <c r="G38" s="218"/>
    </row>
    <row r="39" spans="4:7" ht="15.75" customHeight="1">
      <c r="D39" s="131"/>
      <c r="E39" s="218"/>
      <c r="F39" s="218"/>
      <c r="G39" s="218"/>
    </row>
    <row r="40" spans="4:7" ht="15.75" customHeight="1">
      <c r="D40" s="131"/>
      <c r="E40" s="218"/>
      <c r="F40" s="218"/>
      <c r="G40" s="21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95"/>
  <sheetViews>
    <sheetView topLeftCell="A63" zoomScale="110" zoomScaleNormal="110" workbookViewId="0">
      <selection activeCell="E78" sqref="E78"/>
    </sheetView>
  </sheetViews>
  <sheetFormatPr defaultColWidth="14.42578125" defaultRowHeight="15.75" customHeight="1"/>
  <cols>
    <col min="1" max="1" width="18.7109375" customWidth="1"/>
    <col min="7" max="7" width="16.140625" customWidth="1"/>
    <col min="10" max="10" width="18.140625" customWidth="1"/>
  </cols>
  <sheetData>
    <row r="1" spans="1:9" ht="12.75">
      <c r="A1" s="109" t="s">
        <v>48</v>
      </c>
      <c r="B1" s="218"/>
      <c r="C1" s="218"/>
      <c r="D1" s="218"/>
      <c r="E1" s="218"/>
      <c r="F1" s="218"/>
      <c r="G1" s="218"/>
      <c r="H1" s="218"/>
      <c r="I1" s="109"/>
    </row>
    <row r="2" spans="1:9" ht="12.75">
      <c r="A2" s="79" t="s">
        <v>49</v>
      </c>
      <c r="B2" s="218"/>
      <c r="C2" s="218"/>
      <c r="D2" s="218"/>
      <c r="E2" s="218"/>
      <c r="F2" s="218"/>
      <c r="G2" s="218"/>
      <c r="H2" s="218"/>
      <c r="I2" s="218"/>
    </row>
    <row r="3" spans="1:9" ht="12.75">
      <c r="A3" s="79" t="s">
        <v>50</v>
      </c>
      <c r="B3" s="218"/>
      <c r="C3" s="218"/>
      <c r="D3" s="218"/>
      <c r="E3" s="218"/>
      <c r="F3" s="218"/>
      <c r="G3" s="218"/>
      <c r="H3" s="218"/>
      <c r="I3" s="218"/>
    </row>
    <row r="4" spans="1:9" ht="12.75">
      <c r="A4" s="79" t="s">
        <v>51</v>
      </c>
      <c r="B4" s="218"/>
      <c r="C4" s="218"/>
      <c r="D4" s="218"/>
      <c r="E4" s="218"/>
      <c r="F4" s="218"/>
      <c r="G4" s="218"/>
      <c r="H4" s="218"/>
      <c r="I4" s="218"/>
    </row>
    <row r="5" spans="1:9" ht="12.75">
      <c r="A5" s="79" t="s">
        <v>52</v>
      </c>
      <c r="B5" s="218"/>
      <c r="C5" s="218"/>
      <c r="D5" s="218"/>
      <c r="E5" s="218"/>
      <c r="F5" s="218"/>
      <c r="G5" s="218"/>
      <c r="H5" s="218"/>
      <c r="I5" s="218"/>
    </row>
    <row r="6" spans="1:9" ht="12.75">
      <c r="A6" s="79" t="s">
        <v>53</v>
      </c>
      <c r="B6" s="218"/>
      <c r="C6" s="218"/>
      <c r="D6" s="218"/>
      <c r="E6" s="218"/>
      <c r="F6" s="218"/>
      <c r="G6" s="218"/>
      <c r="H6" s="218"/>
      <c r="I6" s="218"/>
    </row>
    <row r="7" spans="1:9" ht="12.75">
      <c r="A7" s="79" t="s">
        <v>54</v>
      </c>
      <c r="B7" s="218"/>
      <c r="C7" s="218"/>
      <c r="D7" s="218"/>
      <c r="E7" s="218"/>
      <c r="F7" s="218"/>
      <c r="G7" s="218"/>
      <c r="H7" s="218"/>
      <c r="I7" s="218"/>
    </row>
    <row r="8" spans="1:9" ht="15.75" customHeight="1">
      <c r="A8" s="79" t="s">
        <v>55</v>
      </c>
      <c r="B8" s="218"/>
      <c r="C8" s="218"/>
      <c r="D8" s="218"/>
      <c r="E8" s="218"/>
      <c r="F8" s="25" t="s">
        <v>56</v>
      </c>
      <c r="G8" s="218"/>
      <c r="H8" s="218"/>
      <c r="I8" s="218"/>
    </row>
    <row r="9" spans="1:9" ht="12.75">
      <c r="A9" s="79" t="s">
        <v>57</v>
      </c>
      <c r="B9" s="218"/>
      <c r="C9" s="218"/>
      <c r="D9" s="218"/>
      <c r="E9" s="218"/>
      <c r="F9" s="218"/>
      <c r="G9" s="218"/>
      <c r="H9" s="218"/>
      <c r="I9" s="218"/>
    </row>
    <row r="10" spans="1:9" ht="15.75" customHeight="1">
      <c r="A10" s="218"/>
      <c r="B10" s="218"/>
      <c r="C10" s="218"/>
      <c r="D10" s="218"/>
      <c r="E10" s="218"/>
      <c r="F10" s="56"/>
      <c r="G10" s="26" t="s">
        <v>58</v>
      </c>
      <c r="H10" s="220">
        <v>10</v>
      </c>
      <c r="I10" s="218"/>
    </row>
    <row r="11" spans="1:9" ht="15">
      <c r="A11" s="27" t="s">
        <v>59</v>
      </c>
      <c r="B11" s="27" t="s">
        <v>60</v>
      </c>
      <c r="C11" s="218"/>
      <c r="D11" s="218"/>
      <c r="E11" s="218"/>
      <c r="F11" s="230" t="s">
        <v>61</v>
      </c>
      <c r="G11" s="231"/>
      <c r="H11" s="228"/>
      <c r="I11" s="218"/>
    </row>
    <row r="12" spans="1:9" ht="14.25">
      <c r="A12" s="28">
        <v>0.14280000000000001</v>
      </c>
      <c r="B12" s="77">
        <v>0</v>
      </c>
      <c r="C12" s="218"/>
      <c r="D12" s="218"/>
      <c r="E12" s="218"/>
      <c r="F12" s="232" t="s">
        <v>62</v>
      </c>
      <c r="G12" s="228"/>
      <c r="H12" s="144">
        <v>0.01</v>
      </c>
      <c r="I12" s="114"/>
    </row>
    <row r="13" spans="1:9" ht="14.25">
      <c r="A13" s="28">
        <v>0.23799999999999999</v>
      </c>
      <c r="B13" s="23">
        <f t="shared" ref="B13:B21" si="0">B12+1</f>
        <v>1</v>
      </c>
      <c r="C13" s="218"/>
      <c r="D13" s="218"/>
      <c r="E13" s="218"/>
      <c r="F13" s="232" t="s">
        <v>63</v>
      </c>
      <c r="G13" s="228"/>
      <c r="H13" s="145">
        <f>1-(H12/2)</f>
        <v>0.995</v>
      </c>
      <c r="I13" s="121"/>
    </row>
    <row r="14" spans="1:9" ht="15.75" customHeight="1">
      <c r="A14" s="77">
        <v>0.15870000000000001</v>
      </c>
      <c r="B14" s="23">
        <f t="shared" si="0"/>
        <v>2</v>
      </c>
      <c r="C14" s="218"/>
      <c r="D14" s="218"/>
      <c r="E14" s="218"/>
      <c r="F14" s="233" t="s">
        <v>64</v>
      </c>
      <c r="G14" s="228"/>
      <c r="H14" s="146">
        <f>NORMSINV(H13)</f>
        <v>2.5758293035488999</v>
      </c>
      <c r="I14" s="218"/>
    </row>
    <row r="15" spans="1:9" ht="15.75" customHeight="1">
      <c r="A15" s="28">
        <v>0.63490000000000002</v>
      </c>
      <c r="B15" s="23">
        <f t="shared" si="0"/>
        <v>3</v>
      </c>
      <c r="C15" s="218"/>
      <c r="D15" s="218"/>
      <c r="E15" s="218"/>
      <c r="F15" s="234" t="s">
        <v>65</v>
      </c>
      <c r="G15" s="228"/>
      <c r="H15" s="147">
        <f>1/2-H14*(1/SQRT(12*H10))</f>
        <v>0.26486003102724098</v>
      </c>
      <c r="I15" s="218"/>
    </row>
    <row r="16" spans="1:9" ht="15.75" customHeight="1">
      <c r="A16" s="28">
        <v>0.95230000000000004</v>
      </c>
      <c r="B16" s="23">
        <f t="shared" si="0"/>
        <v>4</v>
      </c>
      <c r="C16" s="218"/>
      <c r="D16" s="218"/>
      <c r="E16" s="218"/>
      <c r="F16" s="227" t="s">
        <v>66</v>
      </c>
      <c r="G16" s="228"/>
      <c r="H16" s="37">
        <f>AVERAGE(A12:A21)</f>
        <v>0.47454999999999997</v>
      </c>
      <c r="I16" s="218"/>
    </row>
    <row r="17" spans="1:9" ht="15.75" customHeight="1">
      <c r="A17" s="28">
        <v>0.25390000000000001</v>
      </c>
      <c r="B17" s="23">
        <f t="shared" si="0"/>
        <v>5</v>
      </c>
      <c r="C17" s="218"/>
      <c r="D17" s="218"/>
      <c r="E17" s="218"/>
      <c r="F17" s="229" t="s">
        <v>67</v>
      </c>
      <c r="G17" s="228"/>
      <c r="H17" s="146">
        <f>1/2+H14*(1/SQRT(12*H10))</f>
        <v>0.73513996897275902</v>
      </c>
      <c r="I17" s="149" t="s">
        <v>68</v>
      </c>
    </row>
    <row r="18" spans="1:9" ht="15.75" customHeight="1">
      <c r="A18" s="28">
        <v>0.98409999999999997</v>
      </c>
      <c r="B18" s="23">
        <f t="shared" si="0"/>
        <v>6</v>
      </c>
      <c r="C18" s="218"/>
      <c r="D18" s="218"/>
      <c r="E18" s="218"/>
      <c r="F18" s="56"/>
      <c r="G18" s="56"/>
      <c r="H18" s="56"/>
      <c r="I18" s="218"/>
    </row>
    <row r="19" spans="1:9" ht="15.75" customHeight="1">
      <c r="A19" s="28">
        <v>0.71419999999999995</v>
      </c>
      <c r="B19" s="23">
        <f t="shared" si="0"/>
        <v>7</v>
      </c>
      <c r="C19" s="218"/>
      <c r="D19" s="218"/>
      <c r="E19" s="218"/>
      <c r="F19" s="25" t="s">
        <v>69</v>
      </c>
      <c r="G19" s="218"/>
      <c r="H19" s="218"/>
      <c r="I19" s="218"/>
    </row>
    <row r="20" spans="1:9" ht="15">
      <c r="A20" s="28">
        <v>0.30149999999999999</v>
      </c>
      <c r="B20" s="23">
        <f t="shared" si="0"/>
        <v>8</v>
      </c>
      <c r="C20" s="218"/>
      <c r="D20" s="218"/>
      <c r="E20" s="218"/>
      <c r="F20" s="235" t="s">
        <v>70</v>
      </c>
      <c r="G20" s="231"/>
      <c r="H20" s="228"/>
      <c r="I20" s="218"/>
    </row>
    <row r="21" spans="1:9" ht="15.75" customHeight="1">
      <c r="A21" s="40">
        <v>0.36509999999999998</v>
      </c>
      <c r="B21" s="41">
        <f t="shared" si="0"/>
        <v>9</v>
      </c>
      <c r="C21" s="218"/>
      <c r="D21" s="218"/>
      <c r="E21" s="42"/>
      <c r="F21" s="232" t="s">
        <v>62</v>
      </c>
      <c r="G21" s="228"/>
      <c r="H21" s="148">
        <v>0.01</v>
      </c>
      <c r="I21" s="218"/>
    </row>
    <row r="22" spans="1:9" ht="15.75" customHeight="1">
      <c r="A22" s="218"/>
      <c r="B22" s="218"/>
      <c r="C22" s="218"/>
      <c r="D22" s="218"/>
      <c r="E22" s="43"/>
      <c r="F22" s="232" t="s">
        <v>63</v>
      </c>
      <c r="G22" s="228"/>
      <c r="H22" s="148">
        <f>1-H21/2</f>
        <v>0.995</v>
      </c>
      <c r="I22" s="218"/>
    </row>
    <row r="23" spans="1:9" ht="15.75" customHeight="1">
      <c r="A23" s="218"/>
      <c r="B23" s="218"/>
      <c r="C23" s="218"/>
      <c r="D23" s="218"/>
      <c r="E23" s="218"/>
      <c r="F23" s="23"/>
      <c r="G23" s="44" t="s">
        <v>71</v>
      </c>
      <c r="H23" s="148">
        <f>_xlfn.CHISQ.INV.RT(H21/2,9)</f>
        <v>23.589350781257387</v>
      </c>
      <c r="I23" s="218"/>
    </row>
    <row r="24" spans="1:9">
      <c r="A24" s="218"/>
      <c r="B24" s="218"/>
      <c r="C24" s="218"/>
      <c r="D24" s="218"/>
      <c r="E24" s="218"/>
      <c r="F24" s="23"/>
      <c r="G24" s="46" t="s">
        <v>72</v>
      </c>
      <c r="H24" s="148">
        <f>_xlfn.CHISQ.INV.RT(H22,9)</f>
        <v>1.7349329049966573</v>
      </c>
      <c r="I24" s="218"/>
    </row>
    <row r="25" spans="1:9" ht="12.75">
      <c r="A25" s="218"/>
      <c r="B25" s="218"/>
      <c r="C25" s="218"/>
      <c r="D25" s="218"/>
      <c r="E25" s="218"/>
      <c r="F25" s="23"/>
      <c r="G25" s="54" t="s">
        <v>73</v>
      </c>
      <c r="H25" s="47">
        <f>_xlfn.VAR.S(A11:A21)</f>
        <v>0.10304641388888897</v>
      </c>
      <c r="I25" s="218"/>
    </row>
    <row r="26" spans="1:9" ht="12.75">
      <c r="A26" s="218"/>
      <c r="B26" s="218"/>
      <c r="C26" s="218"/>
      <c r="D26" s="218"/>
      <c r="E26" s="218"/>
      <c r="F26" s="23"/>
      <c r="G26" s="48" t="s">
        <v>74</v>
      </c>
      <c r="H26" s="148">
        <f>H24/(12*9)</f>
        <v>1.6064193564783863E-2</v>
      </c>
      <c r="I26" s="218"/>
    </row>
    <row r="27" spans="1:9" ht="12.75">
      <c r="A27" s="218"/>
      <c r="B27" s="218"/>
      <c r="C27" s="218"/>
      <c r="D27" s="218"/>
      <c r="E27" s="218"/>
      <c r="F27" s="23"/>
      <c r="G27" s="48" t="s">
        <v>75</v>
      </c>
      <c r="H27" s="148">
        <f>H23/(12*9)</f>
        <v>0.21841991464127211</v>
      </c>
      <c r="I27" s="218"/>
    </row>
    <row r="28" spans="1:9" ht="18">
      <c r="A28" s="218"/>
      <c r="B28" s="218"/>
      <c r="C28" s="218"/>
      <c r="D28" s="218"/>
      <c r="E28" s="218"/>
      <c r="F28" s="23"/>
      <c r="G28" s="54" t="s">
        <v>76</v>
      </c>
      <c r="H28" s="166" t="str">
        <f>IF(AND(H26&lt;H25,H25&lt;H27),"No se puede rechazar","Se puede rechazar")</f>
        <v>No se puede rechazar</v>
      </c>
      <c r="I28" s="218"/>
    </row>
    <row r="33" spans="1:14" ht="15">
      <c r="A33" s="218"/>
      <c r="B33" s="218"/>
      <c r="C33" s="218"/>
      <c r="D33" s="218"/>
      <c r="E33" s="218"/>
      <c r="F33" s="56"/>
      <c r="G33" s="56"/>
      <c r="H33" s="56"/>
      <c r="I33" s="56"/>
      <c r="J33" s="56"/>
      <c r="K33" s="56"/>
      <c r="L33" s="56"/>
      <c r="M33" s="61"/>
      <c r="N33" s="218"/>
    </row>
    <row r="34" spans="1:14" ht="15">
      <c r="A34" s="218"/>
      <c r="B34" s="218"/>
      <c r="C34" s="218"/>
      <c r="D34" s="218"/>
      <c r="E34" s="218"/>
      <c r="F34" s="56"/>
      <c r="G34" s="56"/>
      <c r="H34" s="56"/>
      <c r="I34" s="56"/>
      <c r="J34" s="56"/>
      <c r="K34" s="56"/>
      <c r="L34" s="56"/>
      <c r="M34" s="61"/>
      <c r="N34" s="218"/>
    </row>
    <row r="35" spans="1:14" ht="21">
      <c r="A35" s="218"/>
      <c r="B35" s="218"/>
      <c r="C35" s="218"/>
      <c r="D35" s="218"/>
      <c r="E35" s="218"/>
      <c r="F35" s="218"/>
      <c r="G35" s="236" t="s">
        <v>77</v>
      </c>
      <c r="H35" s="237"/>
      <c r="I35" s="237"/>
      <c r="J35" s="237"/>
      <c r="K35" s="116"/>
      <c r="L35" s="56"/>
      <c r="M35" s="56"/>
      <c r="N35" s="218"/>
    </row>
    <row r="36" spans="1:14" ht="15">
      <c r="A36" s="218"/>
      <c r="B36" s="218"/>
      <c r="C36" s="218"/>
      <c r="D36" s="218"/>
      <c r="E36" s="218"/>
      <c r="F36" s="56"/>
      <c r="G36" s="150" t="s">
        <v>78</v>
      </c>
      <c r="H36" s="151">
        <v>4</v>
      </c>
      <c r="I36" s="152" t="s">
        <v>58</v>
      </c>
      <c r="J36" s="152">
        <v>10</v>
      </c>
      <c r="K36" s="116"/>
      <c r="L36" s="56"/>
      <c r="M36" s="56"/>
      <c r="N36" s="218"/>
    </row>
    <row r="37" spans="1:14" ht="15">
      <c r="A37" s="218"/>
      <c r="B37" s="218"/>
      <c r="C37" s="218"/>
      <c r="D37" s="218"/>
      <c r="E37" s="218"/>
      <c r="F37" s="56"/>
      <c r="G37" s="153" t="s">
        <v>79</v>
      </c>
      <c r="H37" s="154" t="s">
        <v>80</v>
      </c>
      <c r="I37" s="154" t="s">
        <v>81</v>
      </c>
      <c r="J37" s="154" t="s">
        <v>82</v>
      </c>
      <c r="K37" s="116"/>
      <c r="L37" s="56"/>
      <c r="M37" s="56"/>
      <c r="N37" s="218"/>
    </row>
    <row r="38" spans="1:14" ht="15">
      <c r="A38" s="218"/>
      <c r="B38" s="218"/>
      <c r="C38" s="218"/>
      <c r="D38" s="218"/>
      <c r="E38" s="218"/>
      <c r="F38" s="56"/>
      <c r="G38" s="155" t="s">
        <v>83</v>
      </c>
      <c r="H38" s="156">
        <f>COUNTIFS(A12:A21,"&gt;=0,0", A12:A21, "&lt;0,25")</f>
        <v>3</v>
      </c>
      <c r="I38" s="157">
        <f>J36/H36</f>
        <v>2.5</v>
      </c>
      <c r="J38" s="158">
        <f t="shared" ref="J38:J41" si="1">(I38-H38)^2/I38</f>
        <v>0.1</v>
      </c>
      <c r="K38" s="204" t="s">
        <v>84</v>
      </c>
      <c r="L38" s="56"/>
      <c r="M38" s="56"/>
      <c r="N38" s="218"/>
    </row>
    <row r="39" spans="1:14" ht="15">
      <c r="A39" s="218"/>
      <c r="B39" s="218"/>
      <c r="C39" s="218"/>
      <c r="D39" s="218"/>
      <c r="E39" s="218"/>
      <c r="F39" s="56"/>
      <c r="G39" s="155" t="s">
        <v>85</v>
      </c>
      <c r="H39" s="159">
        <f>COUNTIFS(A12:A21,"&gt;=0,25", A12:A21, "&lt;0,50")</f>
        <v>3</v>
      </c>
      <c r="I39" s="157">
        <f>J36/H36</f>
        <v>2.5</v>
      </c>
      <c r="J39" s="158">
        <f t="shared" si="1"/>
        <v>0.1</v>
      </c>
      <c r="K39" s="204" t="s">
        <v>86</v>
      </c>
      <c r="L39" s="56"/>
      <c r="M39" s="56"/>
      <c r="N39" s="218"/>
    </row>
    <row r="40" spans="1:14" ht="15">
      <c r="A40" s="218"/>
      <c r="B40" s="218"/>
      <c r="C40" s="218"/>
      <c r="D40" s="218"/>
      <c r="E40" s="218"/>
      <c r="F40" s="56"/>
      <c r="G40" s="155" t="s">
        <v>87</v>
      </c>
      <c r="H40" s="159">
        <f>COUNTIFS(A12:A21,"&gt;=0,50", A12:A21, "&lt;0,75")</f>
        <v>2</v>
      </c>
      <c r="I40" s="157">
        <f>J36/H36</f>
        <v>2.5</v>
      </c>
      <c r="J40" s="158">
        <f t="shared" si="1"/>
        <v>0.1</v>
      </c>
      <c r="K40" s="204" t="s">
        <v>88</v>
      </c>
      <c r="L40" s="56"/>
      <c r="M40" s="56"/>
      <c r="N40" s="114"/>
    </row>
    <row r="41" spans="1:14" s="113" customFormat="1" ht="15">
      <c r="A41" s="218"/>
      <c r="B41" s="218"/>
      <c r="C41" s="218"/>
      <c r="D41" s="218"/>
      <c r="E41" s="218"/>
      <c r="F41" s="56"/>
      <c r="G41" s="155" t="s">
        <v>89</v>
      </c>
      <c r="H41" s="161">
        <f>COUNTIFS(A12:A21,"&gt;=0,76", A12:A21, "&lt;=1")</f>
        <v>2</v>
      </c>
      <c r="I41" s="157">
        <v>2.5</v>
      </c>
      <c r="J41" s="158">
        <f t="shared" si="1"/>
        <v>0.1</v>
      </c>
      <c r="K41" s="204" t="s">
        <v>90</v>
      </c>
      <c r="L41" s="56"/>
      <c r="M41" s="56"/>
      <c r="N41" s="114"/>
    </row>
    <row r="42" spans="1:14" ht="23.25">
      <c r="A42" s="218"/>
      <c r="B42" s="218"/>
      <c r="C42" s="218"/>
      <c r="D42" s="218"/>
      <c r="E42" s="218"/>
      <c r="F42" s="56"/>
      <c r="G42" s="160" t="s">
        <v>91</v>
      </c>
      <c r="H42" s="161">
        <f>SUM(H38:H41)</f>
        <v>10</v>
      </c>
      <c r="I42" s="162">
        <f t="shared" ref="I42" si="2">SUM(I38:I40)</f>
        <v>7.5</v>
      </c>
      <c r="J42" s="163">
        <f>SUM(J38:J41)</f>
        <v>0.4</v>
      </c>
      <c r="K42" s="205" t="s">
        <v>92</v>
      </c>
      <c r="L42" s="204" t="s">
        <v>93</v>
      </c>
      <c r="M42" s="204" t="s">
        <v>94</v>
      </c>
      <c r="N42" s="203" t="s">
        <v>95</v>
      </c>
    </row>
    <row r="43" spans="1:14" ht="15">
      <c r="A43" s="218"/>
      <c r="B43" s="218"/>
      <c r="C43" s="218"/>
      <c r="D43" s="218"/>
      <c r="E43" s="218"/>
      <c r="F43" s="56"/>
      <c r="G43" s="152"/>
      <c r="H43" s="150" t="s">
        <v>62</v>
      </c>
      <c r="I43" s="164">
        <v>0.01</v>
      </c>
      <c r="J43" s="152"/>
      <c r="K43" s="56" t="s">
        <v>96</v>
      </c>
      <c r="L43" s="56"/>
      <c r="M43" s="56"/>
      <c r="N43" s="218"/>
    </row>
    <row r="44" spans="1:14" ht="23.25">
      <c r="A44" s="218"/>
      <c r="B44" s="218"/>
      <c r="C44" s="218"/>
      <c r="D44" s="218"/>
      <c r="E44" s="218"/>
      <c r="F44" s="56"/>
      <c r="G44" s="152"/>
      <c r="H44" s="206" t="s">
        <v>97</v>
      </c>
      <c r="I44" s="207">
        <f>_xlfn.CHISQ.INV.RT(I43,3)</f>
        <v>11.344866730144371</v>
      </c>
      <c r="J44" s="152"/>
      <c r="K44" s="238" t="s">
        <v>98</v>
      </c>
      <c r="L44" s="237"/>
      <c r="M44" s="56"/>
      <c r="N44" s="218"/>
    </row>
    <row r="45" spans="1:14" ht="15.75" customHeight="1">
      <c r="A45" s="218"/>
      <c r="B45" s="218"/>
      <c r="C45" s="218"/>
      <c r="D45" s="218"/>
      <c r="E45" s="218"/>
      <c r="F45" s="218"/>
      <c r="G45" s="218"/>
      <c r="H45" s="203" t="s">
        <v>99</v>
      </c>
      <c r="I45" s="218"/>
      <c r="J45" s="218"/>
      <c r="K45" s="114"/>
      <c r="L45" s="218"/>
      <c r="M45" s="222" t="s">
        <v>15</v>
      </c>
      <c r="N45" s="218"/>
    </row>
    <row r="46" spans="1:14" ht="21">
      <c r="A46" s="57" t="s">
        <v>100</v>
      </c>
      <c r="B46" s="218"/>
      <c r="C46" s="218"/>
      <c r="D46" s="218"/>
      <c r="E46" s="218"/>
      <c r="F46" s="218"/>
      <c r="G46" s="218"/>
      <c r="H46" s="222" t="s">
        <v>15</v>
      </c>
      <c r="I46" s="218"/>
      <c r="J46" s="218"/>
      <c r="K46" s="218"/>
      <c r="L46" s="218"/>
      <c r="M46" s="218"/>
      <c r="N46" s="218"/>
    </row>
    <row r="48" spans="1:14" ht="12.75">
      <c r="A48" s="58" t="s">
        <v>7</v>
      </c>
      <c r="B48" s="58" t="s">
        <v>101</v>
      </c>
      <c r="C48" s="58" t="s">
        <v>102</v>
      </c>
      <c r="D48" s="58" t="s">
        <v>103</v>
      </c>
      <c r="E48" s="58" t="s">
        <v>104</v>
      </c>
      <c r="F48" s="59" t="s">
        <v>105</v>
      </c>
      <c r="G48" s="218"/>
      <c r="H48" s="79" t="s">
        <v>106</v>
      </c>
      <c r="I48" s="218"/>
      <c r="J48" s="218"/>
      <c r="K48" s="218"/>
      <c r="L48" s="218"/>
      <c r="M48" s="218"/>
      <c r="N48" s="218"/>
    </row>
    <row r="49" spans="1:9" ht="12.75">
      <c r="A49" s="71">
        <v>1</v>
      </c>
      <c r="B49" s="71">
        <v>0.14280000000000001</v>
      </c>
      <c r="C49" s="71">
        <v>0.14280000000000001</v>
      </c>
      <c r="D49" s="120">
        <f t="shared" ref="D49:D58" si="3">(A49/$C$60)-C49</f>
        <v>-4.2800000000000005E-2</v>
      </c>
      <c r="E49" s="71">
        <f t="shared" ref="E49:E58" si="4">C49-((A49-1)/$C$60)</f>
        <v>0.14280000000000001</v>
      </c>
      <c r="F49" s="120">
        <f>MAX(D59:E59)</f>
        <v>0.2349</v>
      </c>
      <c r="G49" s="218"/>
      <c r="H49" s="218"/>
      <c r="I49" s="218"/>
    </row>
    <row r="50" spans="1:9" ht="14.25">
      <c r="A50" s="71">
        <v>2</v>
      </c>
      <c r="B50" s="71">
        <v>0.23799999999999999</v>
      </c>
      <c r="C50" s="71">
        <v>0.15870000000000001</v>
      </c>
      <c r="D50" s="120">
        <f t="shared" si="3"/>
        <v>4.1300000000000003E-2</v>
      </c>
      <c r="E50" s="71">
        <f t="shared" si="4"/>
        <v>5.8700000000000002E-2</v>
      </c>
      <c r="F50" s="219"/>
      <c r="G50" s="218"/>
      <c r="H50" s="61" t="s">
        <v>107</v>
      </c>
      <c r="I50" s="218"/>
    </row>
    <row r="51" spans="1:9" ht="12.75">
      <c r="A51" s="71">
        <v>3</v>
      </c>
      <c r="B51" s="71">
        <v>0.15870000000000001</v>
      </c>
      <c r="C51" s="71">
        <v>0.23799999999999999</v>
      </c>
      <c r="D51" s="120">
        <f t="shared" si="3"/>
        <v>6.2E-2</v>
      </c>
      <c r="E51" s="71">
        <f t="shared" si="4"/>
        <v>3.7999999999999978E-2</v>
      </c>
      <c r="F51" s="219"/>
      <c r="G51" s="218"/>
      <c r="H51" s="79" t="s">
        <v>108</v>
      </c>
      <c r="I51" s="79">
        <v>0.49</v>
      </c>
    </row>
    <row r="52" spans="1:9" ht="12.75">
      <c r="A52" s="71">
        <v>4</v>
      </c>
      <c r="B52" s="71">
        <v>0.63490000000000002</v>
      </c>
      <c r="C52" s="71">
        <v>0.25390000000000001</v>
      </c>
      <c r="D52" s="120">
        <f t="shared" si="3"/>
        <v>0.14610000000000001</v>
      </c>
      <c r="E52" s="71">
        <f t="shared" si="4"/>
        <v>-4.6099999999999974E-2</v>
      </c>
      <c r="F52" s="117"/>
      <c r="G52" s="218"/>
      <c r="H52" s="218"/>
      <c r="I52" s="218"/>
    </row>
    <row r="53" spans="1:9" ht="12.75">
      <c r="A53" s="71">
        <v>5</v>
      </c>
      <c r="B53" s="71">
        <v>0.95230000000000004</v>
      </c>
      <c r="C53" s="71">
        <v>0.30149999999999999</v>
      </c>
      <c r="D53" s="120">
        <f t="shared" si="3"/>
        <v>0.19850000000000001</v>
      </c>
      <c r="E53" s="71">
        <f t="shared" si="4"/>
        <v>-9.8500000000000032E-2</v>
      </c>
      <c r="F53" s="219"/>
      <c r="G53" s="218"/>
      <c r="H53" s="218"/>
      <c r="I53" s="218"/>
    </row>
    <row r="54" spans="1:9" ht="12.75">
      <c r="A54" s="71">
        <v>6</v>
      </c>
      <c r="B54" s="71">
        <v>0.25390000000000001</v>
      </c>
      <c r="C54" s="71">
        <v>0.36509999999999998</v>
      </c>
      <c r="D54" s="120">
        <f t="shared" si="3"/>
        <v>0.2349</v>
      </c>
      <c r="E54" s="71">
        <f t="shared" si="4"/>
        <v>-0.13490000000000002</v>
      </c>
      <c r="F54" s="219"/>
      <c r="G54" s="167"/>
      <c r="H54" s="218"/>
      <c r="I54" s="218"/>
    </row>
    <row r="55" spans="1:9" ht="12.75">
      <c r="A55" s="71">
        <v>7</v>
      </c>
      <c r="B55" s="71">
        <v>0.98409999999999997</v>
      </c>
      <c r="C55" s="71">
        <v>0.63490000000000002</v>
      </c>
      <c r="D55" s="120">
        <f t="shared" si="3"/>
        <v>6.5099999999999936E-2</v>
      </c>
      <c r="E55" s="71">
        <f t="shared" si="4"/>
        <v>3.4900000000000042E-2</v>
      </c>
      <c r="F55" s="219"/>
      <c r="G55" s="218"/>
      <c r="H55" s="218"/>
      <c r="I55" s="218"/>
    </row>
    <row r="56" spans="1:9" ht="12.75">
      <c r="A56" s="71">
        <v>8</v>
      </c>
      <c r="B56" s="71">
        <v>0.71419999999999995</v>
      </c>
      <c r="C56" s="71">
        <v>0.71419999999999995</v>
      </c>
      <c r="D56" s="120">
        <f t="shared" si="3"/>
        <v>8.5800000000000098E-2</v>
      </c>
      <c r="E56" s="71">
        <f t="shared" si="4"/>
        <v>1.419999999999999E-2</v>
      </c>
      <c r="F56" s="219"/>
      <c r="G56" s="218"/>
      <c r="H56" s="218"/>
      <c r="I56" s="218"/>
    </row>
    <row r="57" spans="1:9" ht="12.75">
      <c r="A57" s="71">
        <v>9</v>
      </c>
      <c r="B57" s="71">
        <v>0.30149999999999999</v>
      </c>
      <c r="C57" s="71">
        <v>0.95230000000000004</v>
      </c>
      <c r="D57" s="120">
        <f t="shared" si="3"/>
        <v>-5.2300000000000013E-2</v>
      </c>
      <c r="E57" s="71">
        <f t="shared" si="4"/>
        <v>0.15229999999999999</v>
      </c>
      <c r="F57" s="219"/>
      <c r="G57" s="79" t="s">
        <v>109</v>
      </c>
      <c r="H57" s="218"/>
      <c r="I57" s="218"/>
    </row>
    <row r="58" spans="1:9" ht="12.75">
      <c r="A58" s="71">
        <v>10</v>
      </c>
      <c r="B58" s="71">
        <v>0.36509999999999998</v>
      </c>
      <c r="C58" s="71">
        <v>0.98409999999999997</v>
      </c>
      <c r="D58" s="120">
        <f t="shared" si="3"/>
        <v>1.5900000000000025E-2</v>
      </c>
      <c r="E58" s="71">
        <f t="shared" si="4"/>
        <v>8.4099999999999953E-2</v>
      </c>
      <c r="F58" s="219"/>
      <c r="G58" s="218"/>
      <c r="H58" s="218"/>
      <c r="I58" s="218"/>
    </row>
    <row r="59" spans="1:9" ht="18.75">
      <c r="A59" s="218"/>
      <c r="B59" s="218"/>
      <c r="C59" s="65" t="s">
        <v>110</v>
      </c>
      <c r="D59" s="65">
        <f>MAX(D49:D58)</f>
        <v>0.2349</v>
      </c>
      <c r="E59" s="66">
        <f t="shared" ref="E59" si="5">MAX(E49:E58)</f>
        <v>0.15229999999999999</v>
      </c>
      <c r="F59" s="63" t="s">
        <v>76</v>
      </c>
      <c r="G59" s="64" t="str">
        <f>IF(I51&gt;F49,"No se puede rechazar", "Se puede rechazar")</f>
        <v>No se puede rechazar</v>
      </c>
      <c r="H59" s="218"/>
      <c r="I59" s="218"/>
    </row>
    <row r="60" spans="1:9" ht="12.75">
      <c r="A60" s="218"/>
      <c r="B60" s="219" t="s">
        <v>58</v>
      </c>
      <c r="C60" s="79">
        <v>10</v>
      </c>
      <c r="D60" s="114"/>
      <c r="E60" s="218"/>
      <c r="F60" s="218"/>
      <c r="G60" s="218"/>
      <c r="H60" s="218"/>
      <c r="I60" s="218"/>
    </row>
    <row r="61" spans="1:9" ht="12.75">
      <c r="A61" s="218"/>
      <c r="B61" s="219"/>
      <c r="C61" s="218"/>
      <c r="D61" s="114"/>
      <c r="E61" s="218"/>
      <c r="F61" s="218"/>
      <c r="G61" s="218"/>
      <c r="H61" s="218"/>
      <c r="I61" s="218"/>
    </row>
    <row r="62" spans="1:9" ht="15.75" customHeight="1">
      <c r="A62" s="218"/>
      <c r="B62" s="218"/>
      <c r="C62" s="218"/>
      <c r="D62" s="173"/>
      <c r="E62" s="218"/>
      <c r="F62" s="218" t="s">
        <v>111</v>
      </c>
      <c r="G62" s="218"/>
      <c r="H62" s="218"/>
      <c r="I62" s="218"/>
    </row>
    <row r="63" spans="1:9" ht="20.25">
      <c r="A63" s="67" t="s">
        <v>112</v>
      </c>
      <c r="B63" s="68"/>
      <c r="C63" s="68"/>
      <c r="D63" s="79"/>
      <c r="E63" s="218"/>
      <c r="F63" s="218"/>
      <c r="G63" s="218"/>
      <c r="H63" s="218"/>
      <c r="I63" s="218"/>
    </row>
    <row r="64" spans="1:9" ht="12.75">
      <c r="A64" s="79"/>
      <c r="B64" s="79"/>
      <c r="C64" s="79"/>
      <c r="D64" s="79"/>
      <c r="E64" s="218"/>
      <c r="F64" s="218"/>
      <c r="G64" s="218"/>
      <c r="H64" s="218"/>
      <c r="I64" s="218"/>
    </row>
    <row r="65" spans="1:5" ht="12.75">
      <c r="A65" s="69" t="s">
        <v>113</v>
      </c>
      <c r="B65" s="74" t="s">
        <v>114</v>
      </c>
      <c r="C65" s="74" t="s">
        <v>115</v>
      </c>
      <c r="D65" s="79"/>
      <c r="E65" s="79"/>
    </row>
    <row r="66" spans="1:5" ht="12.75">
      <c r="A66" s="70">
        <v>0.14280000000000001</v>
      </c>
      <c r="B66" s="71">
        <f t="shared" ref="B66:B74" si="6">IF(A66&lt;=A67,1,0)</f>
        <v>1</v>
      </c>
      <c r="C66" s="77">
        <v>7</v>
      </c>
      <c r="D66" s="79"/>
      <c r="E66" s="218"/>
    </row>
    <row r="67" spans="1:5" ht="12.75">
      <c r="A67" s="70">
        <v>0.23799999999999999</v>
      </c>
      <c r="B67" s="71">
        <f t="shared" si="6"/>
        <v>0</v>
      </c>
      <c r="C67" s="72" t="s">
        <v>116</v>
      </c>
      <c r="D67" s="79"/>
      <c r="E67" s="218"/>
    </row>
    <row r="68" spans="1:5" ht="12.75">
      <c r="A68" s="71">
        <v>0.15870000000000001</v>
      </c>
      <c r="B68" s="71">
        <f t="shared" si="6"/>
        <v>1</v>
      </c>
      <c r="C68" s="73">
        <v>10</v>
      </c>
      <c r="D68" s="79"/>
      <c r="E68" s="218"/>
    </row>
    <row r="69" spans="1:5" ht="12.75">
      <c r="A69" s="70">
        <v>0.63490000000000002</v>
      </c>
      <c r="B69" s="71">
        <f t="shared" si="6"/>
        <v>1</v>
      </c>
      <c r="C69" s="74" t="s">
        <v>117</v>
      </c>
      <c r="D69" s="79"/>
      <c r="E69" s="218"/>
    </row>
    <row r="70" spans="1:5" ht="12.75">
      <c r="A70" s="70">
        <v>0.95230000000000004</v>
      </c>
      <c r="B70" s="71">
        <f t="shared" si="6"/>
        <v>0</v>
      </c>
      <c r="C70" s="75">
        <f>(2*C68-1)/3</f>
        <v>6.333333333333333</v>
      </c>
      <c r="D70" s="79"/>
      <c r="E70" s="218"/>
    </row>
    <row r="71" spans="1:5" ht="15">
      <c r="A71" s="70">
        <v>0.25390000000000001</v>
      </c>
      <c r="B71" s="71">
        <f t="shared" si="6"/>
        <v>1</v>
      </c>
      <c r="C71" s="76" t="s">
        <v>118</v>
      </c>
      <c r="D71" s="79"/>
      <c r="E71" s="218"/>
    </row>
    <row r="72" spans="1:5" ht="12.75">
      <c r="A72" s="70">
        <v>0.98409999999999997</v>
      </c>
      <c r="B72" s="71">
        <f t="shared" si="6"/>
        <v>0</v>
      </c>
      <c r="C72" s="77">
        <f>(16*C68-29)/90</f>
        <v>1.4555555555555555</v>
      </c>
      <c r="D72" s="79"/>
      <c r="E72" s="218"/>
    </row>
    <row r="73" spans="1:5" ht="12.75">
      <c r="A73" s="70">
        <v>0.71419999999999995</v>
      </c>
      <c r="B73" s="71">
        <f t="shared" si="6"/>
        <v>0</v>
      </c>
      <c r="C73" s="74" t="s">
        <v>119</v>
      </c>
      <c r="D73" s="79"/>
      <c r="E73" s="218"/>
    </row>
    <row r="74" spans="1:5" ht="12.75">
      <c r="A74" s="70">
        <v>0.30149999999999999</v>
      </c>
      <c r="B74" s="71">
        <f t="shared" si="6"/>
        <v>1</v>
      </c>
      <c r="C74" s="77">
        <f>ABS((C66-C70)/SQRT(C72))</f>
        <v>0.55257896399553785</v>
      </c>
      <c r="D74" s="79"/>
      <c r="E74" s="218"/>
    </row>
    <row r="75" spans="1:5" ht="18">
      <c r="A75" s="85">
        <v>0.36509999999999998</v>
      </c>
      <c r="B75" s="71"/>
      <c r="C75" s="78" t="s">
        <v>120</v>
      </c>
      <c r="D75" s="79" t="s">
        <v>121</v>
      </c>
      <c r="E75" s="218"/>
    </row>
    <row r="76" spans="1:5" ht="12.75">
      <c r="A76" s="79"/>
      <c r="B76" s="79"/>
      <c r="C76" s="208">
        <f>_xlfn.NORM.S.INV(0.995)</f>
        <v>2.5758293035488999</v>
      </c>
      <c r="D76" s="203" t="s">
        <v>122</v>
      </c>
      <c r="E76" s="218"/>
    </row>
    <row r="77" spans="1:5" ht="18">
      <c r="A77" s="92" t="s">
        <v>123</v>
      </c>
      <c r="B77" s="218"/>
      <c r="C77" s="81" t="str">
        <f>IF(C76&gt;C74,"No se puede rechazar", "Se puede rechazar")</f>
        <v>No se puede rechazar</v>
      </c>
      <c r="D77" s="218"/>
      <c r="E77" s="121" t="s">
        <v>124</v>
      </c>
    </row>
    <row r="78" spans="1:5" ht="15.75" customHeight="1">
      <c r="A78" s="114"/>
      <c r="B78" s="218"/>
      <c r="C78" s="218"/>
      <c r="D78" s="218"/>
      <c r="E78" s="250" t="s">
        <v>15</v>
      </c>
    </row>
    <row r="81" spans="1:5" ht="20.25">
      <c r="A81" s="83" t="s">
        <v>125</v>
      </c>
      <c r="B81" s="14"/>
      <c r="C81" s="14"/>
      <c r="D81" s="14"/>
      <c r="E81" s="218"/>
    </row>
    <row r="82" spans="1:5" ht="14.25">
      <c r="A82" s="14"/>
      <c r="B82" s="84" t="s">
        <v>126</v>
      </c>
      <c r="C82" s="84" t="s">
        <v>127</v>
      </c>
      <c r="D82" s="84" t="s">
        <v>128</v>
      </c>
      <c r="E82" s="79" t="s">
        <v>129</v>
      </c>
    </row>
    <row r="83" spans="1:5" ht="18">
      <c r="A83" s="86" t="s">
        <v>113</v>
      </c>
      <c r="B83" s="87" t="s">
        <v>114</v>
      </c>
      <c r="C83" s="87" t="s">
        <v>115</v>
      </c>
      <c r="D83" s="74" t="s">
        <v>117</v>
      </c>
      <c r="E83" s="78" t="s">
        <v>120</v>
      </c>
    </row>
    <row r="84" spans="1:5" ht="14.25">
      <c r="A84" s="90">
        <v>0.14280000000000001</v>
      </c>
      <c r="B84" s="88">
        <f t="shared" ref="B84:B93" si="7">ROUND(A84,0)</f>
        <v>0</v>
      </c>
      <c r="C84" s="89">
        <v>5</v>
      </c>
      <c r="D84" s="22">
        <f>((2*C86*C88)/D89)+1/2</f>
        <v>5.3</v>
      </c>
      <c r="E84" s="209">
        <f>_xlfn.NORM.S.INV(0.99)</f>
        <v>2.3263478740408408</v>
      </c>
    </row>
    <row r="85" spans="1:5" ht="15">
      <c r="A85" s="90">
        <v>0.23799999999999999</v>
      </c>
      <c r="B85" s="88">
        <f t="shared" si="7"/>
        <v>0</v>
      </c>
      <c r="C85" s="87" t="s">
        <v>130</v>
      </c>
      <c r="D85" s="76" t="s">
        <v>118</v>
      </c>
      <c r="E85" s="79" t="s">
        <v>76</v>
      </c>
    </row>
    <row r="86" spans="1:5" ht="15">
      <c r="A86" s="89">
        <v>0.15870000000000001</v>
      </c>
      <c r="B86" s="88">
        <f t="shared" si="7"/>
        <v>0</v>
      </c>
      <c r="C86" s="23">
        <f>COUNTIF(B84:B93,0)</f>
        <v>6</v>
      </c>
      <c r="D86" s="22">
        <f>2*C86*C88*(2*C86*C88-$D$89)/($D$89*$D$89*($D$89-1))</f>
        <v>2.0266666666666668</v>
      </c>
      <c r="E86" s="91" t="str">
        <f>IF(E84&gt;D88,"No se puede rechazar", "Se puede rechazar")</f>
        <v>No se puede rechazar</v>
      </c>
    </row>
    <row r="87" spans="1:5" ht="14.25">
      <c r="A87" s="90">
        <v>0.63490000000000002</v>
      </c>
      <c r="B87" s="88">
        <f t="shared" si="7"/>
        <v>1</v>
      </c>
      <c r="C87" s="87" t="s">
        <v>131</v>
      </c>
      <c r="D87" s="74" t="s">
        <v>119</v>
      </c>
      <c r="E87" s="218"/>
    </row>
    <row r="88" spans="1:5" ht="14.25">
      <c r="A88" s="90">
        <v>0.95230000000000004</v>
      </c>
      <c r="B88" s="88">
        <f t="shared" si="7"/>
        <v>1</v>
      </c>
      <c r="C88" s="23">
        <f>COUNTIF(B84:B93,1)</f>
        <v>4</v>
      </c>
      <c r="D88" s="22">
        <f>(C84-D84)/SQRT(D86)</f>
        <v>-0.21073180760588101</v>
      </c>
      <c r="E88" s="218"/>
    </row>
    <row r="89" spans="1:5" ht="14.25">
      <c r="A89" s="90">
        <v>0.25390000000000001</v>
      </c>
      <c r="B89" s="88">
        <f t="shared" si="7"/>
        <v>0</v>
      </c>
      <c r="C89" s="87" t="s">
        <v>116</v>
      </c>
      <c r="D89" s="86">
        <v>10</v>
      </c>
      <c r="E89" s="218"/>
    </row>
    <row r="90" spans="1:5" ht="14.25">
      <c r="A90" s="90">
        <v>0.98409999999999997</v>
      </c>
      <c r="B90" s="88">
        <f t="shared" si="7"/>
        <v>1</v>
      </c>
      <c r="C90" s="14"/>
      <c r="D90" s="14"/>
      <c r="E90" s="218"/>
    </row>
    <row r="91" spans="1:5" ht="18">
      <c r="A91" s="90">
        <v>0.71419999999999995</v>
      </c>
      <c r="B91" s="88">
        <f t="shared" si="7"/>
        <v>1</v>
      </c>
      <c r="C91" s="14"/>
      <c r="D91" s="92" t="s">
        <v>123</v>
      </c>
      <c r="E91" s="92"/>
    </row>
    <row r="92" spans="1:5" ht="14.25">
      <c r="A92" s="90">
        <v>0.30149999999999999</v>
      </c>
      <c r="B92" s="88">
        <f t="shared" si="7"/>
        <v>0</v>
      </c>
      <c r="C92" s="14"/>
      <c r="D92" s="14"/>
      <c r="E92" s="218"/>
    </row>
    <row r="93" spans="1:5" ht="14.25">
      <c r="A93" s="93">
        <v>0.36509999999999998</v>
      </c>
      <c r="B93" s="88">
        <f t="shared" si="7"/>
        <v>0</v>
      </c>
      <c r="C93" s="24"/>
      <c r="D93" s="14"/>
      <c r="E93" s="218"/>
    </row>
    <row r="94" spans="1:5" ht="15.75" customHeight="1">
      <c r="A94" s="218"/>
      <c r="B94" s="218"/>
      <c r="C94" s="218"/>
      <c r="D94" s="218"/>
      <c r="E94" s="218" t="s">
        <v>124</v>
      </c>
    </row>
    <row r="95" spans="1:5" ht="16.899999999999999" customHeight="1">
      <c r="A95" s="114"/>
      <c r="B95" s="218"/>
      <c r="C95" s="218"/>
      <c r="D95" s="218"/>
      <c r="E95" s="218"/>
    </row>
  </sheetData>
  <mergeCells count="12">
    <mergeCell ref="F20:H20"/>
    <mergeCell ref="F21:G21"/>
    <mergeCell ref="F22:G22"/>
    <mergeCell ref="G35:J35"/>
    <mergeCell ref="K44:L44"/>
    <mergeCell ref="F16:G16"/>
    <mergeCell ref="F17:G17"/>
    <mergeCell ref="F11:H11"/>
    <mergeCell ref="F12:G12"/>
    <mergeCell ref="F13:G13"/>
    <mergeCell ref="F14:G14"/>
    <mergeCell ref="F15:G15"/>
  </mergeCells>
  <conditionalFormatting sqref="A21 A93">
    <cfRule type="notContainsBlanks" dxfId="0" priority="1">
      <formula>LEN(TRIM(A21))&gt;0</formula>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33"/>
  <sheetViews>
    <sheetView topLeftCell="A129" zoomScale="150" zoomScaleNormal="150" workbookViewId="0">
      <selection activeCell="E124" sqref="E124"/>
    </sheetView>
  </sheetViews>
  <sheetFormatPr defaultColWidth="14.42578125" defaultRowHeight="15.75" customHeight="1"/>
  <cols>
    <col min="3" max="3" width="12.28515625" customWidth="1"/>
    <col min="6" max="6" width="16.85546875" customWidth="1"/>
    <col min="7" max="7" width="19" customWidth="1"/>
  </cols>
  <sheetData>
    <row r="1" spans="1:6" ht="12.75">
      <c r="A1" s="29" t="s">
        <v>132</v>
      </c>
      <c r="B1" s="218"/>
      <c r="C1" s="218"/>
      <c r="D1" s="218"/>
      <c r="E1" s="218"/>
      <c r="F1" s="218"/>
    </row>
    <row r="2" spans="1:6" ht="12.75">
      <c r="A2" s="29" t="s">
        <v>133</v>
      </c>
      <c r="B2" s="218"/>
      <c r="C2" s="218"/>
      <c r="D2" s="218"/>
      <c r="E2" s="218"/>
      <c r="F2" s="218"/>
    </row>
    <row r="3" spans="1:6" ht="12.75">
      <c r="A3" s="29" t="s">
        <v>49</v>
      </c>
      <c r="B3" s="218"/>
      <c r="C3" s="218"/>
      <c r="D3" s="218"/>
      <c r="E3" s="218"/>
      <c r="F3" s="218"/>
    </row>
    <row r="4" spans="1:6" ht="12.75">
      <c r="A4" s="29" t="s">
        <v>50</v>
      </c>
      <c r="B4" s="218"/>
      <c r="C4" s="218"/>
      <c r="D4" s="218"/>
      <c r="E4" s="218"/>
      <c r="F4" s="218"/>
    </row>
    <row r="5" spans="1:6" ht="12.75">
      <c r="A5" s="29" t="s">
        <v>134</v>
      </c>
      <c r="B5" s="218"/>
      <c r="C5" s="218"/>
      <c r="D5" s="218"/>
      <c r="E5" s="218"/>
      <c r="F5" s="218"/>
    </row>
    <row r="6" spans="1:6" ht="12.75">
      <c r="A6" s="29" t="s">
        <v>52</v>
      </c>
      <c r="B6" s="218"/>
      <c r="C6" s="218"/>
      <c r="D6" s="218"/>
      <c r="E6" s="218"/>
      <c r="F6" s="218"/>
    </row>
    <row r="7" spans="1:6" ht="12.75">
      <c r="A7" s="29" t="s">
        <v>53</v>
      </c>
      <c r="B7" s="218"/>
      <c r="C7" s="218"/>
      <c r="D7" s="218"/>
      <c r="E7" s="218"/>
      <c r="F7" s="218"/>
    </row>
    <row r="8" spans="1:6" ht="12.75">
      <c r="A8" s="29" t="s">
        <v>54</v>
      </c>
      <c r="B8" s="218"/>
      <c r="C8" s="218"/>
      <c r="D8" s="218"/>
      <c r="E8" s="218"/>
      <c r="F8" s="218"/>
    </row>
    <row r="9" spans="1:6" ht="12.75">
      <c r="A9" s="29" t="s">
        <v>55</v>
      </c>
      <c r="B9" s="218"/>
      <c r="C9" s="218"/>
      <c r="D9" s="218"/>
      <c r="E9" s="218"/>
      <c r="F9" s="218"/>
    </row>
    <row r="10" spans="1:6" ht="12.75">
      <c r="A10" s="29" t="s">
        <v>57</v>
      </c>
      <c r="B10" s="218"/>
      <c r="C10" s="218"/>
      <c r="D10" s="218"/>
      <c r="E10" s="218"/>
      <c r="F10" s="218"/>
    </row>
    <row r="11" spans="1:6" ht="12.75">
      <c r="A11" s="31" t="s">
        <v>135</v>
      </c>
      <c r="B11" s="218"/>
      <c r="C11" s="218"/>
      <c r="D11" s="218"/>
      <c r="E11" s="218"/>
      <c r="F11" s="218"/>
    </row>
    <row r="12" spans="1:6" ht="12.75">
      <c r="A12" s="31" t="s">
        <v>136</v>
      </c>
      <c r="B12" s="218"/>
      <c r="C12" s="218"/>
      <c r="D12" s="218"/>
      <c r="E12" s="218"/>
      <c r="F12" s="218"/>
    </row>
    <row r="13" spans="1:6" ht="12.75">
      <c r="A13" s="35" t="s">
        <v>137</v>
      </c>
      <c r="B13" s="218"/>
      <c r="C13" s="218"/>
      <c r="D13" s="218"/>
      <c r="E13" s="218"/>
      <c r="F13" s="218"/>
    </row>
    <row r="14" spans="1:6" ht="15.75" customHeight="1">
      <c r="A14" s="218"/>
      <c r="B14" s="218"/>
      <c r="C14" s="218"/>
      <c r="D14" s="25" t="s">
        <v>56</v>
      </c>
      <c r="E14" s="218"/>
      <c r="F14" s="218"/>
    </row>
    <row r="15" spans="1:6" ht="12.75">
      <c r="A15" s="36" t="s">
        <v>60</v>
      </c>
      <c r="B15" s="36" t="s">
        <v>138</v>
      </c>
      <c r="C15" s="218"/>
      <c r="D15" s="79" t="s">
        <v>139</v>
      </c>
      <c r="E15" s="218"/>
      <c r="F15" s="16">
        <f>F16-1</f>
        <v>19</v>
      </c>
    </row>
    <row r="16" spans="1:6" ht="12.75">
      <c r="A16" s="77">
        <v>0</v>
      </c>
      <c r="B16" s="38">
        <v>0.60199999999999998</v>
      </c>
      <c r="C16" s="218"/>
      <c r="D16" s="79" t="s">
        <v>116</v>
      </c>
      <c r="E16" s="218"/>
      <c r="F16" s="79">
        <v>20</v>
      </c>
    </row>
    <row r="17" spans="1:6" ht="15">
      <c r="A17" s="77">
        <v>1</v>
      </c>
      <c r="B17" s="38">
        <v>0.34599999999999997</v>
      </c>
      <c r="C17" s="218"/>
      <c r="D17" s="239" t="s">
        <v>140</v>
      </c>
      <c r="E17" s="231"/>
      <c r="F17" s="228"/>
    </row>
    <row r="18" spans="1:6" ht="14.25">
      <c r="A18" s="77">
        <v>2</v>
      </c>
      <c r="B18" s="77">
        <v>0.6169</v>
      </c>
      <c r="C18" s="218"/>
      <c r="D18" s="232" t="s">
        <v>62</v>
      </c>
      <c r="E18" s="228"/>
      <c r="F18" s="30">
        <v>0.05</v>
      </c>
    </row>
    <row r="19" spans="1:6" ht="14.25">
      <c r="A19" s="77">
        <v>3</v>
      </c>
      <c r="B19" s="77">
        <v>0.63260000000000005</v>
      </c>
      <c r="C19" s="218"/>
      <c r="D19" s="232" t="s">
        <v>63</v>
      </c>
      <c r="E19" s="228"/>
      <c r="F19" s="32">
        <f>1-(F18/2)</f>
        <v>0.97499999999999998</v>
      </c>
    </row>
    <row r="20" spans="1:6" ht="15.75" customHeight="1">
      <c r="A20" s="77">
        <v>4</v>
      </c>
      <c r="B20" s="77">
        <v>0.44209999999999999</v>
      </c>
      <c r="C20" s="218"/>
      <c r="D20" s="233" t="s">
        <v>64</v>
      </c>
      <c r="E20" s="228"/>
      <c r="F20" s="33">
        <f>NORMSINV(F19)</f>
        <v>1.9599639845400536</v>
      </c>
    </row>
    <row r="21" spans="1:6" ht="15.75" customHeight="1">
      <c r="A21" s="77">
        <v>5</v>
      </c>
      <c r="B21" s="38">
        <v>0.14960000000000001</v>
      </c>
      <c r="C21" s="218"/>
      <c r="D21" s="234" t="s">
        <v>65</v>
      </c>
      <c r="E21" s="228"/>
      <c r="F21" s="34">
        <f>1/2-F20*(1/SQRT(12*F16))</f>
        <v>0.37348486881183407</v>
      </c>
    </row>
    <row r="22" spans="1:6" ht="15.75" customHeight="1">
      <c r="A22" s="77">
        <v>6</v>
      </c>
      <c r="B22" s="77">
        <v>0.20180000000000001</v>
      </c>
      <c r="C22" s="218"/>
      <c r="D22" s="227" t="s">
        <v>66</v>
      </c>
      <c r="E22" s="228"/>
      <c r="F22" s="37">
        <f>AVERAGE(B16:B35)</f>
        <v>0.48988999999999994</v>
      </c>
    </row>
    <row r="23" spans="1:6" ht="15.75" customHeight="1">
      <c r="A23" s="77">
        <v>7</v>
      </c>
      <c r="B23" s="77">
        <v>0.14860000000000001</v>
      </c>
      <c r="C23" s="218"/>
      <c r="D23" s="229" t="s">
        <v>67</v>
      </c>
      <c r="E23" s="228"/>
      <c r="F23" s="39">
        <f>1/2+F20*(1/SQRT(12*F16))</f>
        <v>0.62651513118816593</v>
      </c>
    </row>
    <row r="24" spans="1:6" ht="18">
      <c r="A24" s="77">
        <v>8</v>
      </c>
      <c r="B24" s="77">
        <v>0.56640000000000001</v>
      </c>
      <c r="C24" s="218"/>
      <c r="D24" s="218"/>
      <c r="E24" s="45" t="s">
        <v>141</v>
      </c>
      <c r="F24" s="218"/>
    </row>
    <row r="25" spans="1:6" ht="12.75">
      <c r="A25" s="77">
        <v>9</v>
      </c>
      <c r="B25" s="77">
        <v>0.29399999999999998</v>
      </c>
      <c r="C25" s="218"/>
      <c r="D25" s="218"/>
      <c r="E25" s="218"/>
      <c r="F25" s="218"/>
    </row>
    <row r="26" spans="1:6" ht="20.25">
      <c r="A26" s="77">
        <v>10</v>
      </c>
      <c r="B26" s="77">
        <v>4.0300000000000002E-2</v>
      </c>
      <c r="C26" s="218"/>
      <c r="D26" s="25" t="s">
        <v>69</v>
      </c>
      <c r="E26" s="218"/>
      <c r="F26" s="218"/>
    </row>
    <row r="27" spans="1:6" ht="12.75">
      <c r="A27" s="77">
        <v>11</v>
      </c>
      <c r="B27" s="77">
        <v>0.9224</v>
      </c>
      <c r="C27" s="218"/>
      <c r="D27" s="218"/>
      <c r="E27" s="79" t="s">
        <v>142</v>
      </c>
      <c r="F27" s="79">
        <v>20</v>
      </c>
    </row>
    <row r="28" spans="1:6" ht="15">
      <c r="A28" s="77">
        <v>12</v>
      </c>
      <c r="B28" s="77">
        <v>0.60070000000000001</v>
      </c>
      <c r="C28" s="218"/>
      <c r="D28" s="239" t="s">
        <v>69</v>
      </c>
      <c r="E28" s="231"/>
      <c r="F28" s="228"/>
    </row>
    <row r="29" spans="1:6" ht="14.25">
      <c r="A29" s="77">
        <v>13</v>
      </c>
      <c r="B29" s="77">
        <v>0.26879999999999998</v>
      </c>
      <c r="C29" s="218"/>
      <c r="D29" s="232" t="s">
        <v>62</v>
      </c>
      <c r="E29" s="228"/>
      <c r="F29" s="30">
        <v>0.05</v>
      </c>
    </row>
    <row r="30" spans="1:6" ht="14.25">
      <c r="A30" s="77">
        <v>14</v>
      </c>
      <c r="B30" s="77">
        <v>0.32919999999999999</v>
      </c>
      <c r="C30" s="218"/>
      <c r="D30" s="232" t="s">
        <v>143</v>
      </c>
      <c r="E30" s="228"/>
      <c r="F30" s="30">
        <f>F29/2</f>
        <v>2.5000000000000001E-2</v>
      </c>
    </row>
    <row r="31" spans="1:6" ht="14.25">
      <c r="A31" s="77">
        <v>15</v>
      </c>
      <c r="B31" s="77">
        <v>0.90169999999999995</v>
      </c>
      <c r="C31" s="218"/>
      <c r="D31" s="232" t="s">
        <v>63</v>
      </c>
      <c r="E31" s="228"/>
      <c r="F31" s="32">
        <f>1-(F29/2)</f>
        <v>0.97499999999999998</v>
      </c>
    </row>
    <row r="32" spans="1:6" ht="15">
      <c r="A32" s="77">
        <v>16</v>
      </c>
      <c r="B32" s="77">
        <v>0.65980000000000005</v>
      </c>
      <c r="C32" s="218"/>
      <c r="D32" s="240" t="s">
        <v>71</v>
      </c>
      <c r="E32" s="228"/>
      <c r="F32" s="51">
        <f>_xlfn.CHISQ.INV(F30,F27-1)</f>
        <v>8.906516481987973</v>
      </c>
    </row>
    <row r="33" spans="1:9">
      <c r="A33" s="77">
        <v>17</v>
      </c>
      <c r="B33" s="77">
        <v>0.40050000000000002</v>
      </c>
      <c r="C33" s="218"/>
      <c r="D33" s="241" t="s">
        <v>72</v>
      </c>
      <c r="E33" s="228"/>
      <c r="F33" s="33">
        <f>_xlfn.CHISQ.INV(F31,F27-1)</f>
        <v>32.852326861729722</v>
      </c>
      <c r="G33" s="218"/>
      <c r="H33" s="218"/>
      <c r="I33" s="218"/>
    </row>
    <row r="34" spans="1:9" ht="12.75">
      <c r="A34" s="77">
        <v>18</v>
      </c>
      <c r="B34" s="77">
        <v>0.79879999999999995</v>
      </c>
      <c r="C34" s="218"/>
      <c r="D34" s="242" t="s">
        <v>74</v>
      </c>
      <c r="E34" s="228"/>
      <c r="F34" s="52">
        <f>F32/(12*(F27-1))</f>
        <v>3.9063668780649007E-2</v>
      </c>
      <c r="G34" s="218"/>
      <c r="H34" s="218"/>
      <c r="I34" s="218"/>
    </row>
    <row r="35" spans="1:9" ht="12.75">
      <c r="A35" s="77">
        <v>19</v>
      </c>
      <c r="B35" s="77">
        <v>0.87560000000000004</v>
      </c>
      <c r="C35" s="218"/>
      <c r="D35" s="243" t="s">
        <v>73</v>
      </c>
      <c r="E35" s="228"/>
      <c r="F35" s="53">
        <f>_xlfn.VAR.S(B16:B35)</f>
        <v>7.1493434631578978E-2</v>
      </c>
      <c r="G35" s="218"/>
      <c r="H35" s="218"/>
      <c r="I35" s="218"/>
    </row>
    <row r="36" spans="1:9" ht="12.75">
      <c r="A36" s="218"/>
      <c r="B36" s="218"/>
      <c r="C36" s="218"/>
      <c r="D36" s="242" t="s">
        <v>75</v>
      </c>
      <c r="E36" s="228"/>
      <c r="F36" s="52">
        <f>F33/(12*(F27-1))</f>
        <v>0.14408915290232335</v>
      </c>
      <c r="G36" s="218"/>
      <c r="H36" s="218"/>
      <c r="I36" s="218"/>
    </row>
    <row r="37" spans="1:9" ht="18">
      <c r="A37" s="218"/>
      <c r="B37" s="218"/>
      <c r="C37" s="218"/>
      <c r="D37" s="218"/>
      <c r="E37" s="45" t="s">
        <v>141</v>
      </c>
      <c r="F37" s="218"/>
      <c r="G37" s="218"/>
      <c r="H37" s="218"/>
      <c r="I37" s="218"/>
    </row>
    <row r="40" spans="1:9" ht="21">
      <c r="A40" s="218"/>
      <c r="B40" s="218"/>
      <c r="C40" s="218"/>
      <c r="D40" s="236" t="s">
        <v>77</v>
      </c>
      <c r="E40" s="237"/>
      <c r="F40" s="237"/>
      <c r="G40" s="237"/>
      <c r="H40" s="56"/>
      <c r="I40" s="56"/>
    </row>
    <row r="41" spans="1:9" ht="15">
      <c r="A41" s="218"/>
      <c r="B41" s="218"/>
      <c r="C41" s="218"/>
      <c r="D41" s="150" t="s">
        <v>78</v>
      </c>
      <c r="E41" s="172">
        <v>5</v>
      </c>
      <c r="F41" s="150" t="s">
        <v>58</v>
      </c>
      <c r="G41" s="151">
        <v>20</v>
      </c>
      <c r="H41" s="116" t="s">
        <v>144</v>
      </c>
      <c r="I41" s="56"/>
    </row>
    <row r="42" spans="1:9" ht="15">
      <c r="A42" s="218"/>
      <c r="B42" s="218"/>
      <c r="C42" s="218"/>
      <c r="D42" s="153" t="s">
        <v>79</v>
      </c>
      <c r="E42" s="154" t="s">
        <v>80</v>
      </c>
      <c r="F42" s="154" t="s">
        <v>81</v>
      </c>
      <c r="G42" s="154" t="s">
        <v>82</v>
      </c>
      <c r="H42" s="173" t="s">
        <v>15</v>
      </c>
      <c r="I42" s="56"/>
    </row>
    <row r="43" spans="1:9" ht="15">
      <c r="A43" s="218"/>
      <c r="B43" s="218"/>
      <c r="C43" s="218"/>
      <c r="D43" s="210" t="s">
        <v>145</v>
      </c>
      <c r="E43" s="156">
        <f>COUNTIFS(B16:B35,"&gt;=0,00", B16:B35, "&lt;0,20")</f>
        <v>3</v>
      </c>
      <c r="F43" s="168">
        <f>G41/5</f>
        <v>4</v>
      </c>
      <c r="G43" s="158">
        <f>(F43-E43)^2/F43</f>
        <v>0.25</v>
      </c>
      <c r="H43" s="204" t="s">
        <v>146</v>
      </c>
      <c r="I43" s="56"/>
    </row>
    <row r="44" spans="1:9" ht="15">
      <c r="A44" s="218"/>
      <c r="B44" s="218"/>
      <c r="C44" s="218"/>
      <c r="D44" s="210" t="s">
        <v>147</v>
      </c>
      <c r="E44" s="159">
        <f>COUNTIFS(B16:B35,"&gt;=0,20", B16:B35, "&lt;0,40")</f>
        <v>5</v>
      </c>
      <c r="F44" s="168">
        <f>G41/5</f>
        <v>4</v>
      </c>
      <c r="G44" s="158">
        <f>(F44-E44)^2/F44</f>
        <v>0.25</v>
      </c>
      <c r="H44" s="223" t="s">
        <v>15</v>
      </c>
      <c r="I44" s="56"/>
    </row>
    <row r="45" spans="1:9" ht="15">
      <c r="A45" s="218"/>
      <c r="B45" s="218"/>
      <c r="C45" s="218"/>
      <c r="D45" s="210" t="s">
        <v>148</v>
      </c>
      <c r="E45" s="159">
        <f>COUNTIFS(B16:B35,"&gt;=0,40", B16:B35, "&lt;0,60")</f>
        <v>3</v>
      </c>
      <c r="F45" s="168">
        <f>G41/5</f>
        <v>4</v>
      </c>
      <c r="G45" s="158">
        <f>(F45-E45)^2/F45</f>
        <v>0.25</v>
      </c>
      <c r="H45" s="218"/>
      <c r="I45" s="56"/>
    </row>
    <row r="46" spans="1:9" ht="23.25">
      <c r="A46" s="218"/>
      <c r="B46" s="218"/>
      <c r="C46" s="218"/>
      <c r="D46" s="210" t="s">
        <v>149</v>
      </c>
      <c r="E46" s="159">
        <f>COUNTIFS(B16:B35,"&gt;=0,60", B16:B35, "&lt;0,80")</f>
        <v>6</v>
      </c>
      <c r="F46" s="168">
        <f>G41/5</f>
        <v>4</v>
      </c>
      <c r="G46" s="158">
        <f>(F46-E46)^2/F46</f>
        <v>1</v>
      </c>
      <c r="H46" s="106"/>
      <c r="I46" s="56"/>
    </row>
    <row r="47" spans="1:9" s="165" customFormat="1" ht="23.25">
      <c r="A47" s="218"/>
      <c r="B47" s="218"/>
      <c r="C47" s="218"/>
      <c r="D47" s="210" t="s">
        <v>150</v>
      </c>
      <c r="E47" s="161">
        <f>COUNTIFS(B16:B35,"&gt;=0,80", B16:B35, "&lt;1")</f>
        <v>3</v>
      </c>
      <c r="F47" s="168">
        <f>G41/5</f>
        <v>4</v>
      </c>
      <c r="G47" s="158">
        <f>(F47-E47)^2/F47</f>
        <v>0.25</v>
      </c>
      <c r="H47" s="106"/>
      <c r="I47" s="56"/>
    </row>
    <row r="48" spans="1:9" ht="18.75">
      <c r="A48" s="218"/>
      <c r="B48" s="218"/>
      <c r="C48" s="218"/>
      <c r="D48" s="160" t="s">
        <v>91</v>
      </c>
      <c r="E48" s="161">
        <f>SUM(E43:E47)</f>
        <v>20</v>
      </c>
      <c r="F48" s="169">
        <f>SUM(F43:F47)</f>
        <v>20</v>
      </c>
      <c r="G48" s="163">
        <f>SUM(G43:G47)</f>
        <v>2</v>
      </c>
      <c r="H48" s="56"/>
      <c r="I48" s="56"/>
    </row>
    <row r="49" spans="1:9" ht="15">
      <c r="A49" s="218"/>
      <c r="B49" s="218"/>
      <c r="C49" s="218"/>
      <c r="D49" s="152"/>
      <c r="E49" s="170"/>
      <c r="F49" s="170"/>
      <c r="G49" s="152"/>
      <c r="H49" s="238"/>
      <c r="I49" s="237"/>
    </row>
    <row r="50" spans="1:9" ht="18">
      <c r="A50" s="218"/>
      <c r="B50" s="218"/>
      <c r="C50" s="218"/>
      <c r="D50" s="170"/>
      <c r="E50" s="170"/>
      <c r="F50" s="201" t="s">
        <v>141</v>
      </c>
      <c r="G50" s="170"/>
      <c r="H50" s="218"/>
      <c r="I50" s="218"/>
    </row>
    <row r="51" spans="1:9" ht="15">
      <c r="A51" s="218"/>
      <c r="B51" s="218"/>
      <c r="C51" s="218"/>
      <c r="D51" s="170"/>
      <c r="E51" s="150" t="s">
        <v>62</v>
      </c>
      <c r="F51" s="164">
        <v>0.05</v>
      </c>
      <c r="G51" s="170"/>
      <c r="H51" s="218"/>
      <c r="I51" s="218"/>
    </row>
    <row r="52" spans="1:9" ht="23.25">
      <c r="A52" s="218"/>
      <c r="B52" s="218"/>
      <c r="C52" s="218"/>
      <c r="D52" s="170"/>
      <c r="E52" s="206" t="s">
        <v>97</v>
      </c>
      <c r="F52" s="207">
        <f>_xlfn.CHISQ.INV.RT(F51,4)</f>
        <v>9.4877290367811575</v>
      </c>
      <c r="G52" s="171"/>
      <c r="H52" s="218"/>
      <c r="I52" s="218"/>
    </row>
    <row r="53" spans="1:9" ht="15.75" customHeight="1">
      <c r="A53" s="218"/>
      <c r="B53" s="218"/>
      <c r="C53" s="218"/>
      <c r="D53" s="218"/>
      <c r="E53" s="218"/>
      <c r="F53" s="218"/>
      <c r="G53" s="152"/>
      <c r="H53" s="218"/>
      <c r="I53" s="218"/>
    </row>
    <row r="54" spans="1:9" ht="15.75" customHeight="1">
      <c r="A54" s="218"/>
      <c r="B54" s="218"/>
      <c r="C54" s="218"/>
      <c r="D54" s="218"/>
      <c r="E54" s="218"/>
      <c r="F54" s="218"/>
      <c r="G54" s="203" t="s">
        <v>151</v>
      </c>
      <c r="H54" s="218"/>
      <c r="I54" s="218"/>
    </row>
    <row r="55" spans="1:9" ht="15.75" customHeight="1">
      <c r="A55" s="218"/>
      <c r="B55" s="218"/>
      <c r="C55" s="218"/>
      <c r="D55" s="218"/>
      <c r="E55" s="218"/>
      <c r="F55" s="218"/>
      <c r="G55" s="222" t="s">
        <v>15</v>
      </c>
      <c r="H55" s="218"/>
      <c r="I55" s="218"/>
    </row>
    <row r="56" spans="1:9" ht="21">
      <c r="A56" s="57" t="s">
        <v>100</v>
      </c>
      <c r="B56" s="218"/>
      <c r="C56" s="218"/>
      <c r="D56" s="218"/>
      <c r="E56" s="218"/>
      <c r="F56" s="218"/>
      <c r="G56" s="218"/>
      <c r="H56" s="218"/>
      <c r="I56" s="218"/>
    </row>
    <row r="57" spans="1:9" ht="12.75">
      <c r="A57" s="218"/>
      <c r="B57" s="218"/>
      <c r="C57" s="79" t="s">
        <v>58</v>
      </c>
      <c r="D57" s="79">
        <v>20</v>
      </c>
      <c r="E57" s="218"/>
      <c r="F57" s="218"/>
      <c r="G57" s="218"/>
      <c r="H57" s="218"/>
      <c r="I57" s="218"/>
    </row>
    <row r="58" spans="1:9" ht="12.75">
      <c r="A58" s="58" t="s">
        <v>7</v>
      </c>
      <c r="B58" s="58" t="s">
        <v>101</v>
      </c>
      <c r="C58" s="58" t="s">
        <v>102</v>
      </c>
      <c r="D58" s="196" t="s">
        <v>103</v>
      </c>
      <c r="E58" s="58" t="s">
        <v>104</v>
      </c>
      <c r="F58" s="59" t="s">
        <v>105</v>
      </c>
      <c r="G58" s="218"/>
      <c r="H58" s="79" t="s">
        <v>106</v>
      </c>
      <c r="I58" s="218"/>
    </row>
    <row r="59" spans="1:9" ht="12.75">
      <c r="A59" s="71">
        <v>1</v>
      </c>
      <c r="B59" s="38">
        <v>0.60199999999999998</v>
      </c>
      <c r="C59" s="77">
        <v>4.0300000000000002E-2</v>
      </c>
      <c r="D59" s="120">
        <f t="shared" ref="D59:D78" si="0">(A59/$D$57)-C59</f>
        <v>9.7000000000000003E-3</v>
      </c>
      <c r="E59" s="71">
        <f t="shared" ref="E59:E78" si="1">C59-((A59-1)/$D$57)</f>
        <v>4.0300000000000002E-2</v>
      </c>
      <c r="F59" s="120">
        <f>MAX(D79:E79)</f>
        <v>0.14019999999999999</v>
      </c>
      <c r="G59" s="218"/>
      <c r="H59" s="218"/>
      <c r="I59" s="218"/>
    </row>
    <row r="60" spans="1:9" ht="14.25">
      <c r="A60" s="71">
        <v>2</v>
      </c>
      <c r="B60" s="38">
        <v>0.34599999999999997</v>
      </c>
      <c r="C60" s="77">
        <v>0.14860000000000001</v>
      </c>
      <c r="D60" s="120">
        <f t="shared" si="0"/>
        <v>-4.8600000000000004E-2</v>
      </c>
      <c r="E60" s="71">
        <f t="shared" si="1"/>
        <v>9.8600000000000007E-2</v>
      </c>
      <c r="F60" s="219"/>
      <c r="G60" s="218"/>
      <c r="H60" s="61" t="s">
        <v>152</v>
      </c>
      <c r="I60" s="218"/>
    </row>
    <row r="61" spans="1:9" ht="12.75">
      <c r="A61" s="71">
        <v>3</v>
      </c>
      <c r="B61" s="77">
        <v>0.6169</v>
      </c>
      <c r="C61" s="38">
        <v>0.14960000000000001</v>
      </c>
      <c r="D61" s="120">
        <f t="shared" si="0"/>
        <v>3.999999999999837E-4</v>
      </c>
      <c r="E61" s="62">
        <f t="shared" si="1"/>
        <v>4.9600000000000005E-2</v>
      </c>
      <c r="F61" s="219"/>
      <c r="G61" s="218"/>
      <c r="H61" s="79" t="s">
        <v>108</v>
      </c>
      <c r="I61" s="79">
        <v>0.29399999999999998</v>
      </c>
    </row>
    <row r="62" spans="1:9" ht="12.75">
      <c r="A62" s="71">
        <v>4</v>
      </c>
      <c r="B62" s="77">
        <v>0.63260000000000005</v>
      </c>
      <c r="C62" s="77">
        <v>0.20180000000000001</v>
      </c>
      <c r="D62" s="120">
        <f t="shared" si="0"/>
        <v>-1.799999999999996E-3</v>
      </c>
      <c r="E62" s="71">
        <f t="shared" si="1"/>
        <v>5.1800000000000013E-2</v>
      </c>
      <c r="F62" s="219"/>
      <c r="G62" s="218"/>
      <c r="H62" s="218"/>
      <c r="I62" s="218"/>
    </row>
    <row r="63" spans="1:9" ht="12.75">
      <c r="A63" s="71">
        <v>5</v>
      </c>
      <c r="B63" s="77">
        <v>0.44209999999999999</v>
      </c>
      <c r="C63" s="77">
        <v>0.26879999999999998</v>
      </c>
      <c r="D63" s="120">
        <f t="shared" si="0"/>
        <v>-1.8799999999999983E-2</v>
      </c>
      <c r="E63" s="71">
        <f t="shared" si="1"/>
        <v>6.8799999999999972E-2</v>
      </c>
      <c r="F63" s="219"/>
      <c r="G63" s="218"/>
      <c r="H63" s="218"/>
      <c r="I63" s="218"/>
    </row>
    <row r="64" spans="1:9" ht="12.75">
      <c r="A64" s="71">
        <v>6</v>
      </c>
      <c r="B64" s="38">
        <v>0.14960000000000001</v>
      </c>
      <c r="C64" s="77">
        <v>0.29399999999999998</v>
      </c>
      <c r="D64" s="120">
        <f t="shared" si="0"/>
        <v>6.0000000000000053E-3</v>
      </c>
      <c r="E64" s="71">
        <f t="shared" si="1"/>
        <v>4.3999999999999984E-2</v>
      </c>
      <c r="F64" s="219"/>
      <c r="G64" s="218"/>
      <c r="H64" s="218"/>
      <c r="I64" s="218"/>
    </row>
    <row r="65" spans="1:7" ht="12.75">
      <c r="A65" s="71">
        <v>7</v>
      </c>
      <c r="B65" s="77">
        <v>0.20180000000000001</v>
      </c>
      <c r="C65" s="77">
        <v>0.32919999999999999</v>
      </c>
      <c r="D65" s="120">
        <f t="shared" si="0"/>
        <v>2.0799999999999985E-2</v>
      </c>
      <c r="E65" s="71">
        <f t="shared" si="1"/>
        <v>2.9200000000000004E-2</v>
      </c>
      <c r="F65" s="219"/>
      <c r="G65" s="218"/>
    </row>
    <row r="66" spans="1:7" ht="12.75">
      <c r="A66" s="71">
        <v>8</v>
      </c>
      <c r="B66" s="77">
        <v>0.14860000000000001</v>
      </c>
      <c r="C66" s="38">
        <v>0.34599999999999997</v>
      </c>
      <c r="D66" s="120">
        <f t="shared" si="0"/>
        <v>5.4000000000000048E-2</v>
      </c>
      <c r="E66" s="62">
        <f t="shared" si="1"/>
        <v>-4.0000000000000036E-3</v>
      </c>
      <c r="F66" s="219"/>
      <c r="G66" s="218"/>
    </row>
    <row r="67" spans="1:7" ht="12.75">
      <c r="A67" s="71">
        <v>9</v>
      </c>
      <c r="B67" s="77">
        <v>0.56640000000000001</v>
      </c>
      <c r="C67" s="77">
        <v>0.40050000000000002</v>
      </c>
      <c r="D67" s="120">
        <f t="shared" si="0"/>
        <v>4.9499999999999988E-2</v>
      </c>
      <c r="E67" s="71">
        <f t="shared" si="1"/>
        <v>5.0000000000000044E-4</v>
      </c>
      <c r="F67" s="219"/>
      <c r="G67" s="79" t="s">
        <v>109</v>
      </c>
    </row>
    <row r="68" spans="1:7" ht="12.75">
      <c r="A68" s="71">
        <v>10</v>
      </c>
      <c r="B68" s="77">
        <v>0.29399999999999998</v>
      </c>
      <c r="C68" s="77">
        <v>0.44209999999999999</v>
      </c>
      <c r="D68" s="120">
        <f t="shared" si="0"/>
        <v>5.7900000000000007E-2</v>
      </c>
      <c r="E68" s="71">
        <f t="shared" si="1"/>
        <v>-7.9000000000000181E-3</v>
      </c>
      <c r="F68" s="219"/>
      <c r="G68" s="218"/>
    </row>
    <row r="69" spans="1:7" ht="18.75">
      <c r="A69" s="71">
        <v>11</v>
      </c>
      <c r="B69" s="77">
        <v>4.0300000000000002E-2</v>
      </c>
      <c r="C69" s="77">
        <v>0.56640000000000001</v>
      </c>
      <c r="D69" s="120">
        <f t="shared" si="0"/>
        <v>-1.639999999999997E-2</v>
      </c>
      <c r="E69" s="71">
        <f t="shared" si="1"/>
        <v>6.6400000000000015E-2</v>
      </c>
      <c r="F69" s="63" t="s">
        <v>76</v>
      </c>
      <c r="G69" s="64" t="str">
        <f>IF(I61&gt;F59,"No se puede rechazar", "Se puede rechazar")</f>
        <v>No se puede rechazar</v>
      </c>
    </row>
    <row r="70" spans="1:7" ht="12.75">
      <c r="A70" s="71">
        <v>12</v>
      </c>
      <c r="B70" s="77">
        <v>0.9224</v>
      </c>
      <c r="C70" s="77">
        <v>0.60070000000000001</v>
      </c>
      <c r="D70" s="120">
        <f t="shared" si="0"/>
        <v>-7.0000000000003393E-4</v>
      </c>
      <c r="E70" s="71">
        <f t="shared" si="1"/>
        <v>5.0699999999999967E-2</v>
      </c>
      <c r="F70" s="218"/>
      <c r="G70" s="218"/>
    </row>
    <row r="71" spans="1:7" ht="12.75">
      <c r="A71" s="71">
        <v>13</v>
      </c>
      <c r="B71" s="77">
        <v>0.60070000000000001</v>
      </c>
      <c r="C71" s="38">
        <v>0.60199999999999998</v>
      </c>
      <c r="D71" s="120">
        <f t="shared" si="0"/>
        <v>4.8000000000000043E-2</v>
      </c>
      <c r="E71" s="62">
        <f t="shared" si="1"/>
        <v>2.0000000000000018E-3</v>
      </c>
      <c r="F71" s="218"/>
      <c r="G71" s="218"/>
    </row>
    <row r="72" spans="1:7" ht="12.75">
      <c r="A72" s="71">
        <v>14</v>
      </c>
      <c r="B72" s="77">
        <v>0.26879999999999998</v>
      </c>
      <c r="C72" s="77">
        <v>0.6169</v>
      </c>
      <c r="D72" s="120">
        <f t="shared" si="0"/>
        <v>8.3099999999999952E-2</v>
      </c>
      <c r="E72" s="71">
        <f t="shared" si="1"/>
        <v>-3.3100000000000018E-2</v>
      </c>
      <c r="F72" s="218"/>
      <c r="G72" s="218"/>
    </row>
    <row r="73" spans="1:7" ht="12.75">
      <c r="A73" s="71">
        <v>15</v>
      </c>
      <c r="B73" s="77">
        <v>0.32919999999999999</v>
      </c>
      <c r="C73" s="77">
        <v>0.63260000000000005</v>
      </c>
      <c r="D73" s="120">
        <f t="shared" si="0"/>
        <v>0.11739999999999995</v>
      </c>
      <c r="E73" s="71">
        <f t="shared" si="1"/>
        <v>-6.7399999999999904E-2</v>
      </c>
      <c r="F73" s="218"/>
      <c r="G73" s="218"/>
    </row>
    <row r="74" spans="1:7" ht="12.75">
      <c r="A74" s="71">
        <v>16</v>
      </c>
      <c r="B74" s="77">
        <v>0.90169999999999995</v>
      </c>
      <c r="C74" s="77">
        <v>0.65980000000000005</v>
      </c>
      <c r="D74" s="120">
        <f t="shared" si="0"/>
        <v>0.14019999999999999</v>
      </c>
      <c r="E74" s="71">
        <f t="shared" si="1"/>
        <v>-9.0199999999999947E-2</v>
      </c>
      <c r="F74" s="218"/>
      <c r="G74" s="218"/>
    </row>
    <row r="75" spans="1:7" ht="12.75">
      <c r="A75" s="71">
        <v>17</v>
      </c>
      <c r="B75" s="77">
        <v>0.65980000000000005</v>
      </c>
      <c r="C75" s="77">
        <v>0.79879999999999995</v>
      </c>
      <c r="D75" s="120">
        <f t="shared" si="0"/>
        <v>5.1200000000000023E-2</v>
      </c>
      <c r="E75" s="71">
        <f t="shared" si="1"/>
        <v>-1.2000000000000899E-3</v>
      </c>
      <c r="F75" s="218"/>
      <c r="G75" s="218"/>
    </row>
    <row r="76" spans="1:7" ht="12.75">
      <c r="A76" s="71">
        <v>18</v>
      </c>
      <c r="B76" s="77">
        <v>0.40050000000000002</v>
      </c>
      <c r="C76" s="77">
        <v>0.87560000000000004</v>
      </c>
      <c r="D76" s="120">
        <f t="shared" si="0"/>
        <v>2.4399999999999977E-2</v>
      </c>
      <c r="E76" s="71">
        <f t="shared" si="1"/>
        <v>2.5600000000000067E-2</v>
      </c>
      <c r="F76" s="218"/>
      <c r="G76" s="218"/>
    </row>
    <row r="77" spans="1:7" ht="12.75">
      <c r="A77" s="71">
        <v>19</v>
      </c>
      <c r="B77" s="77">
        <v>0.79879999999999995</v>
      </c>
      <c r="C77" s="77">
        <v>0.90169999999999995</v>
      </c>
      <c r="D77" s="120">
        <f t="shared" si="0"/>
        <v>4.830000000000001E-2</v>
      </c>
      <c r="E77" s="71">
        <f t="shared" si="1"/>
        <v>1.6999999999999238E-3</v>
      </c>
      <c r="F77" s="218"/>
      <c r="G77" s="218"/>
    </row>
    <row r="78" spans="1:7" ht="12.75">
      <c r="A78" s="71">
        <v>20</v>
      </c>
      <c r="B78" s="77">
        <v>0.87560000000000004</v>
      </c>
      <c r="C78" s="77">
        <v>0.9224</v>
      </c>
      <c r="D78" s="120">
        <f t="shared" si="0"/>
        <v>7.7600000000000002E-2</v>
      </c>
      <c r="E78" s="71">
        <f t="shared" si="1"/>
        <v>-2.7599999999999958E-2</v>
      </c>
      <c r="F78" s="218"/>
      <c r="G78" s="218"/>
    </row>
    <row r="79" spans="1:7" ht="12.75">
      <c r="A79" s="218"/>
      <c r="B79" s="218"/>
      <c r="C79" s="65" t="s">
        <v>110</v>
      </c>
      <c r="D79" s="129">
        <f t="shared" ref="D79:E79" si="2">MAX(D59:D78)</f>
        <v>0.14019999999999999</v>
      </c>
      <c r="E79" s="66">
        <f t="shared" si="2"/>
        <v>9.8600000000000007E-2</v>
      </c>
      <c r="F79" s="218"/>
      <c r="G79" s="218"/>
    </row>
    <row r="80" spans="1:7" ht="15.75" customHeight="1">
      <c r="A80" s="218"/>
      <c r="B80" s="218"/>
      <c r="C80" s="218"/>
      <c r="D80" s="114"/>
      <c r="E80" s="218"/>
      <c r="F80" s="218" t="s">
        <v>111</v>
      </c>
      <c r="G80" s="218"/>
    </row>
    <row r="81" spans="1:5" ht="15.75" customHeight="1">
      <c r="A81" s="218"/>
      <c r="B81" s="218"/>
      <c r="C81" s="218"/>
      <c r="D81" s="152"/>
      <c r="E81" s="218"/>
    </row>
    <row r="83" spans="1:5" ht="20.25">
      <c r="A83" s="67" t="s">
        <v>112</v>
      </c>
      <c r="B83" s="68"/>
      <c r="C83" s="68"/>
      <c r="D83" s="79"/>
      <c r="E83" s="218"/>
    </row>
    <row r="84" spans="1:5" ht="12.75">
      <c r="A84" s="79"/>
      <c r="B84" s="79"/>
      <c r="C84" s="79"/>
      <c r="D84" s="79"/>
      <c r="E84" s="218"/>
    </row>
    <row r="85" spans="1:5" ht="12.75">
      <c r="A85" s="69" t="s">
        <v>113</v>
      </c>
      <c r="B85" s="74" t="s">
        <v>114</v>
      </c>
      <c r="C85" s="74" t="s">
        <v>115</v>
      </c>
      <c r="D85" s="79"/>
      <c r="E85" s="79"/>
    </row>
    <row r="86" spans="1:5" ht="12.75">
      <c r="A86" s="38">
        <v>0.60199999999999998</v>
      </c>
      <c r="B86" s="120">
        <f t="shared" ref="B86:B104" si="3">IF(A86&lt;=A87,1,0)</f>
        <v>0</v>
      </c>
      <c r="C86" s="127">
        <v>12</v>
      </c>
      <c r="D86" s="79"/>
      <c r="E86" s="218"/>
    </row>
    <row r="87" spans="1:5" ht="12.75">
      <c r="A87" s="38">
        <v>0.34599999999999997</v>
      </c>
      <c r="B87" s="120">
        <f t="shared" si="3"/>
        <v>1</v>
      </c>
      <c r="C87" s="72" t="s">
        <v>116</v>
      </c>
      <c r="D87" s="79"/>
      <c r="E87" s="218"/>
    </row>
    <row r="88" spans="1:5" ht="12.75">
      <c r="A88" s="77">
        <v>0.6169</v>
      </c>
      <c r="B88" s="120">
        <f t="shared" si="3"/>
        <v>1</v>
      </c>
      <c r="C88" s="73">
        <v>20</v>
      </c>
      <c r="D88" s="79"/>
      <c r="E88" s="218"/>
    </row>
    <row r="89" spans="1:5" ht="12.75">
      <c r="A89" s="77">
        <v>0.63260000000000005</v>
      </c>
      <c r="B89" s="120">
        <f t="shared" si="3"/>
        <v>0</v>
      </c>
      <c r="C89" s="74" t="s">
        <v>117</v>
      </c>
      <c r="D89" s="79"/>
      <c r="E89" s="218"/>
    </row>
    <row r="90" spans="1:5" ht="12.75">
      <c r="A90" s="77">
        <v>0.44209999999999999</v>
      </c>
      <c r="B90" s="120">
        <f t="shared" si="3"/>
        <v>0</v>
      </c>
      <c r="C90" s="75">
        <f>(2*C88-1)/3</f>
        <v>13</v>
      </c>
      <c r="D90" s="79"/>
      <c r="E90" s="218"/>
    </row>
    <row r="91" spans="1:5" ht="15">
      <c r="A91" s="38">
        <v>0.14960000000000001</v>
      </c>
      <c r="B91" s="120">
        <f t="shared" si="3"/>
        <v>1</v>
      </c>
      <c r="C91" s="76" t="s">
        <v>118</v>
      </c>
      <c r="D91" s="79"/>
      <c r="E91" s="218"/>
    </row>
    <row r="92" spans="1:5" ht="12.75">
      <c r="A92" s="77">
        <v>0.20180000000000001</v>
      </c>
      <c r="B92" s="120">
        <f t="shared" si="3"/>
        <v>0</v>
      </c>
      <c r="C92" s="77">
        <f>(16*C88-29)/90</f>
        <v>3.2333333333333334</v>
      </c>
      <c r="D92" s="79"/>
      <c r="E92" s="218"/>
    </row>
    <row r="93" spans="1:5" ht="12.75">
      <c r="A93" s="77">
        <v>0.14860000000000001</v>
      </c>
      <c r="B93" s="120">
        <f t="shared" si="3"/>
        <v>1</v>
      </c>
      <c r="C93" s="74" t="s">
        <v>119</v>
      </c>
      <c r="D93" s="79"/>
      <c r="E93" s="218"/>
    </row>
    <row r="94" spans="1:5" ht="12.75">
      <c r="A94" s="77">
        <v>0.56640000000000001</v>
      </c>
      <c r="B94" s="120">
        <f t="shared" si="3"/>
        <v>0</v>
      </c>
      <c r="C94" s="174">
        <f>ABS((C86-C90)/SQRT(C92))</f>
        <v>0.55612799832004856</v>
      </c>
      <c r="D94" s="79"/>
      <c r="E94" s="218"/>
    </row>
    <row r="95" spans="1:5" ht="18">
      <c r="A95" s="77">
        <v>0.29399999999999998</v>
      </c>
      <c r="B95" s="120">
        <f t="shared" si="3"/>
        <v>0</v>
      </c>
      <c r="C95" s="78" t="s">
        <v>120</v>
      </c>
      <c r="D95" s="79" t="s">
        <v>121</v>
      </c>
      <c r="E95" s="218"/>
    </row>
    <row r="96" spans="1:5" ht="12.75">
      <c r="A96" s="77">
        <v>4.0300000000000002E-2</v>
      </c>
      <c r="B96" s="120">
        <f t="shared" si="3"/>
        <v>1</v>
      </c>
      <c r="C96" s="80">
        <f>_xlfn.NORM.S.INV(0.975)</f>
        <v>1.9599639845400536</v>
      </c>
      <c r="D96" s="79"/>
      <c r="E96" s="218"/>
    </row>
    <row r="97" spans="1:5" ht="15">
      <c r="A97" s="77">
        <v>0.9224</v>
      </c>
      <c r="B97" s="120">
        <f t="shared" si="3"/>
        <v>0</v>
      </c>
      <c r="C97" s="81" t="str">
        <f>IF(C96&gt;C94,"No se puede rechazar", "Se puede rechazar")</f>
        <v>No se puede rechazar</v>
      </c>
      <c r="D97" s="218"/>
      <c r="E97" s="218"/>
    </row>
    <row r="98" spans="1:5" ht="12.75">
      <c r="A98" s="77">
        <v>0.60070000000000001</v>
      </c>
      <c r="B98" s="120">
        <f t="shared" si="3"/>
        <v>0</v>
      </c>
      <c r="C98" s="218"/>
      <c r="D98" s="218"/>
      <c r="E98" s="218"/>
    </row>
    <row r="99" spans="1:5" ht="12.75">
      <c r="A99" s="77">
        <v>0.26879999999999998</v>
      </c>
      <c r="B99" s="120">
        <f t="shared" si="3"/>
        <v>1</v>
      </c>
      <c r="C99" s="114"/>
      <c r="D99" s="218"/>
      <c r="E99" s="218"/>
    </row>
    <row r="100" spans="1:5" ht="12.75">
      <c r="A100" s="77">
        <v>0.32919999999999999</v>
      </c>
      <c r="B100" s="120">
        <f t="shared" si="3"/>
        <v>1</v>
      </c>
      <c r="C100" s="114"/>
      <c r="D100" s="218"/>
      <c r="E100" s="218"/>
    </row>
    <row r="101" spans="1:5" ht="12.75">
      <c r="A101" s="77">
        <v>0.90169999999999995</v>
      </c>
      <c r="B101" s="120">
        <f t="shared" si="3"/>
        <v>0</v>
      </c>
      <c r="C101" s="114"/>
      <c r="D101" s="218"/>
      <c r="E101" s="218"/>
    </row>
    <row r="102" spans="1:5" ht="12.75">
      <c r="A102" s="77">
        <v>0.65980000000000005</v>
      </c>
      <c r="B102" s="120">
        <f t="shared" si="3"/>
        <v>0</v>
      </c>
      <c r="C102" s="114"/>
      <c r="D102" s="218"/>
      <c r="E102" s="218"/>
    </row>
    <row r="103" spans="1:5" ht="12.75">
      <c r="A103" s="77">
        <v>0.40050000000000002</v>
      </c>
      <c r="B103" s="120">
        <f t="shared" si="3"/>
        <v>1</v>
      </c>
      <c r="C103" s="218"/>
      <c r="D103" s="218"/>
      <c r="E103" s="218"/>
    </row>
    <row r="104" spans="1:5" ht="15">
      <c r="A104" s="77">
        <v>0.79879999999999995</v>
      </c>
      <c r="B104" s="120">
        <f t="shared" si="3"/>
        <v>1</v>
      </c>
      <c r="C104" s="152"/>
      <c r="D104" s="218"/>
      <c r="E104" s="218"/>
    </row>
    <row r="105" spans="1:5" ht="12.75">
      <c r="A105" s="77">
        <v>0.87560000000000004</v>
      </c>
      <c r="B105" s="120"/>
      <c r="C105" s="218"/>
      <c r="D105" s="218"/>
      <c r="E105" s="218"/>
    </row>
    <row r="111" spans="1:5" ht="20.25">
      <c r="A111" s="83" t="s">
        <v>125</v>
      </c>
      <c r="B111" s="14"/>
      <c r="C111" s="14"/>
      <c r="D111" s="14"/>
      <c r="E111" s="218"/>
    </row>
    <row r="112" spans="1:5" ht="14.25">
      <c r="A112" s="14"/>
      <c r="B112" s="84" t="s">
        <v>126</v>
      </c>
      <c r="C112" s="84" t="s">
        <v>127</v>
      </c>
      <c r="D112" s="84" t="s">
        <v>128</v>
      </c>
      <c r="E112" s="79" t="s">
        <v>129</v>
      </c>
    </row>
    <row r="113" spans="1:6" ht="18">
      <c r="A113" s="86" t="s">
        <v>113</v>
      </c>
      <c r="B113" s="87" t="s">
        <v>114</v>
      </c>
      <c r="C113" s="87" t="s">
        <v>115</v>
      </c>
      <c r="D113" s="74" t="s">
        <v>117</v>
      </c>
      <c r="E113" s="78" t="s">
        <v>120</v>
      </c>
      <c r="F113" s="218"/>
    </row>
    <row r="114" spans="1:6" ht="14.25">
      <c r="A114" s="38">
        <v>0.60199999999999998</v>
      </c>
      <c r="B114" s="88">
        <f t="shared" ref="B114:B133" si="4">ROUND(A114,0)</f>
        <v>1</v>
      </c>
      <c r="C114" s="118">
        <v>11</v>
      </c>
      <c r="D114" s="22">
        <f>((2*C116*C118)/D119)+1/2</f>
        <v>10.5</v>
      </c>
      <c r="E114" s="82">
        <f>_xlfn.NORM.S.INV(0.975)</f>
        <v>1.9599639845400536</v>
      </c>
      <c r="F114" s="218"/>
    </row>
    <row r="115" spans="1:6" ht="30">
      <c r="A115" s="38">
        <v>0.34599999999999997</v>
      </c>
      <c r="B115" s="88">
        <f t="shared" si="4"/>
        <v>0</v>
      </c>
      <c r="C115" s="87" t="s">
        <v>130</v>
      </c>
      <c r="D115" s="119" t="s">
        <v>118</v>
      </c>
      <c r="E115" s="79" t="s">
        <v>76</v>
      </c>
      <c r="F115" s="218"/>
    </row>
    <row r="116" spans="1:6" ht="15">
      <c r="A116" s="77">
        <v>0.6169</v>
      </c>
      <c r="B116" s="88">
        <f t="shared" si="4"/>
        <v>1</v>
      </c>
      <c r="C116" s="23">
        <f>COUNTIF(B114:B133,0)</f>
        <v>10</v>
      </c>
      <c r="D116" s="115">
        <f>2*C116*C118*(2*C116*C118-D119)/(D119*D119*(D119-1))</f>
        <v>4.7368421052631575</v>
      </c>
      <c r="E116" s="91" t="str">
        <f>IF(E114&gt;D118,"No se puede rechazar", "Se puede rechazar")</f>
        <v>No se puede rechazar</v>
      </c>
      <c r="F116" s="218"/>
    </row>
    <row r="117" spans="1:6" ht="14.25">
      <c r="A117" s="77">
        <v>0.63260000000000005</v>
      </c>
      <c r="B117" s="88">
        <f t="shared" si="4"/>
        <v>1</v>
      </c>
      <c r="C117" s="87" t="s">
        <v>131</v>
      </c>
      <c r="D117" s="74" t="s">
        <v>119</v>
      </c>
      <c r="E117" s="218"/>
      <c r="F117" s="218"/>
    </row>
    <row r="118" spans="1:6" ht="14.25">
      <c r="A118" s="77">
        <v>0.44209999999999999</v>
      </c>
      <c r="B118" s="88">
        <f t="shared" si="4"/>
        <v>0</v>
      </c>
      <c r="C118" s="23">
        <f>COUNTIF(B114:B133,1)</f>
        <v>10</v>
      </c>
      <c r="D118" s="128">
        <f>(C114-D114)/SQRT(D116)</f>
        <v>0.22973414586817037</v>
      </c>
      <c r="E118" s="114" t="s">
        <v>153</v>
      </c>
      <c r="F118" s="218"/>
    </row>
    <row r="119" spans="1:6" ht="15">
      <c r="A119" s="38">
        <v>0.14960000000000001</v>
      </c>
      <c r="B119" s="88">
        <f t="shared" si="4"/>
        <v>0</v>
      </c>
      <c r="C119" s="87" t="s">
        <v>116</v>
      </c>
      <c r="D119" s="86">
        <v>20</v>
      </c>
      <c r="E119" s="173" t="s">
        <v>15</v>
      </c>
      <c r="F119" s="218"/>
    </row>
    <row r="120" spans="1:6" ht="14.25">
      <c r="A120" s="77">
        <v>0.20180000000000001</v>
      </c>
      <c r="B120" s="88">
        <f t="shared" si="4"/>
        <v>0</v>
      </c>
      <c r="C120" s="14"/>
      <c r="D120" s="14"/>
      <c r="E120" s="218"/>
      <c r="F120" s="218"/>
    </row>
    <row r="121" spans="1:6" ht="18">
      <c r="A121" s="77">
        <v>0.14860000000000001</v>
      </c>
      <c r="B121" s="88">
        <f t="shared" si="4"/>
        <v>0</v>
      </c>
      <c r="C121" s="14"/>
      <c r="D121" s="92" t="s">
        <v>123</v>
      </c>
      <c r="E121" s="92"/>
      <c r="F121" s="218"/>
    </row>
    <row r="122" spans="1:6" ht="14.25">
      <c r="A122" s="77">
        <v>0.56640000000000001</v>
      </c>
      <c r="B122" s="88">
        <f t="shared" si="4"/>
        <v>1</v>
      </c>
      <c r="C122" s="14" t="s">
        <v>154</v>
      </c>
      <c r="D122" s="14"/>
      <c r="E122" s="218"/>
      <c r="F122" s="218"/>
    </row>
    <row r="123" spans="1:6" ht="14.25">
      <c r="A123" s="77">
        <v>0.29399999999999998</v>
      </c>
      <c r="B123" s="88">
        <f t="shared" si="4"/>
        <v>0</v>
      </c>
      <c r="C123" s="24"/>
      <c r="D123" s="14"/>
      <c r="E123" s="218"/>
      <c r="F123" s="218"/>
    </row>
    <row r="124" spans="1:6" ht="14.25">
      <c r="A124" s="77">
        <v>4.0300000000000002E-2</v>
      </c>
      <c r="B124" s="88">
        <f t="shared" si="4"/>
        <v>0</v>
      </c>
      <c r="C124" s="114"/>
      <c r="D124" s="218"/>
      <c r="E124" s="218"/>
      <c r="F124" s="218"/>
    </row>
    <row r="125" spans="1:6" ht="14.25">
      <c r="A125" s="77">
        <v>0.9224</v>
      </c>
      <c r="B125" s="88">
        <f t="shared" si="4"/>
        <v>1</v>
      </c>
      <c r="C125" s="114"/>
      <c r="D125" s="218"/>
      <c r="E125" s="218"/>
      <c r="F125" s="218"/>
    </row>
    <row r="126" spans="1:6" ht="14.25">
      <c r="A126" s="77">
        <v>0.60070000000000001</v>
      </c>
      <c r="B126" s="88">
        <f t="shared" si="4"/>
        <v>1</v>
      </c>
      <c r="C126" s="218"/>
      <c r="D126" s="218"/>
      <c r="E126" s="218"/>
      <c r="F126" s="218"/>
    </row>
    <row r="127" spans="1:6" ht="14.25">
      <c r="A127" s="77">
        <v>0.26879999999999998</v>
      </c>
      <c r="B127" s="88">
        <f t="shared" si="4"/>
        <v>0</v>
      </c>
      <c r="C127" s="218"/>
      <c r="D127" s="175" t="s">
        <v>155</v>
      </c>
      <c r="E127" s="178"/>
      <c r="F127" s="179"/>
    </row>
    <row r="128" spans="1:6" ht="14.25">
      <c r="A128" s="77">
        <v>0.32919999999999999</v>
      </c>
      <c r="B128" s="88">
        <f t="shared" si="4"/>
        <v>0</v>
      </c>
      <c r="C128" s="218"/>
      <c r="D128" s="176" t="s">
        <v>156</v>
      </c>
      <c r="E128" s="180"/>
      <c r="F128" s="181"/>
    </row>
    <row r="129" spans="1:6" ht="14.25">
      <c r="A129" s="77">
        <v>0.90169999999999995</v>
      </c>
      <c r="B129" s="88">
        <f t="shared" si="4"/>
        <v>1</v>
      </c>
      <c r="C129" s="218"/>
      <c r="D129" s="177" t="s">
        <v>157</v>
      </c>
      <c r="E129" s="182"/>
      <c r="F129" s="183"/>
    </row>
    <row r="130" spans="1:6" ht="14.25">
      <c r="A130" s="77">
        <v>0.65980000000000005</v>
      </c>
      <c r="B130" s="88">
        <f t="shared" si="4"/>
        <v>1</v>
      </c>
      <c r="C130" s="218"/>
      <c r="D130" s="218"/>
      <c r="E130" s="218"/>
      <c r="F130" s="218"/>
    </row>
    <row r="131" spans="1:6" ht="14.25">
      <c r="A131" s="77">
        <v>0.40050000000000002</v>
      </c>
      <c r="B131" s="88">
        <f t="shared" si="4"/>
        <v>0</v>
      </c>
      <c r="C131" s="218"/>
      <c r="D131" s="218"/>
      <c r="E131" s="218"/>
      <c r="F131" s="218"/>
    </row>
    <row r="132" spans="1:6" ht="14.25">
      <c r="A132" s="77">
        <v>0.79879999999999995</v>
      </c>
      <c r="B132" s="88">
        <f t="shared" si="4"/>
        <v>1</v>
      </c>
      <c r="C132" s="218"/>
      <c r="D132" s="218"/>
      <c r="E132" s="218"/>
      <c r="F132" s="218"/>
    </row>
    <row r="133" spans="1:6" ht="14.25">
      <c r="A133" s="77">
        <v>0.87560000000000004</v>
      </c>
      <c r="B133" s="88">
        <f t="shared" si="4"/>
        <v>1</v>
      </c>
      <c r="C133" s="218"/>
      <c r="D133" s="218"/>
      <c r="E133" s="218"/>
      <c r="F133" s="218"/>
    </row>
  </sheetData>
  <mergeCells count="18">
    <mergeCell ref="D17:F17"/>
    <mergeCell ref="D18:E18"/>
    <mergeCell ref="D19:E19"/>
    <mergeCell ref="D20:E20"/>
    <mergeCell ref="D21:E21"/>
    <mergeCell ref="D22:E22"/>
    <mergeCell ref="D23:E23"/>
    <mergeCell ref="D35:E35"/>
    <mergeCell ref="D36:E36"/>
    <mergeCell ref="D40:G40"/>
    <mergeCell ref="H49:I49"/>
    <mergeCell ref="D28:F28"/>
    <mergeCell ref="D29:E29"/>
    <mergeCell ref="D30:E30"/>
    <mergeCell ref="D31:E31"/>
    <mergeCell ref="D32:E32"/>
    <mergeCell ref="D33:E33"/>
    <mergeCell ref="D34:E3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33"/>
  <sheetViews>
    <sheetView topLeftCell="A136" zoomScale="115" zoomScaleNormal="115" workbookViewId="0">
      <selection activeCell="D124" sqref="D124"/>
    </sheetView>
  </sheetViews>
  <sheetFormatPr defaultColWidth="14.42578125" defaultRowHeight="15.75" customHeight="1"/>
  <cols>
    <col min="2" max="2" width="14.5703125" customWidth="1"/>
  </cols>
  <sheetData>
    <row r="1" spans="1:9" ht="12.75">
      <c r="A1" s="79" t="s">
        <v>158</v>
      </c>
      <c r="B1" s="218"/>
      <c r="C1" s="218"/>
      <c r="D1" s="218"/>
      <c r="E1" s="218"/>
      <c r="F1" s="218"/>
      <c r="G1" s="218"/>
      <c r="H1" s="218"/>
      <c r="I1" s="218"/>
    </row>
    <row r="2" spans="1:9" ht="12.75">
      <c r="A2" s="79" t="s">
        <v>159</v>
      </c>
      <c r="B2" s="218"/>
      <c r="C2" s="218"/>
      <c r="D2" s="218"/>
      <c r="E2" s="218"/>
      <c r="F2" s="218"/>
      <c r="G2" s="218"/>
      <c r="H2" s="218"/>
      <c r="I2" s="218"/>
    </row>
    <row r="3" spans="1:9" ht="12.75">
      <c r="A3" s="79" t="s">
        <v>49</v>
      </c>
      <c r="B3" s="218"/>
      <c r="C3" s="218"/>
      <c r="D3" s="218"/>
      <c r="E3" s="218"/>
      <c r="F3" s="218"/>
      <c r="G3" s="218"/>
      <c r="H3" s="218"/>
      <c r="I3" s="218"/>
    </row>
    <row r="4" spans="1:9" ht="12.75">
      <c r="A4" s="79" t="s">
        <v>50</v>
      </c>
      <c r="B4" s="218"/>
      <c r="C4" s="218"/>
      <c r="D4" s="218"/>
      <c r="E4" s="218"/>
      <c r="F4" s="49"/>
      <c r="G4" s="50"/>
      <c r="H4" s="49"/>
      <c r="I4" s="50"/>
    </row>
    <row r="5" spans="1:9" ht="12.75">
      <c r="A5" s="79" t="s">
        <v>134</v>
      </c>
      <c r="B5" s="218"/>
      <c r="C5" s="218"/>
      <c r="D5" s="218"/>
      <c r="E5" s="218"/>
      <c r="F5" s="218"/>
      <c r="G5" s="218"/>
      <c r="H5" s="218"/>
      <c r="I5" s="218"/>
    </row>
    <row r="6" spans="1:9" ht="12.75">
      <c r="A6" s="79" t="s">
        <v>160</v>
      </c>
      <c r="B6" s="218"/>
      <c r="C6" s="218"/>
      <c r="D6" s="218"/>
      <c r="E6" s="79" t="s">
        <v>161</v>
      </c>
      <c r="F6" s="218"/>
      <c r="G6" s="218"/>
      <c r="H6" s="218"/>
      <c r="I6" s="218"/>
    </row>
    <row r="7" spans="1:9" ht="12.75">
      <c r="A7" s="79" t="s">
        <v>53</v>
      </c>
      <c r="B7" s="218"/>
      <c r="C7" s="218"/>
      <c r="D7" s="218"/>
      <c r="E7" s="79" t="s">
        <v>162</v>
      </c>
      <c r="F7" s="218"/>
      <c r="G7" s="218"/>
      <c r="H7" s="218"/>
      <c r="I7" s="218"/>
    </row>
    <row r="8" spans="1:9" ht="12.75">
      <c r="A8" s="79" t="s">
        <v>54</v>
      </c>
      <c r="B8" s="218"/>
      <c r="C8" s="218"/>
      <c r="D8" s="218"/>
      <c r="E8" s="79" t="s">
        <v>163</v>
      </c>
      <c r="F8" s="218"/>
      <c r="G8" s="218"/>
      <c r="H8" s="218"/>
      <c r="I8" s="218"/>
    </row>
    <row r="9" spans="1:9" ht="12.75">
      <c r="A9" s="79" t="s">
        <v>55</v>
      </c>
      <c r="B9" s="218"/>
      <c r="C9" s="218"/>
      <c r="D9" s="218"/>
      <c r="E9" s="79" t="s">
        <v>164</v>
      </c>
      <c r="F9" s="218"/>
      <c r="G9" s="218"/>
      <c r="H9" s="218"/>
      <c r="I9" s="218"/>
    </row>
    <row r="10" spans="1:9" ht="12.75">
      <c r="A10" s="79" t="s">
        <v>165</v>
      </c>
      <c r="B10" s="218"/>
      <c r="C10" s="218"/>
      <c r="D10" s="218"/>
      <c r="E10" s="79" t="s">
        <v>166</v>
      </c>
      <c r="F10" s="218"/>
      <c r="G10" s="218"/>
      <c r="H10" s="218"/>
      <c r="I10" s="218"/>
    </row>
    <row r="12" spans="1:9" ht="12.75">
      <c r="A12" s="36" t="s">
        <v>60</v>
      </c>
      <c r="B12" s="36" t="s">
        <v>138</v>
      </c>
      <c r="C12" s="218"/>
      <c r="D12" s="218"/>
      <c r="E12" s="218"/>
      <c r="F12" s="218"/>
      <c r="G12" s="218"/>
      <c r="H12" s="218"/>
      <c r="I12" s="218"/>
    </row>
    <row r="13" spans="1:9" ht="12.75">
      <c r="A13" s="77">
        <v>0</v>
      </c>
      <c r="B13" s="77">
        <v>0.45979999999999999</v>
      </c>
      <c r="C13" s="218"/>
      <c r="D13" s="218"/>
      <c r="E13" s="218"/>
      <c r="F13" s="218"/>
      <c r="G13" s="218"/>
      <c r="H13" s="218"/>
      <c r="I13" s="218"/>
    </row>
    <row r="14" spans="1:9" ht="12.75">
      <c r="A14" s="77">
        <v>1</v>
      </c>
      <c r="B14" s="77">
        <v>1.2500000000000001E-2</v>
      </c>
      <c r="C14" s="218"/>
      <c r="D14" s="218"/>
      <c r="E14" s="218"/>
      <c r="F14" s="79" t="s">
        <v>167</v>
      </c>
      <c r="G14" s="218"/>
      <c r="H14" s="79">
        <v>0.98499999999999999</v>
      </c>
      <c r="I14" s="218"/>
    </row>
    <row r="15" spans="1:9" ht="12.75">
      <c r="A15" s="77">
        <v>2</v>
      </c>
      <c r="B15" s="77">
        <v>0.86860000000000004</v>
      </c>
      <c r="C15" s="218"/>
      <c r="D15" s="218"/>
      <c r="E15" s="218"/>
      <c r="F15" s="218"/>
      <c r="G15" s="218"/>
      <c r="H15" s="218"/>
      <c r="I15" s="218"/>
    </row>
    <row r="16" spans="1:9" ht="15.75" customHeight="1">
      <c r="A16" s="77">
        <v>3</v>
      </c>
      <c r="B16" s="77">
        <v>0.4007</v>
      </c>
      <c r="C16" s="218"/>
      <c r="D16" s="218"/>
      <c r="E16" s="218"/>
      <c r="F16" s="25" t="s">
        <v>56</v>
      </c>
      <c r="G16" s="218"/>
      <c r="H16" s="218"/>
      <c r="I16" s="218"/>
    </row>
    <row r="17" spans="1:8" ht="12.75">
      <c r="A17" s="77">
        <v>4</v>
      </c>
      <c r="B17" s="77">
        <v>0.9405</v>
      </c>
      <c r="C17" s="218"/>
      <c r="D17" s="218"/>
      <c r="E17" s="218"/>
      <c r="F17" s="218"/>
      <c r="G17" s="218"/>
      <c r="H17" s="218"/>
    </row>
    <row r="18" spans="1:8" ht="12.75">
      <c r="A18" s="77">
        <v>5</v>
      </c>
      <c r="B18" s="77">
        <v>0.65839999999999999</v>
      </c>
      <c r="C18" s="218"/>
      <c r="D18" s="218"/>
      <c r="E18" s="218"/>
      <c r="F18" s="218"/>
      <c r="G18" s="219" t="s">
        <v>58</v>
      </c>
      <c r="H18" s="79">
        <v>20</v>
      </c>
    </row>
    <row r="19" spans="1:8" ht="15">
      <c r="A19" s="77">
        <v>6</v>
      </c>
      <c r="B19" s="77">
        <v>0.40089999999999998</v>
      </c>
      <c r="C19" s="218"/>
      <c r="D19" s="218"/>
      <c r="E19" s="218"/>
      <c r="F19" s="239" t="s">
        <v>140</v>
      </c>
      <c r="G19" s="231"/>
      <c r="H19" s="228"/>
    </row>
    <row r="20" spans="1:8" ht="14.25">
      <c r="A20" s="77">
        <v>7</v>
      </c>
      <c r="B20" s="77">
        <v>0.22950000000000001</v>
      </c>
      <c r="C20" s="218"/>
      <c r="D20" s="218"/>
      <c r="E20" s="218"/>
      <c r="F20" s="232" t="s">
        <v>62</v>
      </c>
      <c r="G20" s="228"/>
      <c r="H20" s="30">
        <f>1-H14</f>
        <v>1.5000000000000013E-2</v>
      </c>
    </row>
    <row r="21" spans="1:8" ht="14.25">
      <c r="A21" s="77">
        <v>8</v>
      </c>
      <c r="B21" s="77">
        <v>0.78169999999999995</v>
      </c>
      <c r="C21" s="218"/>
      <c r="D21" s="218"/>
      <c r="E21" s="218"/>
      <c r="F21" s="232" t="s">
        <v>63</v>
      </c>
      <c r="G21" s="228"/>
      <c r="H21" s="32">
        <f>1-H20/2</f>
        <v>0.99249999999999994</v>
      </c>
    </row>
    <row r="22" spans="1:8" ht="15.75" customHeight="1">
      <c r="A22" s="77">
        <v>9</v>
      </c>
      <c r="B22" s="77">
        <v>0.76329999999999998</v>
      </c>
      <c r="C22" s="218"/>
      <c r="D22" s="218"/>
      <c r="E22" s="218"/>
      <c r="F22" s="233" t="s">
        <v>64</v>
      </c>
      <c r="G22" s="228"/>
      <c r="H22" s="33">
        <f>NORMSINV(H21)</f>
        <v>2.4323790585844427</v>
      </c>
    </row>
    <row r="23" spans="1:8" ht="15.75" customHeight="1">
      <c r="A23" s="77">
        <v>10</v>
      </c>
      <c r="B23" s="77">
        <v>9.7299999999999998E-2</v>
      </c>
      <c r="C23" s="218"/>
      <c r="D23" s="218"/>
      <c r="E23" s="218"/>
      <c r="F23" s="234" t="s">
        <v>65</v>
      </c>
      <c r="G23" s="228"/>
      <c r="H23" s="34">
        <f>(1/2)-H22*(1/(SQRT(12*H18)))</f>
        <v>0.34299060690731298</v>
      </c>
    </row>
    <row r="24" spans="1:8" ht="15">
      <c r="A24" s="77">
        <v>11</v>
      </c>
      <c r="B24" s="77">
        <v>0.99070000000000003</v>
      </c>
      <c r="C24" s="218"/>
      <c r="D24" s="218"/>
      <c r="E24" s="218"/>
      <c r="F24" s="227" t="s">
        <v>66</v>
      </c>
      <c r="G24" s="228"/>
      <c r="H24" s="37">
        <f>AVERAGE(B13:B32)</f>
        <v>0.53582999999999992</v>
      </c>
    </row>
    <row r="25" spans="1:8" ht="15">
      <c r="A25" s="77">
        <v>12</v>
      </c>
      <c r="B25" s="77">
        <v>0.95389999999999997</v>
      </c>
      <c r="C25" s="218"/>
      <c r="D25" s="218"/>
      <c r="E25" s="218"/>
      <c r="F25" s="229" t="s">
        <v>67</v>
      </c>
      <c r="G25" s="228"/>
      <c r="H25" s="39">
        <f>(1/2)+H22*(1/(SQRT(12*H18)))</f>
        <v>0.65700939309268702</v>
      </c>
    </row>
    <row r="26" spans="1:8" ht="18">
      <c r="A26" s="77">
        <v>13</v>
      </c>
      <c r="B26" s="77">
        <v>0.31259999999999999</v>
      </c>
      <c r="C26" s="218"/>
      <c r="D26" s="218"/>
      <c r="E26" s="218"/>
      <c r="F26" s="218"/>
      <c r="G26" s="45" t="s">
        <v>141</v>
      </c>
      <c r="H26" s="218"/>
    </row>
    <row r="27" spans="1:8" ht="12.75">
      <c r="A27" s="77">
        <v>14</v>
      </c>
      <c r="B27" s="77">
        <v>0.64510000000000001</v>
      </c>
      <c r="C27" s="218"/>
      <c r="D27" s="218"/>
      <c r="E27" s="218"/>
      <c r="F27" s="218"/>
      <c r="G27" s="218"/>
      <c r="H27" s="218"/>
    </row>
    <row r="28" spans="1:8" ht="12.75">
      <c r="A28" s="77">
        <v>15</v>
      </c>
      <c r="B28" s="77">
        <v>0.30659999999999998</v>
      </c>
      <c r="C28" s="218"/>
      <c r="D28" s="218"/>
      <c r="E28" s="218"/>
      <c r="F28" s="218"/>
      <c r="G28" s="218"/>
      <c r="H28" s="218"/>
    </row>
    <row r="29" spans="1:8" ht="12.75">
      <c r="A29" s="77">
        <v>16</v>
      </c>
      <c r="B29" s="77">
        <v>0.32479999999999998</v>
      </c>
      <c r="C29" s="218"/>
      <c r="D29" s="218"/>
      <c r="E29" s="218"/>
      <c r="F29" s="218"/>
      <c r="G29" s="218"/>
      <c r="H29" s="218"/>
    </row>
    <row r="30" spans="1:8" ht="20.25">
      <c r="A30" s="77">
        <v>17</v>
      </c>
      <c r="B30" s="77">
        <v>0.5978</v>
      </c>
      <c r="C30" s="218"/>
      <c r="D30" s="218"/>
      <c r="E30" s="218"/>
      <c r="F30" s="25" t="s">
        <v>69</v>
      </c>
      <c r="G30" s="218"/>
      <c r="H30" s="218"/>
    </row>
    <row r="31" spans="1:8" ht="12.75">
      <c r="A31" s="77">
        <v>18</v>
      </c>
      <c r="B31" s="38">
        <v>3.9E-2</v>
      </c>
      <c r="C31" s="218"/>
      <c r="D31" s="218"/>
      <c r="E31" s="218"/>
      <c r="F31" s="218"/>
      <c r="G31" s="79" t="s">
        <v>142</v>
      </c>
      <c r="H31" s="79">
        <v>20</v>
      </c>
    </row>
    <row r="32" spans="1:8" ht="15">
      <c r="A32" s="77">
        <v>19</v>
      </c>
      <c r="B32" s="77">
        <v>0.93289999999999995</v>
      </c>
      <c r="C32" s="218"/>
      <c r="D32" s="218"/>
      <c r="E32" s="218"/>
      <c r="F32" s="239" t="s">
        <v>69</v>
      </c>
      <c r="G32" s="231"/>
      <c r="H32" s="228"/>
    </row>
    <row r="33" spans="3:8" ht="14.25">
      <c r="C33" s="218"/>
      <c r="D33" s="218"/>
      <c r="E33" s="218"/>
      <c r="F33" s="232" t="s">
        <v>62</v>
      </c>
      <c r="G33" s="228"/>
      <c r="H33" s="30">
        <v>1.4999999999999999E-2</v>
      </c>
    </row>
    <row r="34" spans="3:8" ht="14.25">
      <c r="C34" s="218"/>
      <c r="D34" s="218"/>
      <c r="E34" s="218"/>
      <c r="F34" s="232" t="s">
        <v>143</v>
      </c>
      <c r="G34" s="228"/>
      <c r="H34" s="30">
        <f>H33/2</f>
        <v>7.4999999999999997E-3</v>
      </c>
    </row>
    <row r="35" spans="3:8" ht="14.25">
      <c r="C35" s="218"/>
      <c r="D35" s="218"/>
      <c r="E35" s="218"/>
      <c r="F35" s="232" t="s">
        <v>63</v>
      </c>
      <c r="G35" s="228"/>
      <c r="H35" s="187">
        <f>1-(H34)</f>
        <v>0.99250000000000005</v>
      </c>
    </row>
    <row r="36" spans="3:8" ht="15">
      <c r="C36" s="218"/>
      <c r="D36" s="218"/>
      <c r="E36" s="218"/>
      <c r="F36" s="240" t="s">
        <v>71</v>
      </c>
      <c r="G36" s="228"/>
      <c r="H36" s="51">
        <f>_xlfn.CHISQ.INV(H34,H31-1)</f>
        <v>7.2899095901399757</v>
      </c>
    </row>
    <row r="37" spans="3:8">
      <c r="C37" s="218"/>
      <c r="D37" s="218"/>
      <c r="E37" s="218"/>
      <c r="F37" s="241" t="s">
        <v>72</v>
      </c>
      <c r="G37" s="228"/>
      <c r="H37" s="33">
        <f>_xlfn.CHISQ.INV(H35,H31-1)</f>
        <v>37.195448368424699</v>
      </c>
    </row>
    <row r="38" spans="3:8" ht="12.75">
      <c r="C38" s="218"/>
      <c r="D38" s="218"/>
      <c r="E38" s="218"/>
      <c r="F38" s="242" t="s">
        <v>74</v>
      </c>
      <c r="G38" s="228"/>
      <c r="H38" s="52">
        <f>H36/(12*(H31-1))</f>
        <v>3.1973287676052523E-2</v>
      </c>
    </row>
    <row r="39" spans="3:8" ht="12.75">
      <c r="C39" s="218"/>
      <c r="D39" s="218"/>
      <c r="E39" s="218"/>
      <c r="F39" s="243" t="s">
        <v>73</v>
      </c>
      <c r="G39" s="228"/>
      <c r="H39" s="53">
        <f>_xlfn.VAR.S(B13:B32)</f>
        <v>0.10278238010526324</v>
      </c>
    </row>
    <row r="40" spans="3:8" ht="12.75">
      <c r="C40" s="218"/>
      <c r="D40" s="218"/>
      <c r="E40" s="218"/>
      <c r="F40" s="242" t="s">
        <v>75</v>
      </c>
      <c r="G40" s="228"/>
      <c r="H40" s="52">
        <f>H37/(12*(H31-1))</f>
        <v>0.16313793144045921</v>
      </c>
    </row>
    <row r="41" spans="3:8" ht="18">
      <c r="C41" s="218"/>
      <c r="D41" s="218"/>
      <c r="E41" s="218"/>
      <c r="F41" s="218"/>
      <c r="G41" s="45" t="s">
        <v>141</v>
      </c>
      <c r="H41" s="218"/>
    </row>
    <row r="43" spans="3:8" ht="21">
      <c r="C43" s="236" t="s">
        <v>168</v>
      </c>
      <c r="D43" s="237"/>
      <c r="E43" s="237"/>
      <c r="F43" s="237"/>
      <c r="G43" s="56"/>
      <c r="H43" s="56"/>
    </row>
    <row r="44" spans="3:8" ht="15">
      <c r="C44" s="150" t="s">
        <v>78</v>
      </c>
      <c r="D44" s="151">
        <v>5</v>
      </c>
      <c r="E44" s="152" t="s">
        <v>58</v>
      </c>
      <c r="F44" s="152">
        <v>20</v>
      </c>
      <c r="G44" s="56"/>
      <c r="H44" s="56"/>
    </row>
    <row r="45" spans="3:8" ht="15">
      <c r="C45" s="153" t="s">
        <v>79</v>
      </c>
      <c r="D45" s="154" t="s">
        <v>80</v>
      </c>
      <c r="E45" s="154" t="s">
        <v>81</v>
      </c>
      <c r="F45" s="154" t="s">
        <v>82</v>
      </c>
      <c r="G45" s="116"/>
      <c r="H45" s="56"/>
    </row>
    <row r="46" spans="3:8" ht="15">
      <c r="C46" s="210" t="s">
        <v>145</v>
      </c>
      <c r="D46" s="156">
        <f>COUNTIFS(B13:B32,"&gt;=0,00", B13:B32, "&lt;0,20")</f>
        <v>3</v>
      </c>
      <c r="E46" s="168">
        <f>F44/5</f>
        <v>4</v>
      </c>
      <c r="F46" s="158">
        <f>(E46-D46)^2/E46</f>
        <v>0.25</v>
      </c>
      <c r="G46" s="56"/>
      <c r="H46" s="56"/>
    </row>
    <row r="47" spans="3:8" ht="15">
      <c r="C47" s="210" t="s">
        <v>147</v>
      </c>
      <c r="D47" s="159">
        <f>COUNTIFS(B13:B32,"&gt;=0,20", B13:B32, "&lt;0,40")</f>
        <v>4</v>
      </c>
      <c r="E47" s="168">
        <f>F44/5</f>
        <v>4</v>
      </c>
      <c r="F47" s="158">
        <f>(E47-D47)^2/E47</f>
        <v>0</v>
      </c>
      <c r="G47" s="56"/>
      <c r="H47" s="56"/>
    </row>
    <row r="48" spans="3:8" ht="15">
      <c r="C48" s="210" t="s">
        <v>148</v>
      </c>
      <c r="D48" s="159">
        <f>COUNTIFS(B13:B32,"&gt;=0,40", B13:B32, "&lt;0,60")</f>
        <v>4</v>
      </c>
      <c r="E48" s="168">
        <f>F44/5</f>
        <v>4</v>
      </c>
      <c r="F48" s="158">
        <f>(E48-D48)^2/E48</f>
        <v>0</v>
      </c>
      <c r="G48" s="56"/>
      <c r="H48" s="56"/>
    </row>
    <row r="49" spans="3:11" ht="15">
      <c r="C49" s="210" t="s">
        <v>149</v>
      </c>
      <c r="D49" s="159">
        <f>COUNTIFS(B13:B32,"&gt;=0,60", B13:B32, "&lt;0,80")</f>
        <v>4</v>
      </c>
      <c r="E49" s="168">
        <f>F44/5</f>
        <v>4</v>
      </c>
      <c r="F49" s="158">
        <f>(E49-D49)^2/E49</f>
        <v>0</v>
      </c>
      <c r="G49" s="218"/>
      <c r="H49" s="218"/>
      <c r="I49" s="218"/>
      <c r="J49" s="218"/>
      <c r="K49" s="218"/>
    </row>
    <row r="50" spans="3:11" ht="23.25">
      <c r="C50" s="210" t="s">
        <v>150</v>
      </c>
      <c r="D50" s="161">
        <f>COUNTIFS(B13:B32,"&gt;=0,80", B13:B32, "&lt;1")</f>
        <v>5</v>
      </c>
      <c r="E50" s="168">
        <f>F44/5</f>
        <v>4</v>
      </c>
      <c r="F50" s="158">
        <f>(E50-D50)^2/E50</f>
        <v>0.25</v>
      </c>
      <c r="G50" s="106"/>
      <c r="H50" s="56"/>
      <c r="I50" s="218"/>
      <c r="J50" s="218"/>
      <c r="K50" s="218"/>
    </row>
    <row r="51" spans="3:11" ht="18.75">
      <c r="C51" s="160" t="s">
        <v>91</v>
      </c>
      <c r="D51" s="161">
        <f>SUM(D46:D50)</f>
        <v>20</v>
      </c>
      <c r="E51" s="169">
        <f>SUM(E46:E50)</f>
        <v>20</v>
      </c>
      <c r="F51" s="163">
        <f>SUM(F46:F50)</f>
        <v>0.5</v>
      </c>
      <c r="G51" s="56"/>
      <c r="H51" s="56"/>
      <c r="I51" s="218"/>
      <c r="J51" s="218"/>
      <c r="K51" s="218"/>
    </row>
    <row r="52" spans="3:11" s="165" customFormat="1" ht="18.75">
      <c r="C52" s="185"/>
      <c r="D52" s="150" t="s">
        <v>62</v>
      </c>
      <c r="E52" s="184">
        <v>1.4999999999999999E-2</v>
      </c>
      <c r="F52" s="186"/>
      <c r="G52" s="56" t="s">
        <v>169</v>
      </c>
      <c r="H52" s="56"/>
      <c r="I52" s="218"/>
      <c r="J52" s="218"/>
      <c r="K52" s="218"/>
    </row>
    <row r="53" spans="3:11" ht="23.25">
      <c r="C53" s="56"/>
      <c r="D53" s="211" t="s">
        <v>97</v>
      </c>
      <c r="E53" s="212">
        <f>_xlfn.CHISQ.INV.RT(E52,4)</f>
        <v>12.339095279641258</v>
      </c>
      <c r="F53" s="56"/>
      <c r="G53" s="238" t="s">
        <v>98</v>
      </c>
      <c r="H53" s="237"/>
      <c r="I53" s="218"/>
      <c r="J53" s="218"/>
      <c r="K53" s="218"/>
    </row>
    <row r="54" spans="3:11" ht="15.75" customHeight="1">
      <c r="C54" s="218"/>
      <c r="D54" s="203" t="s">
        <v>170</v>
      </c>
      <c r="E54" s="218"/>
      <c r="F54" s="218"/>
      <c r="G54" s="114"/>
      <c r="H54" s="56"/>
      <c r="I54" s="218"/>
      <c r="J54" s="218"/>
      <c r="K54" s="218"/>
    </row>
    <row r="55" spans="3:11" ht="15.75" customHeight="1">
      <c r="C55" s="218"/>
      <c r="D55" s="218"/>
      <c r="E55" s="218"/>
      <c r="F55" s="251" t="s">
        <v>15</v>
      </c>
      <c r="G55" s="218"/>
      <c r="H55" s="218"/>
      <c r="I55" s="218"/>
      <c r="J55" s="218"/>
      <c r="K55" s="218"/>
    </row>
    <row r="56" spans="3:11" ht="21">
      <c r="C56" s="57" t="s">
        <v>100</v>
      </c>
      <c r="D56" s="218"/>
      <c r="E56" s="218"/>
      <c r="F56" s="218"/>
      <c r="G56" s="218"/>
      <c r="H56" s="218"/>
      <c r="I56" s="218"/>
      <c r="J56" s="218"/>
      <c r="K56" s="218"/>
    </row>
    <row r="57" spans="3:11" ht="12.75">
      <c r="C57" s="218"/>
      <c r="D57" s="218"/>
      <c r="E57" s="79" t="s">
        <v>58</v>
      </c>
      <c r="F57" s="79">
        <v>20</v>
      </c>
      <c r="G57" s="218"/>
      <c r="H57" s="218"/>
      <c r="I57" s="218"/>
      <c r="J57" s="218"/>
      <c r="K57" s="218"/>
    </row>
    <row r="58" spans="3:11" ht="12.75">
      <c r="C58" s="58" t="s">
        <v>7</v>
      </c>
      <c r="D58" s="58" t="s">
        <v>101</v>
      </c>
      <c r="E58" s="58" t="s">
        <v>102</v>
      </c>
      <c r="F58" s="58" t="s">
        <v>103</v>
      </c>
      <c r="G58" s="58" t="s">
        <v>104</v>
      </c>
      <c r="H58" s="59" t="s">
        <v>105</v>
      </c>
      <c r="I58" s="218"/>
      <c r="J58" s="79" t="s">
        <v>106</v>
      </c>
      <c r="K58" s="218"/>
    </row>
    <row r="59" spans="3:11" ht="12.75">
      <c r="C59" s="71">
        <v>1</v>
      </c>
      <c r="D59" s="38">
        <f t="shared" ref="D59:D78" si="0">B13</f>
        <v>0.45979999999999999</v>
      </c>
      <c r="E59" s="77">
        <v>1.2500000000000001E-2</v>
      </c>
      <c r="F59" s="199">
        <f>(C59/$F$44)-E59</f>
        <v>3.7500000000000006E-2</v>
      </c>
      <c r="G59" s="71">
        <f t="shared" ref="G59:G78" si="1">E59-((C59-1)/$F$44)</f>
        <v>1.2500000000000001E-2</v>
      </c>
      <c r="H59" s="71">
        <f>MAX(F79:G79)</f>
        <v>0.13289999999999991</v>
      </c>
      <c r="I59" s="218"/>
      <c r="J59" s="218"/>
      <c r="K59" s="218"/>
    </row>
    <row r="60" spans="3:11" ht="14.25">
      <c r="C60" s="71">
        <v>2</v>
      </c>
      <c r="D60" s="38">
        <f t="shared" si="0"/>
        <v>1.2500000000000001E-2</v>
      </c>
      <c r="E60" s="77">
        <v>3.9E-2</v>
      </c>
      <c r="F60" s="199">
        <f t="shared" ref="F60:F78" si="2">(C60/$F$44)-E60</f>
        <v>6.1000000000000006E-2</v>
      </c>
      <c r="G60" s="71">
        <f t="shared" si="1"/>
        <v>-1.1000000000000003E-2</v>
      </c>
      <c r="H60" s="219"/>
      <c r="I60" s="218"/>
      <c r="J60" s="61" t="s">
        <v>171</v>
      </c>
      <c r="K60" s="218"/>
    </row>
    <row r="61" spans="3:11" ht="12.75">
      <c r="C61" s="71">
        <v>3</v>
      </c>
      <c r="D61" s="38">
        <f t="shared" si="0"/>
        <v>0.86860000000000004</v>
      </c>
      <c r="E61" s="77">
        <v>9.7299999999999998E-2</v>
      </c>
      <c r="F61" s="199">
        <f t="shared" si="2"/>
        <v>5.2699999999999997E-2</v>
      </c>
      <c r="G61" s="71">
        <f t="shared" si="1"/>
        <v>-2.7000000000000079E-3</v>
      </c>
      <c r="H61" s="219"/>
      <c r="I61" s="218"/>
      <c r="J61" s="79" t="s">
        <v>108</v>
      </c>
      <c r="K61" s="79">
        <v>0.35599999999999998</v>
      </c>
    </row>
    <row r="62" spans="3:11" ht="12.75">
      <c r="C62" s="71">
        <v>4</v>
      </c>
      <c r="D62" s="38">
        <f t="shared" si="0"/>
        <v>0.4007</v>
      </c>
      <c r="E62" s="38">
        <v>0.22950000000000001</v>
      </c>
      <c r="F62" s="199">
        <f t="shared" si="2"/>
        <v>-2.9499999999999998E-2</v>
      </c>
      <c r="G62" s="62">
        <f t="shared" si="1"/>
        <v>7.9500000000000015E-2</v>
      </c>
      <c r="H62" s="219"/>
      <c r="I62" s="218"/>
      <c r="J62" s="218"/>
      <c r="K62" s="218"/>
    </row>
    <row r="63" spans="3:11" ht="12.75">
      <c r="C63" s="71">
        <v>5</v>
      </c>
      <c r="D63" s="38">
        <f t="shared" si="0"/>
        <v>0.9405</v>
      </c>
      <c r="E63" s="77">
        <v>0.30659999999999998</v>
      </c>
      <c r="F63" s="199">
        <f t="shared" si="2"/>
        <v>-5.6599999999999984E-2</v>
      </c>
      <c r="G63" s="71">
        <f t="shared" si="1"/>
        <v>0.10659999999999997</v>
      </c>
      <c r="H63" s="219"/>
      <c r="I63" s="218"/>
      <c r="J63" s="218"/>
      <c r="K63" s="218"/>
    </row>
    <row r="64" spans="3:11" ht="12.75">
      <c r="C64" s="71">
        <v>6</v>
      </c>
      <c r="D64" s="38">
        <f t="shared" si="0"/>
        <v>0.65839999999999999</v>
      </c>
      <c r="E64" s="77">
        <v>0.31259999999999999</v>
      </c>
      <c r="F64" s="199">
        <f t="shared" si="2"/>
        <v>-1.26E-2</v>
      </c>
      <c r="G64" s="71">
        <f t="shared" si="1"/>
        <v>6.2599999999999989E-2</v>
      </c>
      <c r="H64" s="219"/>
      <c r="I64" s="218"/>
      <c r="J64" s="218"/>
      <c r="K64" s="218"/>
    </row>
    <row r="65" spans="3:9" ht="12.75">
      <c r="C65" s="71">
        <v>7</v>
      </c>
      <c r="D65" s="38">
        <f t="shared" si="0"/>
        <v>0.40089999999999998</v>
      </c>
      <c r="E65" s="77">
        <v>0.32479999999999998</v>
      </c>
      <c r="F65" s="199">
        <f t="shared" si="2"/>
        <v>2.52E-2</v>
      </c>
      <c r="G65" s="71">
        <f t="shared" si="1"/>
        <v>2.4799999999999989E-2</v>
      </c>
      <c r="H65" s="219"/>
      <c r="I65" s="218"/>
    </row>
    <row r="66" spans="3:9" ht="12.75">
      <c r="C66" s="71">
        <v>8</v>
      </c>
      <c r="D66" s="38">
        <f t="shared" si="0"/>
        <v>0.22950000000000001</v>
      </c>
      <c r="E66" s="77">
        <v>0.4007</v>
      </c>
      <c r="F66" s="199">
        <f t="shared" si="2"/>
        <v>-6.9999999999997842E-4</v>
      </c>
      <c r="G66" s="71">
        <f t="shared" si="1"/>
        <v>5.0700000000000023E-2</v>
      </c>
      <c r="H66" s="219"/>
      <c r="I66" s="218"/>
    </row>
    <row r="67" spans="3:9" ht="12.75">
      <c r="C67" s="71">
        <v>9</v>
      </c>
      <c r="D67" s="38">
        <f t="shared" si="0"/>
        <v>0.78169999999999995</v>
      </c>
      <c r="E67" s="77">
        <v>0.40089999999999998</v>
      </c>
      <c r="F67" s="199">
        <f t="shared" si="2"/>
        <v>4.9100000000000033E-2</v>
      </c>
      <c r="G67" s="71">
        <f t="shared" si="1"/>
        <v>8.9999999999995639E-4</v>
      </c>
      <c r="H67" s="219"/>
      <c r="I67" s="79" t="s">
        <v>109</v>
      </c>
    </row>
    <row r="68" spans="3:9" ht="12.75">
      <c r="C68" s="71">
        <v>10</v>
      </c>
      <c r="D68" s="38">
        <f t="shared" si="0"/>
        <v>0.76329999999999998</v>
      </c>
      <c r="E68" s="77">
        <v>0.45979999999999999</v>
      </c>
      <c r="F68" s="199">
        <f t="shared" si="2"/>
        <v>4.0200000000000014E-2</v>
      </c>
      <c r="G68" s="71">
        <f t="shared" si="1"/>
        <v>9.7999999999999754E-3</v>
      </c>
      <c r="H68" s="219"/>
      <c r="I68" s="218"/>
    </row>
    <row r="69" spans="3:9" ht="18.75">
      <c r="C69" s="71">
        <v>11</v>
      </c>
      <c r="D69" s="38">
        <f t="shared" si="0"/>
        <v>9.7299999999999998E-2</v>
      </c>
      <c r="E69" s="77">
        <v>0.5978</v>
      </c>
      <c r="F69" s="199">
        <f t="shared" si="2"/>
        <v>-4.7799999999999954E-2</v>
      </c>
      <c r="G69" s="71">
        <f t="shared" si="1"/>
        <v>9.7799999999999998E-2</v>
      </c>
      <c r="H69" s="63" t="s">
        <v>76</v>
      </c>
      <c r="I69" s="64" t="str">
        <f>IF(K61&gt;H59,"No se puede rechazar", "Se puede rechazar")</f>
        <v>No se puede rechazar</v>
      </c>
    </row>
    <row r="70" spans="3:9" ht="12.75">
      <c r="C70" s="71">
        <v>12</v>
      </c>
      <c r="D70" s="38">
        <f t="shared" si="0"/>
        <v>0.99070000000000003</v>
      </c>
      <c r="E70" s="77">
        <v>0.64510000000000001</v>
      </c>
      <c r="F70" s="199">
        <f t="shared" si="2"/>
        <v>-4.5100000000000029E-2</v>
      </c>
      <c r="G70" s="71">
        <f t="shared" si="1"/>
        <v>9.5099999999999962E-2</v>
      </c>
      <c r="H70" s="218"/>
      <c r="I70" s="218"/>
    </row>
    <row r="71" spans="3:9" ht="12.75">
      <c r="C71" s="71">
        <v>13</v>
      </c>
      <c r="D71" s="38">
        <f t="shared" si="0"/>
        <v>0.95389999999999997</v>
      </c>
      <c r="E71" s="77">
        <v>0.65839999999999999</v>
      </c>
      <c r="F71" s="199">
        <f t="shared" si="2"/>
        <v>-8.3999999999999631E-3</v>
      </c>
      <c r="G71" s="71">
        <f t="shared" si="1"/>
        <v>5.8400000000000007E-2</v>
      </c>
      <c r="H71" s="218"/>
      <c r="I71" s="218"/>
    </row>
    <row r="72" spans="3:9" ht="12.75">
      <c r="C72" s="71">
        <v>14</v>
      </c>
      <c r="D72" s="38">
        <f t="shared" si="0"/>
        <v>0.31259999999999999</v>
      </c>
      <c r="E72" s="77">
        <v>0.76329999999999998</v>
      </c>
      <c r="F72" s="199">
        <f t="shared" si="2"/>
        <v>-6.3300000000000023E-2</v>
      </c>
      <c r="G72" s="71">
        <f t="shared" si="1"/>
        <v>0.11329999999999996</v>
      </c>
      <c r="H72" s="218"/>
      <c r="I72" s="218"/>
    </row>
    <row r="73" spans="3:9" ht="12.75">
      <c r="C73" s="71">
        <v>15</v>
      </c>
      <c r="D73" s="38">
        <f t="shared" si="0"/>
        <v>0.64510000000000001</v>
      </c>
      <c r="E73" s="77">
        <v>0.78169999999999995</v>
      </c>
      <c r="F73" s="199">
        <f t="shared" si="2"/>
        <v>-3.169999999999995E-2</v>
      </c>
      <c r="G73" s="71">
        <f t="shared" si="1"/>
        <v>8.1699999999999995E-2</v>
      </c>
      <c r="H73" s="218"/>
      <c r="I73" s="218"/>
    </row>
    <row r="74" spans="3:9" ht="12.75">
      <c r="C74" s="71">
        <v>16</v>
      </c>
      <c r="D74" s="38">
        <f t="shared" si="0"/>
        <v>0.30659999999999998</v>
      </c>
      <c r="E74" s="38">
        <v>0.86860000000000004</v>
      </c>
      <c r="F74" s="199">
        <f t="shared" si="2"/>
        <v>-6.8599999999999994E-2</v>
      </c>
      <c r="G74" s="62">
        <f t="shared" si="1"/>
        <v>0.11860000000000004</v>
      </c>
      <c r="H74" s="218"/>
      <c r="I74" s="218"/>
    </row>
    <row r="75" spans="3:9" ht="12.75">
      <c r="C75" s="71">
        <v>17</v>
      </c>
      <c r="D75" s="38">
        <f t="shared" si="0"/>
        <v>0.32479999999999998</v>
      </c>
      <c r="E75" s="77">
        <v>0.93289999999999995</v>
      </c>
      <c r="F75" s="199">
        <f t="shared" si="2"/>
        <v>-8.2899999999999974E-2</v>
      </c>
      <c r="G75" s="71">
        <f t="shared" si="1"/>
        <v>0.13289999999999991</v>
      </c>
      <c r="H75" s="218"/>
      <c r="I75" s="218"/>
    </row>
    <row r="76" spans="3:9" ht="12.75">
      <c r="C76" s="71">
        <v>18</v>
      </c>
      <c r="D76" s="38">
        <f t="shared" si="0"/>
        <v>0.5978</v>
      </c>
      <c r="E76" s="77">
        <v>0.9405</v>
      </c>
      <c r="F76" s="199">
        <f t="shared" si="2"/>
        <v>-4.049999999999998E-2</v>
      </c>
      <c r="G76" s="71">
        <f t="shared" si="1"/>
        <v>9.0500000000000025E-2</v>
      </c>
      <c r="H76" s="218"/>
      <c r="I76" s="218"/>
    </row>
    <row r="77" spans="3:9" ht="12.75">
      <c r="C77" s="71">
        <v>19</v>
      </c>
      <c r="D77" s="38">
        <f t="shared" si="0"/>
        <v>3.9E-2</v>
      </c>
      <c r="E77" s="38">
        <v>0.95389999999999997</v>
      </c>
      <c r="F77" s="199">
        <f t="shared" si="2"/>
        <v>-3.9000000000000146E-3</v>
      </c>
      <c r="G77" s="62">
        <f t="shared" si="1"/>
        <v>5.3899999999999948E-2</v>
      </c>
      <c r="H77" s="218"/>
      <c r="I77" s="218"/>
    </row>
    <row r="78" spans="3:9" ht="12.75">
      <c r="C78" s="71">
        <v>20</v>
      </c>
      <c r="D78" s="38">
        <f t="shared" si="0"/>
        <v>0.93289999999999995</v>
      </c>
      <c r="E78" s="77">
        <v>0.99070000000000003</v>
      </c>
      <c r="F78" s="199">
        <f t="shared" si="2"/>
        <v>9.299999999999975E-3</v>
      </c>
      <c r="G78" s="71">
        <f t="shared" si="1"/>
        <v>4.0700000000000069E-2</v>
      </c>
      <c r="H78" s="218"/>
      <c r="I78" s="218"/>
    </row>
    <row r="79" spans="3:9" ht="12.75">
      <c r="C79" s="218"/>
      <c r="D79" s="218"/>
      <c r="E79" s="65" t="s">
        <v>110</v>
      </c>
      <c r="F79" s="200">
        <f t="shared" ref="F79:G79" si="3">MAX(F59:F78)</f>
        <v>6.1000000000000006E-2</v>
      </c>
      <c r="G79" s="66">
        <f t="shared" si="3"/>
        <v>0.13289999999999991</v>
      </c>
      <c r="H79" s="218"/>
      <c r="I79" s="218"/>
    </row>
    <row r="80" spans="3:9" ht="15.75" customHeight="1">
      <c r="C80" s="218"/>
      <c r="D80" s="218"/>
      <c r="E80" s="218"/>
      <c r="F80" s="114"/>
      <c r="G80" s="56"/>
      <c r="H80" s="218"/>
      <c r="I80" s="218"/>
    </row>
    <row r="86" spans="2:6" ht="20.25">
      <c r="B86" s="67" t="s">
        <v>112</v>
      </c>
      <c r="C86" s="68"/>
      <c r="D86" s="68"/>
      <c r="E86" s="79"/>
      <c r="F86" s="218"/>
    </row>
    <row r="87" spans="2:6" ht="12.75">
      <c r="B87" s="79"/>
      <c r="C87" s="79"/>
      <c r="D87" s="79"/>
      <c r="E87" s="79"/>
      <c r="F87" s="218"/>
    </row>
    <row r="88" spans="2:6" ht="12.75">
      <c r="B88" s="69" t="s">
        <v>113</v>
      </c>
      <c r="C88" s="74" t="s">
        <v>114</v>
      </c>
      <c r="D88" s="74" t="s">
        <v>115</v>
      </c>
      <c r="E88" s="79"/>
      <c r="F88" s="79"/>
    </row>
    <row r="89" spans="2:6" ht="12.75">
      <c r="B89" s="77">
        <v>0.45979999999999999</v>
      </c>
      <c r="C89" s="194"/>
      <c r="D89" s="77">
        <v>14</v>
      </c>
      <c r="E89" s="79"/>
      <c r="F89" s="218"/>
    </row>
    <row r="90" spans="2:6" ht="12.75">
      <c r="B90" s="77">
        <v>1.2500000000000001E-2</v>
      </c>
      <c r="C90" s="71">
        <f t="shared" ref="C90" si="4">IF(B89&lt;=B90,1,0)</f>
        <v>0</v>
      </c>
      <c r="D90" s="72" t="s">
        <v>116</v>
      </c>
      <c r="E90" s="79"/>
      <c r="F90" s="218"/>
    </row>
    <row r="91" spans="2:6" ht="12.75">
      <c r="B91" s="77">
        <v>0.86860000000000004</v>
      </c>
      <c r="C91" s="71">
        <f t="shared" ref="C91:C108" si="5">IF(B90&lt;=B91,1,0)</f>
        <v>1</v>
      </c>
      <c r="D91" s="73">
        <v>20</v>
      </c>
      <c r="E91" s="79"/>
      <c r="F91" s="218"/>
    </row>
    <row r="92" spans="2:6" ht="12.75">
      <c r="B92" s="77">
        <v>0.4007</v>
      </c>
      <c r="C92" s="71">
        <f t="shared" si="5"/>
        <v>0</v>
      </c>
      <c r="D92" s="74" t="s">
        <v>117</v>
      </c>
      <c r="E92" s="79"/>
      <c r="F92" s="218"/>
    </row>
    <row r="93" spans="2:6" ht="12.75">
      <c r="B93" s="77">
        <v>0.9405</v>
      </c>
      <c r="C93" s="71">
        <f t="shared" si="5"/>
        <v>1</v>
      </c>
      <c r="D93" s="75">
        <f>(2*D91-1)/3</f>
        <v>13</v>
      </c>
      <c r="E93" s="79"/>
      <c r="F93" s="218"/>
    </row>
    <row r="94" spans="2:6" ht="15">
      <c r="B94" s="77">
        <v>0.65839999999999999</v>
      </c>
      <c r="C94" s="71">
        <f t="shared" si="5"/>
        <v>0</v>
      </c>
      <c r="D94" s="76" t="s">
        <v>118</v>
      </c>
      <c r="E94" s="79"/>
      <c r="F94" s="218"/>
    </row>
    <row r="95" spans="2:6" ht="12.75">
      <c r="B95" s="77">
        <v>0.40089999999999998</v>
      </c>
      <c r="C95" s="71">
        <f t="shared" si="5"/>
        <v>0</v>
      </c>
      <c r="D95" s="77">
        <f>(16*D91-29)/90</f>
        <v>3.2333333333333334</v>
      </c>
      <c r="E95" s="79"/>
      <c r="F95" s="218"/>
    </row>
    <row r="96" spans="2:6" ht="12.75">
      <c r="B96" s="77">
        <v>0.22950000000000001</v>
      </c>
      <c r="C96" s="71">
        <f t="shared" si="5"/>
        <v>0</v>
      </c>
      <c r="D96" s="74" t="s">
        <v>119</v>
      </c>
      <c r="E96" s="79"/>
      <c r="F96" s="218"/>
    </row>
    <row r="97" spans="1:6" ht="12.75">
      <c r="A97" s="218"/>
      <c r="B97" s="77">
        <v>0.78169999999999995</v>
      </c>
      <c r="C97" s="71">
        <f t="shared" si="5"/>
        <v>1</v>
      </c>
      <c r="D97" s="197">
        <f>ABS((D89-D93)/SQRT(D95))</f>
        <v>0.55612799832004856</v>
      </c>
      <c r="E97" s="114"/>
      <c r="F97" s="218"/>
    </row>
    <row r="98" spans="1:6" ht="18">
      <c r="A98" s="218"/>
      <c r="B98" s="77">
        <v>0.76329999999999998</v>
      </c>
      <c r="C98" s="71">
        <f t="shared" si="5"/>
        <v>0</v>
      </c>
      <c r="D98" s="78" t="s">
        <v>120</v>
      </c>
      <c r="E98" s="79" t="s">
        <v>121</v>
      </c>
      <c r="F98" s="218"/>
    </row>
    <row r="99" spans="1:6" ht="12.75">
      <c r="A99" s="218"/>
      <c r="B99" s="77">
        <v>9.7299999999999998E-2</v>
      </c>
      <c r="C99" s="71">
        <f t="shared" si="5"/>
        <v>0</v>
      </c>
      <c r="D99" s="198">
        <f>_xlfn.NORM.S.INV(H35)</f>
        <v>2.4323790585844489</v>
      </c>
      <c r="E99" s="114"/>
      <c r="F99" s="218"/>
    </row>
    <row r="100" spans="1:6">
      <c r="A100" s="218"/>
      <c r="B100" s="77">
        <v>0.99070000000000003</v>
      </c>
      <c r="C100" s="71">
        <f t="shared" si="5"/>
        <v>1</v>
      </c>
      <c r="D100" s="81" t="str">
        <f>IF(D99&gt;D97,"No se puede rechazar", "Se puede rechazar")</f>
        <v>No se puede rechazar</v>
      </c>
      <c r="E100" s="218"/>
      <c r="F100" s="173"/>
    </row>
    <row r="101" spans="1:6" ht="12.75">
      <c r="A101" s="218"/>
      <c r="B101" s="77">
        <v>0.95389999999999997</v>
      </c>
      <c r="C101" s="71">
        <f t="shared" si="5"/>
        <v>0</v>
      </c>
      <c r="D101" s="218"/>
      <c r="E101" s="218"/>
      <c r="F101" s="218"/>
    </row>
    <row r="102" spans="1:6" ht="12.75">
      <c r="A102" s="218"/>
      <c r="B102" s="77">
        <v>0.31259999999999999</v>
      </c>
      <c r="C102" s="71">
        <f t="shared" si="5"/>
        <v>0</v>
      </c>
      <c r="D102" s="114"/>
      <c r="E102" s="218"/>
      <c r="F102" s="218"/>
    </row>
    <row r="103" spans="1:6" ht="12.75">
      <c r="A103" s="218"/>
      <c r="B103" s="77">
        <v>0.64510000000000001</v>
      </c>
      <c r="C103" s="71">
        <f t="shared" si="5"/>
        <v>1</v>
      </c>
      <c r="D103" s="114"/>
      <c r="E103" s="218"/>
      <c r="F103" s="218"/>
    </row>
    <row r="104" spans="1:6" ht="12.75">
      <c r="A104" s="218"/>
      <c r="B104" s="77">
        <v>0.30659999999999998</v>
      </c>
      <c r="C104" s="71">
        <f t="shared" si="5"/>
        <v>0</v>
      </c>
      <c r="D104" s="218"/>
      <c r="E104" s="218"/>
      <c r="F104" s="218"/>
    </row>
    <row r="105" spans="1:6" ht="12.75">
      <c r="A105" s="218"/>
      <c r="B105" s="77">
        <v>0.32479999999999998</v>
      </c>
      <c r="C105" s="71">
        <f t="shared" si="5"/>
        <v>1</v>
      </c>
      <c r="D105" s="218"/>
      <c r="E105" s="218" t="s">
        <v>172</v>
      </c>
      <c r="F105" s="218"/>
    </row>
    <row r="106" spans="1:6" ht="12.75">
      <c r="A106" s="218"/>
      <c r="B106" s="77">
        <v>0.5978</v>
      </c>
      <c r="C106" s="71">
        <f t="shared" si="5"/>
        <v>1</v>
      </c>
      <c r="D106" s="218"/>
      <c r="E106" s="218"/>
      <c r="F106" s="218"/>
    </row>
    <row r="107" spans="1:6" ht="12.75">
      <c r="A107" s="218"/>
      <c r="B107" s="38">
        <v>3.9E-2</v>
      </c>
      <c r="C107" s="71">
        <f t="shared" si="5"/>
        <v>0</v>
      </c>
      <c r="D107" s="218"/>
      <c r="E107" s="218"/>
      <c r="F107" s="218"/>
    </row>
    <row r="108" spans="1:6" ht="12.75">
      <c r="A108" s="218"/>
      <c r="B108" s="77">
        <v>0.93289999999999995</v>
      </c>
      <c r="C108" s="71">
        <f t="shared" si="5"/>
        <v>1</v>
      </c>
      <c r="D108" s="218"/>
      <c r="E108" s="218"/>
      <c r="F108" s="218"/>
    </row>
    <row r="111" spans="1:6" ht="20.25">
      <c r="A111" s="83" t="s">
        <v>125</v>
      </c>
      <c r="B111" s="14"/>
      <c r="C111" s="218"/>
      <c r="D111" s="14"/>
      <c r="E111" s="218"/>
      <c r="F111" s="218"/>
    </row>
    <row r="112" spans="1:6" ht="14.25">
      <c r="A112" s="14"/>
      <c r="B112" s="84" t="s">
        <v>126</v>
      </c>
      <c r="C112" s="14"/>
      <c r="D112" s="84" t="s">
        <v>128</v>
      </c>
      <c r="E112" s="79" t="s">
        <v>129</v>
      </c>
      <c r="F112" s="218"/>
    </row>
    <row r="113" spans="1:5" ht="18">
      <c r="A113" s="86" t="s">
        <v>113</v>
      </c>
      <c r="B113" s="87" t="s">
        <v>114</v>
      </c>
      <c r="C113" s="84" t="s">
        <v>127</v>
      </c>
      <c r="D113" s="74" t="s">
        <v>117</v>
      </c>
      <c r="E113" s="78" t="s">
        <v>120</v>
      </c>
    </row>
    <row r="114" spans="1:5" ht="14.25">
      <c r="A114" s="77">
        <v>0.45979999999999999</v>
      </c>
      <c r="B114" s="88">
        <f t="shared" ref="B114:B133" si="6">ROUND(A114,0)</f>
        <v>0</v>
      </c>
      <c r="C114" s="87" t="s">
        <v>115</v>
      </c>
      <c r="D114" s="22">
        <f>((2*C117*C119)/D119)+1/2</f>
        <v>10.5</v>
      </c>
      <c r="E114" s="82">
        <f>_xlfn.NORM.S.INV(0.985)</f>
        <v>2.1700903775845601</v>
      </c>
    </row>
    <row r="115" spans="1:5" ht="15">
      <c r="A115" s="77">
        <v>1.2500000000000001E-2</v>
      </c>
      <c r="B115" s="88">
        <f t="shared" si="6"/>
        <v>0</v>
      </c>
      <c r="C115" s="89">
        <v>14</v>
      </c>
      <c r="D115" s="76" t="s">
        <v>118</v>
      </c>
      <c r="E115" s="79" t="s">
        <v>76</v>
      </c>
    </row>
    <row r="116" spans="1:5" ht="15">
      <c r="A116" s="77">
        <v>0.86860000000000004</v>
      </c>
      <c r="B116" s="88">
        <f t="shared" si="6"/>
        <v>1</v>
      </c>
      <c r="C116" s="87" t="s">
        <v>130</v>
      </c>
      <c r="D116" s="22">
        <f>2*C117*C119*(2*C117*C119-$D$119)/($D$119*$D$119*($D$119-1))</f>
        <v>4.7368421052631575</v>
      </c>
      <c r="E116" s="91" t="str">
        <f>IF(E114&gt;D118,"No se puede rechazar", "Se puede rechazar")</f>
        <v>No se puede rechazar</v>
      </c>
    </row>
    <row r="117" spans="1:5" ht="14.25">
      <c r="A117" s="77">
        <v>0.4007</v>
      </c>
      <c r="B117" s="88">
        <f t="shared" si="6"/>
        <v>0</v>
      </c>
      <c r="C117" s="23">
        <f>COUNTIF(B114:B133,0)</f>
        <v>10</v>
      </c>
      <c r="D117" s="74" t="s">
        <v>119</v>
      </c>
      <c r="E117" s="218"/>
    </row>
    <row r="118" spans="1:5" ht="14.25">
      <c r="A118" s="77">
        <v>0.9405</v>
      </c>
      <c r="B118" s="88">
        <f t="shared" si="6"/>
        <v>1</v>
      </c>
      <c r="C118" s="87" t="s">
        <v>131</v>
      </c>
      <c r="D118" s="22">
        <f>(C115-D114)/SQRT(D116)</f>
        <v>1.6081390210771926</v>
      </c>
      <c r="E118" s="218"/>
    </row>
    <row r="119" spans="1:5" ht="14.25">
      <c r="A119" s="77">
        <v>0.65839999999999999</v>
      </c>
      <c r="B119" s="88">
        <f t="shared" si="6"/>
        <v>1</v>
      </c>
      <c r="C119" s="23">
        <f>COUNTIF(B114:B133,1)</f>
        <v>10</v>
      </c>
      <c r="D119" s="86">
        <v>20</v>
      </c>
      <c r="E119" s="218"/>
    </row>
    <row r="120" spans="1:5" ht="14.25">
      <c r="A120" s="77">
        <v>0.40089999999999998</v>
      </c>
      <c r="B120" s="88">
        <f t="shared" si="6"/>
        <v>0</v>
      </c>
      <c r="C120" s="87" t="s">
        <v>116</v>
      </c>
      <c r="D120" s="14"/>
      <c r="E120" s="218"/>
    </row>
    <row r="121" spans="1:5" ht="18">
      <c r="A121" s="77">
        <v>0.22950000000000001</v>
      </c>
      <c r="B121" s="88">
        <f t="shared" si="6"/>
        <v>0</v>
      </c>
      <c r="C121" s="14"/>
      <c r="D121" s="92" t="s">
        <v>123</v>
      </c>
      <c r="E121" s="92"/>
    </row>
    <row r="122" spans="1:5" ht="14.25">
      <c r="A122" s="77">
        <v>0.78169999999999995</v>
      </c>
      <c r="B122" s="88">
        <f t="shared" si="6"/>
        <v>1</v>
      </c>
      <c r="C122" s="14"/>
      <c r="D122" s="14"/>
      <c r="E122" s="218"/>
    </row>
    <row r="123" spans="1:5" ht="14.25">
      <c r="A123" s="77">
        <v>0.76329999999999998</v>
      </c>
      <c r="B123" s="88">
        <f t="shared" si="6"/>
        <v>1</v>
      </c>
      <c r="C123" s="14"/>
      <c r="D123" s="14"/>
      <c r="E123" s="218"/>
    </row>
    <row r="124" spans="1:5" ht="15">
      <c r="A124" s="77">
        <v>9.7299999999999998E-2</v>
      </c>
      <c r="B124" s="88">
        <f t="shared" si="6"/>
        <v>0</v>
      </c>
      <c r="C124" s="24"/>
      <c r="D124" s="173"/>
      <c r="E124" s="218"/>
    </row>
    <row r="125" spans="1:5" ht="14.25">
      <c r="A125" s="77">
        <v>0.99070000000000003</v>
      </c>
      <c r="B125" s="88">
        <f t="shared" si="6"/>
        <v>1</v>
      </c>
      <c r="C125" s="218"/>
      <c r="D125" s="218" t="s">
        <v>173</v>
      </c>
      <c r="E125" s="218"/>
    </row>
    <row r="126" spans="1:5" ht="14.25">
      <c r="A126" s="77">
        <v>0.95389999999999997</v>
      </c>
      <c r="B126" s="88">
        <f t="shared" si="6"/>
        <v>1</v>
      </c>
      <c r="C126" s="218"/>
      <c r="D126" s="218"/>
      <c r="E126" s="218"/>
    </row>
    <row r="127" spans="1:5" ht="14.25">
      <c r="A127" s="77">
        <v>0.31259999999999999</v>
      </c>
      <c r="B127" s="88">
        <f t="shared" si="6"/>
        <v>0</v>
      </c>
      <c r="C127" s="218"/>
      <c r="D127" s="218"/>
      <c r="E127" s="218"/>
    </row>
    <row r="128" spans="1:5" ht="14.25">
      <c r="A128" s="77">
        <v>0.64510000000000001</v>
      </c>
      <c r="B128" s="88">
        <f t="shared" si="6"/>
        <v>1</v>
      </c>
      <c r="C128" s="218"/>
      <c r="D128" s="218"/>
      <c r="E128" s="218"/>
    </row>
    <row r="129" spans="1:2" ht="14.25">
      <c r="A129" s="77">
        <v>0.30659999999999998</v>
      </c>
      <c r="B129" s="88">
        <f t="shared" si="6"/>
        <v>0</v>
      </c>
    </row>
    <row r="130" spans="1:2" ht="14.25">
      <c r="A130" s="77">
        <v>0.32479999999999998</v>
      </c>
      <c r="B130" s="88">
        <f t="shared" si="6"/>
        <v>0</v>
      </c>
    </row>
    <row r="131" spans="1:2" ht="14.25">
      <c r="A131" s="77">
        <v>0.5978</v>
      </c>
      <c r="B131" s="88">
        <f t="shared" si="6"/>
        <v>1</v>
      </c>
    </row>
    <row r="132" spans="1:2" ht="14.25">
      <c r="A132" s="38">
        <v>3.9E-2</v>
      </c>
      <c r="B132" s="88">
        <f t="shared" si="6"/>
        <v>0</v>
      </c>
    </row>
    <row r="133" spans="1:2" ht="14.25">
      <c r="A133" s="77">
        <v>0.93289999999999995</v>
      </c>
      <c r="B133" s="88">
        <f t="shared" si="6"/>
        <v>1</v>
      </c>
    </row>
  </sheetData>
  <mergeCells count="18">
    <mergeCell ref="F19:H19"/>
    <mergeCell ref="F20:G20"/>
    <mergeCell ref="F21:G21"/>
    <mergeCell ref="F22:G22"/>
    <mergeCell ref="F23:G23"/>
    <mergeCell ref="G53:H53"/>
    <mergeCell ref="F24:G24"/>
    <mergeCell ref="F25:G25"/>
    <mergeCell ref="F39:G39"/>
    <mergeCell ref="F40:G40"/>
    <mergeCell ref="C43:F43"/>
    <mergeCell ref="F32:H32"/>
    <mergeCell ref="F33:G33"/>
    <mergeCell ref="F34:G34"/>
    <mergeCell ref="F35:G35"/>
    <mergeCell ref="F36:G36"/>
    <mergeCell ref="F37:G37"/>
    <mergeCell ref="F38:G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FD56BFCE06F0743BD087C787137EC99" ma:contentTypeVersion="2" ma:contentTypeDescription="Crear nuevo documento." ma:contentTypeScope="" ma:versionID="a1146f46ee427dde5a0f4853a40fff75">
  <xsd:schema xmlns:xsd="http://www.w3.org/2001/XMLSchema" xmlns:xs="http://www.w3.org/2001/XMLSchema" xmlns:p="http://schemas.microsoft.com/office/2006/metadata/properties" xmlns:ns3="1e407f38-6487-47ac-89f5-fdf68a107095" targetNamespace="http://schemas.microsoft.com/office/2006/metadata/properties" ma:root="true" ma:fieldsID="524aa1d41a52bcaf74efe9bd125a2f24" ns3:_="">
    <xsd:import namespace="1e407f38-6487-47ac-89f5-fdf68a1070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07f38-6487-47ac-89f5-fdf68a107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83702C-F1B7-4AA3-B175-A69C2FEA99A9}"/>
</file>

<file path=customXml/itemProps2.xml><?xml version="1.0" encoding="utf-8"?>
<ds:datastoreItem xmlns:ds="http://schemas.openxmlformats.org/officeDocument/2006/customXml" ds:itemID="{4B3F0D29-0D93-4D76-AE07-4331119E2A9B}"/>
</file>

<file path=customXml/itemProps3.xml><?xml version="1.0" encoding="utf-8"?>
<ds:datastoreItem xmlns:ds="http://schemas.openxmlformats.org/officeDocument/2006/customXml" ds:itemID="{25002E09-5AA4-40BE-BC03-ECC8616E8C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Simón</dc:creator>
  <cp:keywords/>
  <dc:description/>
  <cp:lastModifiedBy/>
  <cp:revision/>
  <dcterms:created xsi:type="dcterms:W3CDTF">2020-04-23T15:40:37Z</dcterms:created>
  <dcterms:modified xsi:type="dcterms:W3CDTF">2020-05-01T22:51:37Z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0x0101004FD56BFCE06F0743BD087C787137EC99</vt:lpwstr>
  </property>
</Properties>
</file>