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382B47D5-3E3C-420C-AFFF-1E1D643BE217}" xr6:coauthVersionLast="47" xr6:coauthVersionMax="47" xr10:uidLastSave="{00000000-0000-0000-0000-000000000000}"/>
  <bookViews>
    <workbookView xWindow="-120" yWindow="-120" windowWidth="20730" windowHeight="11310" tabRatio="769" xr2:uid="{00000000-000D-0000-FFFF-FFFF00000000}"/>
  </bookViews>
  <sheets>
    <sheet name="Crowdfunding" sheetId="1" r:id="rId1"/>
    <sheet name="outcome_parent_category" sheetId="2" r:id="rId2"/>
    <sheet name="outcome_sub_category" sheetId="3" r:id="rId3"/>
    <sheet name="outcome_month" sheetId="4" r:id="rId4"/>
    <sheet name="goal_analysis" sheetId="5" r:id="rId5"/>
    <sheet name="backers" sheetId="6" r:id="rId6"/>
  </sheets>
  <definedNames>
    <definedName name="_xlnm._FilterDatabase" localSheetId="0" hidden="1">Crowdfunding!$A$1:$R$1001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6" l="1"/>
  <c r="C11" i="6"/>
  <c r="C10" i="6"/>
  <c r="C9" i="6"/>
  <c r="C8" i="6"/>
  <c r="C7" i="6"/>
  <c r="C6" i="6"/>
  <c r="C5" i="6"/>
  <c r="C4" i="6"/>
  <c r="B12" i="6"/>
  <c r="B11" i="6"/>
  <c r="B10" i="6"/>
  <c r="B9" i="6"/>
  <c r="B8" i="6"/>
  <c r="B7" i="6"/>
  <c r="B6" i="6"/>
  <c r="B5" i="6"/>
  <c r="B4" i="6"/>
  <c r="C3" i="6"/>
  <c r="B3" i="6"/>
  <c r="B14" i="6" s="1"/>
  <c r="B2" i="6"/>
  <c r="C13" i="6"/>
  <c r="B13" i="6"/>
  <c r="C2" i="6"/>
  <c r="C14" i="6" s="1"/>
  <c r="D12" i="5"/>
  <c r="D11" i="5"/>
  <c r="D10" i="5"/>
  <c r="D9" i="5"/>
  <c r="D8" i="5"/>
  <c r="D7" i="5"/>
  <c r="D6" i="5"/>
  <c r="D5" i="5"/>
  <c r="D4" i="5"/>
  <c r="C12" i="5"/>
  <c r="C11" i="5"/>
  <c r="C10" i="5"/>
  <c r="C9" i="5"/>
  <c r="C8" i="5"/>
  <c r="C7" i="5"/>
  <c r="C6" i="5"/>
  <c r="C5" i="5"/>
  <c r="C4" i="5"/>
  <c r="B12" i="5"/>
  <c r="B11" i="5"/>
  <c r="B10" i="5"/>
  <c r="B9" i="5"/>
  <c r="B8" i="5"/>
  <c r="B7" i="5"/>
  <c r="B6" i="5"/>
  <c r="B5" i="5"/>
  <c r="B4" i="5"/>
  <c r="D3" i="5"/>
  <c r="C3" i="5"/>
  <c r="B3" i="5"/>
  <c r="D13" i="5"/>
  <c r="C13" i="5"/>
  <c r="B13" i="5"/>
  <c r="D2" i="5"/>
  <c r="C2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C21" i="6" l="1"/>
  <c r="B21" i="6"/>
  <c r="B16" i="6"/>
  <c r="B18" i="6"/>
  <c r="B20" i="6"/>
  <c r="C16" i="6"/>
  <c r="C18" i="6"/>
  <c r="C20" i="6"/>
  <c r="B17" i="6"/>
  <c r="B19" i="6"/>
  <c r="C17" i="6"/>
  <c r="C19" i="6"/>
  <c r="E12" i="5"/>
  <c r="H12" i="5" s="1"/>
  <c r="E10" i="5"/>
  <c r="G10" i="5" s="1"/>
  <c r="E6" i="5"/>
  <c r="G6" i="5" s="1"/>
  <c r="E7" i="5"/>
  <c r="H7" i="5" s="1"/>
  <c r="E11" i="5"/>
  <c r="F11" i="5" s="1"/>
  <c r="E5" i="5"/>
  <c r="H5" i="5" s="1"/>
  <c r="E9" i="5"/>
  <c r="F9" i="5" s="1"/>
  <c r="E2" i="5"/>
  <c r="G2" i="5" s="1"/>
  <c r="E4" i="5"/>
  <c r="F4" i="5" s="1"/>
  <c r="E8" i="5"/>
  <c r="H8" i="5" s="1"/>
  <c r="E3" i="5"/>
  <c r="G3" i="5" s="1"/>
  <c r="E13" i="5"/>
  <c r="G13" i="5" s="1"/>
  <c r="F12" i="5"/>
  <c r="G12" i="5" l="1"/>
  <c r="G7" i="5"/>
  <c r="H3" i="5"/>
  <c r="F2" i="5"/>
  <c r="H2" i="5"/>
  <c r="F10" i="5"/>
  <c r="F5" i="5"/>
  <c r="H11" i="5"/>
  <c r="F3" i="5"/>
  <c r="H10" i="5"/>
  <c r="G11" i="5"/>
  <c r="G5" i="5"/>
  <c r="F8" i="5"/>
  <c r="G8" i="5"/>
  <c r="H9" i="5"/>
  <c r="G9" i="5"/>
  <c r="G4" i="5"/>
  <c r="H4" i="5"/>
  <c r="H6" i="5"/>
  <c r="F6" i="5"/>
  <c r="F7" i="5"/>
  <c r="H13" i="5"/>
  <c r="F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<sst xmlns="http://schemas.openxmlformats.org/spreadsheetml/2006/main" count="6144" uniqueCount="2115">
  <si>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</si>
  <si>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</si>
  <si>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</si>
  <si>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</si>
  <si>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</si>
  <si>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</si>
  <si>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</si>
  <si>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</si>
  <si>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</si>
  <si>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</si>
  <si>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</si>
  <si>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</si>
  <si>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</si>
  <si>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</si>
  <si>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</si>
  <si>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</si>
  <si>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</si>
  <si>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</si>
  <si>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</si>
  <si>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</si>
  <si>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</si>
  <si>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</si>
  <si>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</si>
  <si>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</si>
  <si>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</si>
  <si>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</si>
  <si>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</si>
  <si>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</si>
  <si>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</si>
  <si>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</si>
  <si>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</si>
  <si>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</si>
  <si>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</si>
  <si>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</si>
  <si>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</si>
  <si>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</si>
  <si>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</si>
  <si>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</si>
  <si>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</si>
  <si>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</si>
  <si>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</si>
  <si>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</si>
  <si>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</si>
  <si>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</si>
  <si>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</si>
  <si>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</si>
  <si>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</si>
  <si>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</si>
  <si>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</si>
  <si>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</si>
  <si>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</si>
  <si>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</si>
  <si>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</si>
  <si>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</si>
  <si>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</si>
  <si>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</si>
  <si>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</si>
  <si>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</si>
  <si>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</si>
  <si>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</si>
  <si>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</si>
  <si>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</si>
  <si>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</si>
  <si>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</si>
  <si>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</si>
  <si>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</si>
  <si>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</si>
  <si>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</si>
  <si>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</si>
  <si>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</si>
  <si>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</si>
  <si>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</si>
  <si>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</si>
  <si>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</si>
  <si>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</si>
  <si>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</si>
  <si>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</si>
  <si>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</si>
  <si>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</si>
  <si>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</si>
  <si>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</si>
  <si>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</si>
  <si>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</si>
  <si>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</si>
  <si>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</si>
  <si>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</si>
  <si>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</si>
  <si>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</si>
  <si>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</si>
  <si>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</si>
  <si>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</si>
  <si>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</si>
  <si>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</si>
  <si>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</si>
  <si>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</si>
  <si>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</si>
  <si>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</si>
  <si>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</si>
  <si>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</si>
  <si>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</si>
  <si>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</si>
  <si>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</si>
  <si>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</si>
  <si>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</si>
  <si>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</si>
  <si>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</si>
  <si>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</si>
  <si>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</si>
  <si>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</si>
  <si>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</si>
  <si>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</si>
  <si>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</si>
  <si>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</si>
  <si>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</si>
  <si>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</si>
  <si>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</si>
  <si>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</si>
  <si>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</si>
  <si>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</si>
  <si>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</si>
  <si>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</si>
  <si>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</si>
  <si>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</si>
  <si>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</si>
  <si>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</si>
  <si>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</si>
  <si>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</si>
  <si>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</si>
  <si>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</si>
  <si>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</si>
  <si>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</si>
  <si>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</si>
  <si>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</si>
  <si>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</si>
  <si>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</si>
  <si>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</si>
  <si>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</si>
  <si>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</si>
  <si>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</si>
  <si>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</si>
  <si>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</si>
  <si>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</si>
  <si>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</si>
  <si>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</si>
  <si>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</si>
  <si>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</si>
  <si>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</si>
  <si>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</si>
  <si>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</si>
  <si>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</si>
  <si>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</si>
  <si>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</si>
  <si>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</si>
  <si>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</si>
  <si>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</si>
  <si>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</si>
  <si>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</si>
  <si>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</si>
  <si>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</si>
  <si>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</si>
  <si>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</si>
  <si>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</si>
  <si>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</si>
  <si>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</si>
  <si>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</si>
  <si>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</si>
  <si>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</si>
  <si>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</si>
  <si>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</si>
  <si>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</si>
  <si>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</si>
  <si>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</si>
  <si>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</si>
  <si>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</si>
  <si>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</si>
  <si>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</si>
  <si>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</si>
  <si>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</si>
  <si>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</si>
  <si>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</si>
  <si>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</si>
  <si>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</si>
  <si>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</si>
  <si>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</si>
  <si>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</si>
  <si>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</si>
  <si>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</si>
  <si>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</si>
  <si>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</si>
  <si>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</si>
  <si>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</si>
  <si>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</si>
  <si>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</si>
  <si>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</si>
  <si>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</si>
  <si>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</si>
  <si>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</si>
  <si>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</si>
  <si>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</si>
  <si>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</si>
  <si>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</si>
  <si>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</si>
  <si>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</si>
  <si>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</si>
  <si>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</si>
  <si>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</si>
  <si>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</si>
  <si>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</si>
  <si>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</si>
  <si>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</si>
  <si>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</si>
  <si>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</si>
  <si>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</si>
  <si>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</si>
  <si>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</si>
  <si>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</si>
  <si>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</si>
  <si>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</si>
  <si>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</si>
  <si>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</si>
  <si>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</si>
  <si>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</si>
  <si>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</si>
  <si>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</si>
  <si>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</si>
  <si>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</si>
  <si>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</si>
  <si>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</si>
  <si>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</si>
  <si>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</si>
  <si>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</si>
  <si>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</si>
  <si>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</si>
  <si>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</si>
  <si>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</si>
  <si>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</si>
  <si>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</si>
  <si>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</si>
  <si>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</si>
  <si>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</si>
  <si>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</si>
  <si>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</si>
  <si>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</si>
  <si>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</si>
  <si>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</si>
  <si>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</si>
  <si>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</si>
  <si>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</si>
  <si>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</si>
  <si>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</si>
  <si>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</si>
  <si>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</si>
  <si>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</si>
  <si>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</si>
  <si>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</si>
  <si>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</si>
  <si>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</si>
  <si>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</si>
  <si>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</si>
  <si>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</si>
  <si>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</si>
  <si>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</si>
  <si>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</si>
  <si>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</si>
  <si>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</si>
  <si>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</si>
  <si>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</si>
  <si>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</si>
  <si>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</si>
  <si>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</si>
  <si>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</si>
  <si>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</si>
  <si>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</si>
  <si>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</si>
  <si>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</si>
  <si>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</si>
  <si>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</si>
  <si>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</si>
  <si>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</si>
  <si>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</si>
  <si>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</si>
  <si>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</si>
  <si>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</si>
  <si>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</si>
  <si>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</si>
  <si>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</si>
  <si>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</si>
  <si>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</si>
  <si>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</si>
  <si>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</si>
  <si>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</si>
  <si>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</si>
  <si>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</si>
  <si>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</si>
  <si>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</si>
  <si>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</si>
  <si>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</si>
  <si>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</si>
  <si>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</si>
  <si>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</si>
  <si>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</si>
  <si>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</si>
  <si>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</si>
  <si>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</si>
  <si>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</si>
  <si>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</si>
  <si>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</si>
  <si>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</si>
  <si>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</si>
  <si>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</si>
  <si>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</si>
  <si>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</si>
  <si>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</si>
  <si>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</si>
  <si>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</si>
  <si>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</si>
  <si>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</si>
  <si>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</si>
  <si>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</si>
  <si>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</si>
  <si>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</si>
  <si>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</si>
  <si>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</si>
  <si>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</si>
  <si>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</si>
  <si>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</si>
  <si>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</si>
  <si>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</si>
  <si>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</si>
  <si>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</si>
  <si>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</si>
  <si>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</si>
  <si>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</si>
  <si>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</si>
  <si>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</si>
  <si>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</si>
  <si>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</si>
  <si>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</si>
  <si>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</si>
  <si>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</si>
  <si>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</si>
  <si>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</si>
  <si>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</si>
  <si>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</si>
  <si>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</si>
  <si>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</si>
  <si>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</si>
  <si>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</si>
  <si>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</si>
  <si>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</si>
  <si>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</si>
  <si>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</si>
  <si>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</si>
  <si>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</si>
  <si>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</si>
  <si>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</si>
  <si>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</si>
  <si>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</si>
  <si>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</si>
  <si>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</si>
  <si>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</si>
  <si>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</si>
  <si>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</si>
  <si>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</si>
  <si>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</si>
  <si>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</si>
  <si>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</si>
  <si>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</si>
  <si>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</si>
  <si>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</si>
  <si>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</si>
  <si>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</si>
  <si>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</si>
  <si>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</si>
  <si>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</si>
  <si>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</si>
  <si>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</si>
  <si>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</si>
  <si>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</si>
  <si>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</si>
  <si>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</si>
  <si>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</si>
  <si>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</si>
  <si>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</si>
  <si>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</si>
  <si>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</si>
  <si>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</si>
  <si>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</si>
  <si>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</si>
  <si>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</si>
  <si>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</si>
  <si>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</si>
  <si>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</si>
  <si>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</si>
  <si>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</si>
  <si>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</si>
  <si>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</si>
  <si>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</si>
  <si>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</si>
  <si>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</si>
  <si>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</si>
  <si>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</si>
  <si>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</si>
  <si>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</si>
  <si>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</si>
  <si>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</si>
  <si>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</si>
  <si>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</si>
  <si>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</si>
  <si>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</si>
  <si>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</si>
  <si>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</si>
  <si>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</si>
  <si>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</si>
  <si>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</si>
  <si>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</si>
  <si>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</si>
  <si>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</si>
  <si>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</si>
  <si>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</si>
  <si>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</si>
  <si>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</si>
  <si>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</si>
  <si>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</si>
  <si>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</si>
  <si>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</si>
  <si>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</si>
  <si>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</si>
  <si>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</si>
  <si>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</si>
  <si>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</si>
  <si>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</si>
  <si>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</si>
  <si>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</si>
  <si>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</si>
  <si>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</si>
  <si>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</si>
  <si>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</si>
  <si>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</si>
  <si>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</si>
  <si>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</si>
  <si>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</si>
  <si>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</si>
  <si>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</si>
  <si>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</si>
  <si>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</si>
  <si>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</si>
  <si>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</si>
  <si>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</si>
  <si>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</si>
  <si>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</si>
  <si>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</si>
  <si>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</si>
  <si>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</si>
  <si>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</si>
  <si>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</si>
  <si>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</si>
  <si>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</si>
  <si>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</si>
  <si>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</si>
  <si>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</si>
  <si>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</si>
  <si>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</si>
  <si>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</si>
  <si>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</si>
  <si>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</si>
  <si>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</si>
  <si>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</si>
  <si>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</si>
  <si>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</si>
  <si>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</si>
  <si>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</si>
  <si>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</si>
  <si>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</si>
  <si>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</si>
  <si>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</si>
  <si>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</si>
  <si>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</si>
  <si>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</si>
  <si>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</si>
  <si>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</si>
  <si>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</si>
  <si>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</si>
  <si>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</si>
  <si>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</si>
  <si>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</si>
  <si>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</si>
  <si>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</si>
  <si>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</si>
  <si>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</si>
  <si>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</si>
  <si>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</si>
  <si>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</si>
  <si>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</si>
  <si>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</si>
  <si>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</si>
  <si>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</si>
  <si>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</si>
  <si>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</si>
  <si>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</si>
  <si>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</si>
  <si>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</si>
  <si>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</si>
  <si>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</si>
  <si>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</si>
  <si>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</si>
  <si>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</si>
  <si>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</si>
  <si>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</si>
  <si>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</si>
  <si>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</si>
  <si>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</si>
  <si>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</si>
  <si>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</si>
  <si>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</si>
  <si>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</si>
  <si>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</si>
  <si>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</si>
  <si>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</si>
  <si>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</si>
  <si>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</si>
  <si>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</si>
  <si>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</si>
  <si>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</si>
  <si>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</si>
  <si>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</si>
  <si>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</si>
  <si>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</si>
  <si>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</si>
  <si>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</si>
  <si>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</si>
  <si>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</si>
  <si>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</si>
  <si>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</si>
  <si>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</si>
  <si>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</si>
  <si>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</si>
  <si>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</si>
  <si>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</si>
  <si>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</si>
  <si>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</si>
  <si>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</si>
  <si>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</si>
  <si>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</si>
  <si>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</si>
  <si>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</si>
  <si>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</si>
  <si>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</si>
  <si>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</si>
  <si>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</si>
  <si>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</si>
  <si>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</si>
  <si>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</si>
  <si>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</si>
  <si>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</si>
  <si>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</si>
  <si>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</si>
  <si>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</si>
  <si>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</si>
  <si>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</si>
  <si>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</si>
  <si>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</si>
  <si>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</si>
  <si>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</si>
  <si>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</si>
  <si>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</si>
  <si>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</si>
  <si>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</si>
  <si>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</si>
  <si>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</si>
  <si>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</si>
  <si>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</si>
  <si>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</si>
  <si>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</si>
  <si>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</si>
  <si>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</si>
  <si>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</si>
  <si>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</si>
  <si>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</si>
  <si>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</si>
  <si>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</si>
  <si>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</si>
  <si>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</si>
  <si>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</si>
  <si>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</si>
  <si>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</si>
  <si>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</si>
  <si>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</si>
  <si>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</si>
  <si>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</si>
  <si>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</si>
  <si>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</si>
  <si>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</si>
  <si>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</si>
  <si>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</si>
  <si>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</si>
  <si>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</si>
  <si>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</si>
  <si>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</si>
  <si>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</si>
  <si>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</si>
  <si>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</si>
  <si>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</si>
  <si>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</si>
  <si>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</si>
  <si>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</si>
  <si>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</si>
  <si>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</si>
  <si>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</si>
  <si>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</si>
  <si>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</si>
  <si>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</si>
  <si>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</si>
  <si>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</si>
  <si>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</si>
  <si>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</si>
  <si>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</si>
  <si>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</si>
  <si>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</si>
  <si>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</si>
  <si>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</si>
  <si>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</si>
  <si>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</si>
  <si>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</si>
  <si>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</si>
  <si>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</si>
  <si>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</si>
  <si>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</si>
  <si>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</si>
  <si>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</si>
  <si>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</si>
  <si>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</si>
  <si>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</si>
  <si>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</si>
  <si>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</si>
  <si>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</si>
  <si>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</si>
  <si>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</si>
  <si>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</si>
  <si>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</si>
  <si>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</si>
  <si>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</si>
  <si>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</si>
  <si>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</si>
  <si>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</si>
  <si>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</si>
  <si>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</si>
  <si>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</si>
  <si>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</si>
  <si>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</si>
  <si>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</si>
  <si>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</si>
  <si>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</si>
  <si>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</si>
  <si>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</si>
  <si>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</si>
  <si>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</si>
  <si>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</si>
  <si>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</si>
  <si>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</si>
  <si>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</si>
  <si>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</si>
  <si>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</si>
  <si>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</si>
  <si>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</si>
  <si>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</si>
  <si>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</si>
  <si>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</si>
  <si>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</si>
  <si>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</si>
  <si>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</si>
  <si>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</si>
  <si>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</si>
  <si>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</si>
  <si>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</si>
  <si>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</si>
  <si>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</si>
  <si>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</si>
  <si>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</si>
  <si>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</si>
  <si>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</si>
  <si>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</si>
  <si>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</si>
  <si>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</si>
  <si>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</si>
  <si>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</si>
  <si>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</si>
  <si>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</si>
  <si>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</si>
  <si>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</si>
  <si>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</si>
  <si>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</si>
  <si>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</si>
  <si>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</si>
  <si>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</si>
  <si>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</si>
  <si>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</si>
  <si>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</si>
  <si>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</si>
  <si>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</si>
  <si>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</si>
  <si>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</si>
  <si>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</si>
  <si>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</si>
  <si>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</si>
  <si>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</si>
  <si>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</si>
  <si>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</si>
  <si>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</si>
  <si>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</si>
  <si>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</si>
  <si>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</si>
  <si>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</si>
  <si>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</si>
  <si>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</si>
  <si>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</si>
  <si>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</si>
  <si>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</si>
  <si>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</si>
  <si>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</si>
  <si>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</si>
  <si>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</si>
  <si>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</si>
  <si>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</si>
  <si>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</si>
  <si>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</si>
  <si>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</si>
  <si>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</si>
  <si>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</si>
  <si>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</si>
  <si>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</si>
  <si>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</si>
  <si>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</si>
  <si>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</si>
  <si>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</si>
  <si>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</si>
  <si>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</si>
  <si>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</si>
  <si>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</si>
  <si>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</si>
  <si>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</si>
  <si>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</si>
  <si>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</si>
  <si>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</si>
  <si>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</si>
  <si>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</si>
  <si>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</si>
  <si>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</si>
  <si>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</si>
  <si>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</si>
  <si>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</si>
  <si>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</si>
  <si>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</si>
  <si>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</si>
  <si>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</si>
  <si>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</si>
  <si>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</si>
  <si>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</si>
  <si>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</si>
  <si>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</si>
  <si>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</si>
  <si>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</si>
  <si>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</si>
  <si>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</si>
  <si>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</si>
  <si>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</si>
  <si>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</si>
  <si>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</si>
  <si>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</si>
  <si>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</si>
  <si>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</si>
  <si>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</si>
  <si>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</si>
  <si>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</si>
  <si>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</si>
  <si>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</si>
  <si>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</si>
  <si>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</si>
  <si>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</si>
  <si>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</si>
  <si>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</si>
  <si>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</si>
  <si>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</si>
  <si>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</si>
  <si>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</si>
  <si>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</si>
  <si>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</si>
  <si>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</si>
  <si>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</si>
  <si>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</si>
  <si>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</si>
  <si>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</si>
  <si>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</si>
  <si>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</si>
  <si>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</si>
  <si>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</si>
  <si>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</si>
  <si>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</si>
  <si>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</si>
  <si>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</si>
  <si>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</si>
  <si>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</si>
  <si>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</si>
  <si>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</si>
  <si>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</si>
  <si>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</si>
  <si>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</si>
  <si>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</si>
  <si>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</si>
  <si>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</si>
  <si>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</si>
  <si>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</si>
  <si>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</si>
  <si>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</si>
  <si>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</si>
  <si>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</si>
  <si>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</si>
  <si>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</si>
  <si>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</si>
  <si>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</si>
  <si>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</si>
  <si>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</si>
  <si>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</si>
  <si>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</si>
  <si>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</si>
  <si>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</si>
  <si>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</si>
  <si>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</si>
  <si>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</si>
  <si>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</si>
  <si>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</si>
  <si>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</si>
  <si>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</si>
  <si>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</si>
  <si>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</si>
  <si>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</si>
  <si>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</si>
  <si>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</si>
  <si>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</si>
  <si>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</si>
  <si>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</si>
  <si>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</si>
  <si>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</si>
  <si>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</si>
  <si>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</si>
  <si>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</si>
  <si>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</si>
  <si>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</si>
  <si>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</si>
  <si>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</si>
  <si>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</si>
  <si>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</si>
  <si>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</si>
  <si>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</si>
  <si>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</si>
  <si>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</si>
  <si>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</si>
  <si>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</si>
  <si>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</si>
  <si>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</si>
  <si>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</si>
  <si>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</si>
  <si>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</si>
  <si>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</si>
  <si>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</si>
  <si>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</si>
  <si>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</si>
  <si>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</si>
  <si>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</si>
  <si>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</si>
  <si>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</si>
  <si>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</si>
  <si>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</si>
  <si>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</si>
  <si>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</si>
  <si>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</si>
  <si>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</si>
  <si>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</si>
  <si>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</si>
  <si>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</si>
  <si>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</si>
  <si>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</si>
  <si>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</si>
  <si>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</si>
  <si>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</si>
  <si>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</si>
  <si>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</si>
  <si>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</si>
  <si>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</si>
  <si>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</si>
  <si>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</si>
  <si>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</si>
  <si>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</si>
  <si>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</si>
  <si>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</si>
  <si>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</si>
  <si>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</si>
  <si>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</si>
  <si>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</si>
  <si>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</si>
  <si>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</si>
  <si>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</si>
  <si>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</si>
  <si>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</si>
  <si>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</si>
  <si>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</si>
  <si>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</si>
  <si>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</si>
  <si>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</si>
  <si>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</si>
  <si>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</si>
  <si>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</si>
  <si>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</si>
  <si>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</si>
  <si>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</si>
  <si>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</si>
  <si>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</si>
  <si>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</si>
  <si>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</si>
  <si>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</si>
  <si>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</si>
  <si>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</si>
  <si>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</si>
  <si>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</si>
  <si>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</si>
  <si>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</si>
  <si>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</si>
  <si>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</si>
  <si>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</si>
  <si>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</si>
  <si>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</si>
  <si>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</si>
  <si>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</si>
  <si>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</si>
  <si>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</si>
  <si>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</si>
  <si>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</si>
  <si>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</si>
  <si>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</si>
  <si>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</si>
  <si>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</si>
  <si>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</si>
  <si>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</si>
  <si>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</si>
  <si>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</si>
  <si>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</si>
  <si>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</si>
  <si>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</si>
  <si>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</si>
  <si>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</si>
  <si>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</si>
  <si>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</si>
  <si>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</si>
  <si>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</si>
  <si>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</si>
  <si>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</si>
  <si>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</si>
  <si>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</si>
  <si>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</si>
  <si>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</si>
  <si>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</si>
  <si>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</si>
  <si>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</si>
  <si>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</si>
  <si>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</si>
  <si>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</si>
  <si>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</si>
  <si>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</si>
  <si>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</si>
  <si>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</si>
  <si>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</si>
  <si>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</si>
  <si>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</si>
  <si>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</si>
  <si>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</si>
  <si>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</si>
  <si>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</si>
  <si>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</si>
  <si>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</si>
  <si>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</si>
  <si>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</si>
  <si>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</si>
  <si>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</si>
  <si>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</si>
  <si>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</si>
  <si>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</si>
  <si>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</si>
  <si>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</si>
  <si>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</si>
  <si>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</si>
  <si>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</si>
  <si>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</si>
  <si>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</si>
  <si>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</si>
  <si>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</si>
  <si>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</si>
  <si>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</si>
  <si>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</si>
  <si>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</si>
  <si>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</si>
  <si>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</si>
  <si>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</si>
  <si>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</si>
  <si>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</si>
  <si>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</si>
  <si>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</si>
  <si>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</si>
  <si>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</si>
  <si>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</si>
  <si>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</si>
  <si>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</si>
  <si>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</si>
  <si>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</si>
  <si>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</si>
  <si>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</si>
  <si>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</si>
  <si>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</si>
  <si>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</si>
  <si>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</si>
  <si>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</si>
  <si>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</si>
  <si>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</si>
  <si>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</si>
  <si>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</si>
  <si>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</si>
  <si>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</si>
  <si>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</si>
  <si>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</si>
  <si>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</si>
  <si>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</si>
  <si>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</si>
  <si>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</si>
  <si>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</si>
  <si>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</si>
  <si>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</si>
  <si>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</si>
  <si>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</si>
  <si>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</si>
  <si>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</si>
  <si>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</si>
  <si>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</si>
  <si>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</si>
  <si>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</si>
  <si>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</si>
  <si>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</si>
  <si>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</si>
  <si>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</si>
  <si>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</si>
  <si>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</si>
  <si>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</si>
  <si>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</si>
  <si>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</si>
  <si>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</si>
  <si>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</si>
  <si>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</si>
  <si>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</si>
  <si>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</si>
  <si>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</si>
  <si>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</si>
  <si>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</si>
  <si>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</si>
  <si>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</si>
  <si>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</si>
  <si>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</si>
  <si>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</si>
  <si>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</si>
  <si>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</si>
  <si>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</si>
  <si>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</si>
  <si>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</si>
  <si>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</si>
  <si>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</si>
  <si>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</si>
  <si>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</si>
  <si>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</si>
  <si>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</si>
  <si>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</si>
  <si>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</si>
  <si>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</si>
  <si>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</si>
  <si>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</si>
  <si>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</si>
  <si>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</si>
  <si>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</si>
  <si>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</si>
  <si>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</si>
  <si>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</si>
  <si>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</si>
  <si>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</si>
  <si>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</si>
  <si>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</si>
  <si>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</si>
  <si>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</si>
  <si>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</si>
  <si>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</si>
  <si>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</si>
  <si>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</si>
  <si>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</si>
  <si>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</si>
  <si>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</si>
  <si>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</si>
  <si>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</si>
  <si>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</si>
  <si>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</si>
  <si>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</si>
  <si>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</si>
  <si>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</si>
  <si>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</si>
  <si>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</si>
  <si>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</si>
  <si>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</si>
  <si>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</si>
  <si>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</si>
  <si>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</si>
  <si>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</si>
  <si>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</si>
  <si>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</si>
  <si>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</si>
  <si>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</si>
  <si>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</si>
  <si>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</si>
  <si>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</si>
  <si>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</si>
  <si>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</si>
  <si>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</si>
  <si>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</si>
  <si>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</si>
  <si>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</si>
  <si>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</si>
  <si>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</si>
  <si>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</si>
  <si>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</si>
  <si>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</si>
  <si>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</si>
  <si>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</si>
  <si>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</si>
  <si>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</si>
  <si>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</si>
  <si>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</si>
  <si>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</si>
  <si>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</si>
  <si>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</si>
  <si>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</si>
  <si>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</si>
  <si>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</si>
  <si>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</si>
  <si>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</si>
  <si>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</si>
  <si>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</si>
  <si>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</si>
  <si>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</si>
  <si>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</si>
  <si>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</si>
  <si>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</si>
  <si>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</si>
  <si>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</si>
  <si>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</si>
  <si>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</si>
  <si>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</si>
  <si>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</si>
  <si>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</si>
  <si>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</si>
  <si>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</si>
  <si>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</si>
  <si>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</si>
  <si>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</si>
  <si>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</si>
  <si>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</si>
  <si>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</si>
  <si>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</si>
  <si>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</si>
  <si>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</si>
  <si>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</si>
  <si>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</si>
  <si>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</si>
  <si>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</si>
  <si>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</si>
  <si>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</si>
  <si>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</si>
  <si>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</si>
  <si>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</si>
  <si>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</si>
  <si>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</si>
  <si>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</si>
  <si>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</si>
  <si>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</si>
  <si>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</si>
  <si>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</si>
  <si>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</si>
  <si>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</si>
  <si>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</si>
  <si>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</si>
  <si>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</si>
  <si>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</si>
  <si>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</si>
  <si>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</si>
  <si>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</si>
  <si>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</si>
  <si>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</si>
  <si>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</si>
  <si>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</si>
  <si>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</si>
  <si>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</si>
  <si>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</si>
  <si>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</si>
  <si>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</si>
  <si>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</si>
  <si>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</si>
  <si>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</si>
  <si>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</si>
  <si>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</si>
  <si>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</si>
  <si>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</si>
  <si>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</si>
  <si>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</si>
  <si>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</si>
  <si>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</si>
  <si>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</si>
  <si>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</si>
  <si>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</si>
  <si>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</si>
  <si>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</si>
  <si>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</si>
  <si>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</si>
  <si>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</si>
  <si>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</si>
  <si>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</si>
  <si>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</si>
  <si>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</si>
  <si>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</si>
  <si>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</si>
  <si>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</si>
  <si>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</si>
  <si>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</si>
  <si>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</si>
  <si>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</si>
  <si>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</si>
  <si>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</si>
  <si>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</si>
  <si>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</si>
  <si>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</si>
  <si>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</si>
  <si>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</si>
  <si>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</si>
  <si>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</si>
  <si>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</si>
  <si>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</si>
  <si>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</si>
  <si>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</si>
  <si>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</si>
  <si>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</si>
  <si>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</si>
  <si>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</si>
  <si>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</si>
  <si>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</si>
  <si>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</si>
  <si>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</si>
  <si>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</si>
  <si>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</si>
  <si>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</si>
  <si>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</si>
  <si>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</si>
  <si>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</si>
  <si>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</si>
  <si>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</si>
  <si>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</si>
  <si>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</si>
  <si>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</si>
  <si>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</si>
  <si>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</si>
  <si>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</si>
  <si>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</si>
  <si>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</si>
  <si>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</si>
  <si>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</si>
  <si>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</si>
  <si>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</si>
  <si>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</si>
  <si>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</si>
  <si>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</si>
  <si>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</si>
  <si>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</si>
  <si>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</si>
  <si>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</si>
  <si>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</si>
  <si>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</si>
  <si>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</si>
  <si>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</si>
  <si>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</si>
  <si>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</si>
  <si>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</si>
  <si>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</si>
  <si>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</si>
  <si>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</si>
  <si>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</si>
  <si>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</si>
  <si>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</si>
  <si>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</si>
  <si>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</si>
  <si>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</si>
  <si>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</si>
  <si>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</si>
  <si>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</si>
  <si>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</si>
  <si>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</si>
  <si>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</si>
  <si>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</si>
  <si>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</si>
  <si>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</si>
  <si>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</si>
  <si>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</si>
  <si>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</si>
  <si>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</si>
  <si>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</si>
  <si>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</si>
  <si>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</si>
  <si>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</si>
  <si>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</si>
  <si>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</si>
  <si>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</si>
  <si>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</si>
  <si>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</si>
  <si>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</si>
  <si>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</si>
  <si>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</si>
  <si>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</si>
  <si>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</si>
  <si>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</si>
  <si>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</si>
  <si>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</si>
  <si>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</si>
  <si>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</si>
  <si>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</si>
  <si>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</si>
  <si>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</si>
  <si>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</si>
  <si>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</si>
  <si>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</si>
  <si>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</si>
  <si>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</si>
  <si>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</si>
  <si>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</si>
  <si>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</si>
  <si>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</si>
  <si>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</si>
  <si>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</si>
  <si>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</si>
  <si>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</si>
  <si>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</si>
  <si>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</si>
  <si>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</si>
  <si>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</si>
  <si>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</si>
  <si>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</si>
  <si>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</si>
  <si>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</si>
  <si>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</si>
  <si>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</si>
  <si>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</si>
  <si>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</si>
  <si>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</si>
  <si>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</si>
  <si>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</si>
  <si>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</si>
  <si>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</si>
  <si>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</si>
  <si>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</si>
  <si>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</si>
  <si>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</si>
  <si>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</si>
  <si>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</si>
  <si>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</si>
  <si>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</si>
  <si>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</si>
  <si>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</si>
  <si>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</si>
  <si>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</si>
  <si>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</si>
  <si>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</si>
  <si>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</si>
  <si>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</si>
  <si>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</si>
  <si>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</si>
  <si>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</si>
  <si>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</si>
  <si>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</si>
  <si>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</si>
  <si>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</si>
  <si>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</si>
  <si>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</si>
  <si>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</si>
  <si>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</si>
  <si>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</si>
  <si>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</si>
  <si>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</si>
  <si>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</si>
  <si>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</si>
  <si>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</si>
  <si>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</si>
  <si>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</si>
  <si>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</si>
  <si>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</si>
  <si>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</si>
  <si>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</si>
  <si>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</si>
  <si>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</si>
  <si>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</si>
  <si>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</si>
  <si>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</si>
  <si>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</si>
  <si>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</si>
  <si>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</si>
  <si>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</si>
  <si>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</si>
  <si>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</si>
  <si>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</si>
  <si>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</si>
  <si>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</si>
  <si>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</si>
  <si>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</si>
  <si>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</si>
  <si>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</si>
  <si>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</si>
  <si>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</si>
  <si>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</si>
  <si>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</si>
  <si>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</si>
  <si>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</si>
  <si>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</si>
  <si>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</si>
  <si>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</si>
  <si>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</si>
  <si>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</si>
  <si>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</si>
  <si>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</si>
  <si>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</si>
  <si>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</si>
  <si>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</si>
  <si>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</si>
  <si>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</si>
  <si>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</si>
  <si>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</si>
  <si>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</si>
  <si>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</si>
  <si>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</si>
  <si>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</si>
  <si>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</si>
  <si>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</si>
  <si>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</si>
  <si>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</si>
  <si>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</si>
  <si>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</si>
  <si>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</si>
  <si>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</si>
  <si>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</si>
  <si>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</si>
  <si>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</si>
  <si>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</si>
  <si>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</si>
  <si>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</si>
  <si>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</si>
  <si>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</si>
  <si>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</si>
  <si>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</si>
  <si>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</si>
  <si>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</si>
  <si>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</si>
  <si>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</si>
  <si>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</si>
  <si>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</si>
  <si>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</si>
  <si>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</si>
  <si>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</si>
  <si>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</si>
  <si>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</si>
  <si>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</si>
  <si>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</si>
  <si>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</si>
  <si>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</si>
  <si>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</si>
  <si>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</si>
  <si>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</si>
  <si>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</si>
  <si>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</si>
  <si>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</si>
  <si>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</si>
  <si>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</si>
  <si>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</si>
  <si>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</si>
  <si>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</si>
  <si>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</si>
  <si>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</si>
  <si>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</si>
  <si>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</si>
  <si>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</si>
  <si>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</si>
  <si>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</si>
  <si>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</si>
  <si>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</si>
  <si>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</si>
  <si>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</si>
  <si>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</si>
  <si>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</si>
  <si>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</si>
  <si>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</si>
  <si>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</si>
  <si>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</si>
  <si>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</si>
  <si>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</si>
  <si>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</si>
  <si>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</si>
  <si>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</si>
  <si>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</si>
  <si>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</si>
  <si>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</si>
  <si>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</si>
  <si>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</si>
  <si>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</si>
  <si>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</si>
  <si>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</si>
  <si>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</si>
  <si>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</si>
  <si>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</si>
  <si>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</si>
  <si>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</si>
  <si>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</si>
  <si>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</si>
  <si>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</si>
  <si>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</si>
  <si>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</si>
  <si>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</si>
  <si>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</si>
  <si>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</si>
  <si>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</si>
  <si>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</si>
  <si>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</si>
  <si>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</si>
  <si>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</si>
  <si>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</si>
  <si>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</si>
  <si>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</si>
  <si>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</si>
  <si>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</si>
  <si>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</si>
  <si>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</si>
  <si>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</si>
  <si>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</si>
  <si>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</si>
  <si>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</si>
  <si>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</si>
  <si>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</si>
  <si>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</si>
  <si>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</si>
  <si>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</si>
  <si>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</si>
  <si>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</si>
  <si>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</si>
  <si>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</si>
  <si>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</si>
  <si>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</si>
  <si>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</si>
  <si>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</si>
  <si>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</si>
  <si>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</si>
  <si>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</si>
  <si>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</si>
  <si>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</si>
  <si>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</si>
  <si>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</si>
  <si>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</si>
  <si>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</si>
  <si>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</si>
  <si>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</si>
  <si>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</si>
  <si>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</si>
  <si>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</si>
  <si>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</si>
  <si>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</si>
  <si>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</si>
  <si>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</si>
  <si>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</si>
  <si>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</si>
  <si>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</si>
  <si>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</si>
  <si>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</si>
  <si>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</si>
  <si>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</si>
  <si>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</si>
  <si>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</si>
  <si>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</si>
  <si>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</si>
  <si>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</si>
  <si>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</si>
  <si>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</si>
  <si>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</si>
  <si>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</si>
  <si>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</si>
  <si>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</si>
  <si>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</si>
  <si>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</si>
  <si>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</si>
  <si>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</si>
  <si>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</si>
  <si>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</si>
  <si>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</si>
  <si>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</si>
  <si>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</si>
  <si>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</si>
  <si>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</si>
  <si>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</si>
  <si>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</si>
  <si>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</si>
  <si>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</si>
  <si>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</si>
  <si>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</si>
  <si>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</si>
  <si>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</si>
  <si>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</si>
  <si>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</si>
  <si>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</si>
  <si>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</si>
  <si>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</si>
  <si>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</si>
  <si>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</si>
  <si>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</si>
  <si>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</si>
  <si>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</si>
  <si>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</si>
  <si>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</si>
  <si>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</si>
  <si>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</si>
  <si>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</si>
  <si>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</si>
  <si>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</si>
  <si>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</si>
  <si>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</si>
  <si>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</si>
  <si>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</si>
  <si>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</si>
  <si>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</si>
  <si>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</si>
  <si>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</si>
  <si>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</si>
  <si>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</si>
  <si>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</si>
  <si>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</si>
  <si>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</si>
  <si>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</si>
  <si>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</si>
  <si>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</si>
  <si>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</si>
  <si>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</si>
  <si>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</si>
  <si>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</si>
  <si>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</si>
  <si>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</si>
  <si>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</si>
  <si>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</si>
  <si>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</si>
  <si>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</si>
  <si>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</si>
  <si>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</si>
  <si>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</si>
  <si>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</si>
  <si>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</si>
  <si>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</si>
  <si>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</si>
  <si>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</si>
  <si>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</si>
  <si>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</si>
  <si>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</si>
  <si>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</si>
  <si>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</si>
  <si>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</si>
  <si>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</si>
  <si>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</si>
  <si>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</si>
  <si>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</si>
  <si>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</si>
  <si>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</si>
  <si>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</si>
  <si>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</si>
  <si>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</si>
  <si>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</si>
  <si>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</si>
  <si>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</si>
  <si>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</si>
  <si>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</si>
  <si>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</si>
  <si>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</si>
  <si>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</si>
  <si>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</si>
  <si>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</si>
  <si>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</si>
  <si>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</si>
  <si>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</si>
  <si>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</si>
  <si>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</si>
  <si>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</si>
  <si>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</si>
  <si>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</si>
  <si>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</si>
  <si>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</si>
  <si>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</si>
  <si>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</si>
  <si>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</si>
  <si>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</si>
  <si>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</si>
  <si>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</si>
  <si>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</si>
  <si>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</si>
  <si>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</si>
  <si>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</si>
  <si>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</si>
  <si>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</si>
  <si>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</si>
  <si>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</si>
  <si>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</si>
  <si>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</si>
  <si>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</si>
  <si>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</si>
  <si>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</si>
  <si>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</si>
  <si>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</si>
  <si>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</si>
  <si>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</si>
  <si>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</si>
  <si>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</si>
  <si>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</si>
  <si>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</si>
  <si>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</si>
  <si>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</si>
  <si>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</si>
  <si>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</si>
  <si>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</si>
  <si>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</si>
  <si>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</si>
  <si>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</si>
  <si>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</si>
  <si>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</si>
  <si>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</si>
  <si>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</si>
  <si>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</si>
  <si>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</si>
  <si>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</si>
  <si>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</si>
  <si>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</si>
  <si>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</si>
  <si>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</si>
  <si>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</si>
  <si>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</si>
  <si>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</si>
  <si>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</si>
  <si>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</si>
  <si>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</si>
  <si>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</si>
  <si>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</si>
  <si>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</si>
  <si>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</si>
  <si>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</si>
  <si>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</si>
  <si>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</si>
  <si>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</si>
  <si>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</si>
  <si>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</si>
  <si>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</si>
  <si>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</si>
  <si>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</si>
  <si>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</si>
  <si>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</si>
  <si>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</si>
  <si>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</si>
  <si>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</si>
  <si>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</si>
  <si>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</si>
  <si>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</si>
  <si>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</si>
  <si>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</si>
  <si>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</si>
  <si>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</si>
  <si>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</si>
  <si>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</si>
  <si>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</si>
  <si>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</si>
  <si>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</si>
  <si>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</si>
  <si>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</si>
  <si>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</si>
  <si>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</si>
  <si>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</si>
  <si>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</si>
  <si>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</si>
  <si>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</si>
  <si>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</si>
  <si>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</si>
  <si>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</si>
  <si>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</si>
  <si>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</si>
  <si>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</si>
  <si>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</si>
  <si>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</si>
  <si>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</si>
  <si>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</si>
  <si>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</si>
  <si>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</si>
  <si>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</si>
  <si>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</si>
  <si>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</si>
  <si>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</si>
  <si>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</si>
  <si>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</si>
  <si>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</si>
  <si>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</si>
  <si>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</si>
  <si>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</si>
  <si>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</si>
  <si>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</si>
  <si>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</si>
  <si>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</si>
  <si>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</si>
  <si>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</si>
  <si>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</si>
  <si>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</si>
  <si>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</si>
  <si>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</si>
  <si>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</si>
  <si>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</si>
  <si>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</si>
  <si>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</si>
  <si>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</si>
  <si>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</si>
  <si>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</si>
  <si>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</si>
  <si>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</si>
  <si>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</si>
  <si>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</si>
  <si>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</si>
  <si>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</si>
  <si>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</si>
  <si>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</si>
  <si>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</si>
  <si>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</si>
  <si>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</si>
  <si>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</si>
  <si>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</si>
  <si>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</si>
  <si>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</si>
  <si>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</si>
  <si>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</si>
  <si>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</si>
  <si>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</si>
  <si>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</si>
  <si>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</si>
  <si>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</si>
  <si>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</si>
  <si>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</si>
  <si>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</si>
  <si>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</si>
  <si>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</si>
  <si>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</si>
  <si>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</si>
  <si>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</si>
  <si>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</si>
  <si>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</si>
  <si>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</si>
  <si>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</si>
  <si>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</si>
  <si>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</si>
  <si>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</si>
  <si>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</si>
  <si>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</si>
  <si>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</si>
  <si>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</si>
  <si>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</si>
  <si>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</si>
  <si>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</si>
  <si>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</si>
  <si>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</si>
  <si>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</si>
  <si>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</si>
  <si>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</si>
  <si>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</si>
  <si>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</si>
  <si>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</si>
  <si>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</si>
  <si>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</si>
  <si>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</si>
  <si>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</si>
  <si>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</si>
  <si>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</si>
  <si>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</si>
  <si>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</si>
  <si>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</si>
  <si>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</si>
  <si>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</si>
  <si>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</si>
  <si>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</si>
  <si>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</si>
  <si>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</si>
  <si>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</si>
  <si>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</si>
  <si>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</si>
  <si>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</si>
  <si>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</si>
  <si>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</si>
  <si>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</si>
  <si>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</si>
  <si>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</si>
  <si>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</si>
  <si>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</si>
  <si>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</si>
  <si>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</si>
  <si>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</si>
  <si>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</si>
  <si>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</si>
  <si>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</si>
  <si>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</si>
  <si>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</si>
  <si>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</si>
  <si>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</si>
  <si>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</si>
  <si>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</si>
  <si>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</si>
  <si>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</si>
  <si>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</si>
  <si>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</si>
  <si>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</si>
  <si>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</si>
  <si>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</si>
  <si>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</si>
  <si>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</si>
  <si>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</si>
  <si>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</si>
  <si>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</si>
  <si>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</si>
  <si>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</si>
  <si>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</si>
  <si>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</si>
  <si>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</si>
  <si>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</si>
  <si>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</si>
  <si>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</si>
  <si>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</si>
  <si>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</si>
  <si>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</si>
  <si>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</si>
  <si>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</si>
  <si>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</si>
  <si>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</si>
  <si>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</si>
  <si>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</si>
  <si>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</si>
  <si>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</si>
  <si>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</si>
  <si>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</si>
  <si>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</si>
  <si>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</si>
  <si>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</si>
  <si>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</si>
  <si>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</si>
  <si>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</si>
  <si>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</si>
  <si>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</si>
  <si>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</si>
  <si>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</si>
  <si>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</si>
  <si>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</si>
  <si>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</si>
  <si>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</si>
  <si>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</si>
  <si>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</si>
  <si>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</si>
  <si>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</si>
  <si>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</si>
  <si>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</si>
  <si>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</si>
  <si>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</si>
  <si>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</si>
  <si>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</si>
  <si>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</si>
  <si>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</si>
  <si>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</si>
  <si>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</si>
  <si>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</si>
  <si>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</si>
  <si>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</si>
  <si>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</si>
  <si>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</si>
  <si>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</si>
  <si>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</si>
  <si>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</si>
  <si>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</si>
  <si>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</si>
  <si>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</si>
  <si>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</si>
  <si>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</si>
  <si>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</si>
  <si>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</si>
  <si>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</si>
  <si>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</si>
  <si>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</si>
  <si>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</si>
  <si>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</si>
  <si>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</si>
  <si>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</si>
  <si>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</si>
  <si>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</si>
  <si>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</si>
  <si>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</si>
  <si>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</si>
  <si>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</si>
  <si>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</si>
  <si>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</si>
  <si>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</si>
  <si>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</si>
  <si>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</si>
  <si>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</si>
  <si>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</si>
  <si>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</si>
  <si>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</si>
  <si>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</si>
  <si>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</si>
  <si>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</si>
  <si>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</si>
  <si>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</si>
  <si>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</si>
  <si>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</si>
  <si>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</si>
  <si>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</si>
  <si>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</si>
  <si>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</si>
  <si>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</si>
  <si>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</si>
  <si>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</si>
  <si>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</si>
  <si>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</si>
  <si>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</si>
  <si>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</si>
  <si>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</si>
  <si>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</si>
  <si>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</si>
  <si>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</si>
  <si>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</si>
  <si>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</si>
  <si>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</si>
  <si>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</si>
  <si>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</si>
  <si>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</si>
  <si>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</si>
  <si>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</si>
  <si>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</si>
  <si>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</si>
  <si>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</si>
  <si>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</si>
  <si>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</si>
  <si>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</si>
  <si>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</si>
  <si>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</si>
  <si>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</si>
  <si>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</si>
  <si>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</si>
  <si>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</si>
  <si>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</si>
  <si>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</si>
  <si>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</si>
  <si>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</si>
  <si>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Row Labels</t>
  </si>
  <si>
    <t>Grand Total</t>
  </si>
  <si>
    <t>Column Labels</t>
  </si>
  <si>
    <t>Count of outcome</t>
  </si>
  <si>
    <t>(All)</t>
  </si>
  <si>
    <t>Date Created Conversion</t>
  </si>
  <si>
    <t xml:space="preserve">Date Ended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</si>
  <si>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</si>
  <si>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</si>
  <si>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</si>
  <si>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</si>
  <si>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</si>
  <si>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</si>
  <si>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</si>
  <si>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</si>
  <si>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</si>
  <si>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</si>
  <si>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</si>
  <si>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</si>
  <si>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</si>
  <si>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</si>
  <si>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</si>
  <si>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</si>
  <si>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</si>
  <si>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</si>
  <si>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</si>
  <si>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</si>
  <si>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</si>
  <si>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</si>
  <si>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</si>
  <si>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</si>
  <si>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</si>
  <si>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</si>
  <si>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</si>
  <si>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</si>
  <si>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</si>
  <si>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</si>
  <si>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</si>
  <si>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</si>
  <si>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</si>
  <si>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 successful</t>
  </si>
  <si>
    <t>backers failed</t>
  </si>
  <si>
    <t>mean</t>
  </si>
  <si>
    <t>median</t>
  </si>
  <si>
    <t>minimum</t>
  </si>
  <si>
    <t>maximum</t>
  </si>
  <si>
    <t>variance</t>
  </si>
  <si>
    <t>standard deviation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</si>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</sst>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00B0F0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[CrowdfundingBook.xlsx]outcome_parent_category!PivotTable1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outcome_parent_category!$B$3:$B$4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outcome_parent_category!$A$5:$A$14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outcome_parent_category!$B$5:$B$14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B-41CE-BC52-E54C00AC007D}"/>
            </c:ext>
          </c:extLst>
        </c:ser>
        <c:ser>
          <c:idx val="1"/>
          <c:order val="1"/>
          <c:tx>
            <c:strRef>
              <c:f>outcome_parent_category!$C$3:$C$4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outcome_parent_category!$A$5:$A$14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outcome_parent_category!$C$5:$C$14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B-41CE-BC52-E54C00AC007D}"/>
            </c:ext>
          </c:extLst>
        </c:ser>
        <c:ser>
          <c:idx val="2"/>
          <c:order val="2"/>
          <c:tx>
            <c:strRef>
              <c:f>outcome_parent_category!$D$3:$D$4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outcome_parent_category!$A$5:$A$14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outcome_parent_category!$D$5:$D$14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8B-41CE-BC52-E54C00AC007D}"/>
            </c:ext>
          </c:extLst>
        </c:ser>
        <c:ser>
          <c:idx val="3"/>
          <c:order val="3"/>
          <c:tx>
            <c:strRef>
              <c:f>outcome_parent_category!$E$3:$E$4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outcome_parent_category!$A$5:$A$14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outcome_parent_category!$E$5:$E$14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8B-41CE-BC52-E54C00AC0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3374223"/>
        <c:axId val="1904331663"/>
      </c:barChart>
      <c:catAx>
        <c:axId val="126337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331663"/>
        <c:crosses val="autoZero"/>
        <c:auto val="1"/>
        <c:lblAlgn val="ctr"/>
        <c:lblOffset val="100"/>
        <c:noMultiLvlLbl val="0"/>
      </c:catAx>
      <c:valAx>
        <c:axId val="190433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7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[CrowdfundingBook.xlsx]outcome_sub_category!PivotTable2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outcome_sub_category!$B$4:$B$5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outcome_sub_category!$B$6:$B$30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7-404A-9CD1-5F2A419E311D}"/>
            </c:ext>
          </c:extLst>
        </c:ser>
        <c:ser>
          <c:idx val="1"/>
          <c:order val="1"/>
          <c:tx>
            <c:strRef>
              <c:f>outcome_sub_category!$C$4:$C$5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outcome_sub_category!$C$6:$C$30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87-404A-9CD1-5F2A419E311D}"/>
            </c:ext>
          </c:extLst>
        </c:ser>
        <c:ser>
          <c:idx val="2"/>
          <c:order val="2"/>
          <c:tx>
            <c:strRef>
              <c:f>outcome_sub_category!$D$4:$D$5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outcome_sub_category!$A$6:$A$30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outcome_sub_category!$D$6:$D$30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87-404A-9CD1-5F2A419E311D}"/>
            </c:ext>
          </c:extLst>
        </c:ser>
        <c:ser>
          <c:idx val="3"/>
          <c:order val="3"/>
          <c:tx>
            <c:strRef>
              <c:f>outcome_sub_category!$E$4:$E$5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outcome_sub_category!$A$6:$A$30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outcome_sub_category!$E$6:$E$30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87-404A-9CD1-5F2A419E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8920415"/>
        <c:axId val="1253383087"/>
      </c:barChart>
      <c:catAx>
        <c:axId val="125892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383087"/>
        <c:crosses val="autoZero"/>
        <c:auto val="1"/>
        <c:lblAlgn val="ctr"/>
        <c:lblOffset val="100"/>
        <c:noMultiLvlLbl val="0"/>
      </c:catAx>
      <c:valAx>
        <c:axId val="125338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92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[CrowdfundingBook.xlsx]outcome_month!PivotTable3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outcome_month!$B$4:$B$5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outcome_month!$A$6:$A$18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A-48F2-8B72-FFB72B43D069}"/>
            </c:ext>
          </c:extLst>
        </c:ser>
        <c:ser>
          <c:idx val="1"/>
          <c:order val="1"/>
          <c:tx>
            <c:strRef>
              <c:f>outcome_month!$C$4:$C$5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outcome_month!$A$6:$A$18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2A-48F2-8B72-FFB72B43D069}"/>
            </c:ext>
          </c:extLst>
        </c:ser>
        <c:ser>
          <c:idx val="2"/>
          <c:order val="2"/>
          <c:tx>
            <c:strRef>
              <c:f>outcome_month!$D$4:$D$5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outcome_month!$A$6:$A$18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2A-48F2-8B72-FFB72B43D069}"/>
            </c:ext>
          </c:extLst>
        </c:ser>
        <c:ser>
          <c:idx val="3"/>
          <c:order val="3"/>
          <c:tx>
            <c:strRef>
              <c:f>outcome_month!$E$4:$E$5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outcome_month!$A$6:$A$18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2A-48F2-8B72-FFB72B43D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6109791"/>
        <c:axId val="1896118111"/>
      </c:lineChart>
      <c:catAx>
        <c:axId val="189610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118111"/>
        <c:crosses val="autoZero"/>
        <c:auto val="1"/>
        <c:lblAlgn val="ctr"/>
        <c:lblOffset val="100"/>
        <c:noMultiLvlLbl val="0"/>
      </c:catAx>
      <c:valAx>
        <c:axId val="189611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10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General</c:formatCode>
                <c:ptCount val="12"/>
                <c:pt idx="0">
                  <c:v>58.823529411764703</c:v>
                </c:pt>
                <c:pt idx="1">
                  <c:v>82.683982683982677</c:v>
                </c:pt>
                <c:pt idx="2">
                  <c:v>52.063492063492063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66.666666666666671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62-4635-8E19-3BEFF9E92029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General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27.272727272727273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62-4635-8E19-3BEFF9E92029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General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7.9365079365079367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8.3333333333333339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62-4635-8E19-3BEFF9E92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765936"/>
        <c:axId val="1317530752"/>
      </c:lineChart>
      <c:catAx>
        <c:axId val="131776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530752"/>
        <c:crosses val="autoZero"/>
        <c:auto val="1"/>
        <c:lblAlgn val="ctr"/>
        <c:lblOffset val="100"/>
        <c:noMultiLvlLbl val="0"/>
      </c:catAx>
      <c:valAx>
        <c:axId val="131753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76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Backers</a:t>
            </a:r>
            <a:r>
              <a:rPr lang="en-US" baseline="0"/>
              <a:t> by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backers!$B$1</c:f>
              <c:strCache>
                <c:ptCount val="1"/>
                <c:pt idx="0">
                  <c:v>backers 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backers!$A$2:$A$13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backers!$B$2:$B$13</c:f>
              <c:numCache>
                <c:formatCode>General</c:formatCode>
                <c:ptCount val="12"/>
                <c:pt idx="0">
                  <c:v>3712</c:v>
                </c:pt>
                <c:pt idx="1">
                  <c:v>29330</c:v>
                </c:pt>
                <c:pt idx="2">
                  <c:v>31884</c:v>
                </c:pt>
                <c:pt idx="3">
                  <c:v>2460</c:v>
                </c:pt>
                <c:pt idx="4">
                  <c:v>13061</c:v>
                </c:pt>
                <c:pt idx="5">
                  <c:v>8559</c:v>
                </c:pt>
                <c:pt idx="6">
                  <c:v>16413</c:v>
                </c:pt>
                <c:pt idx="7">
                  <c:v>11397</c:v>
                </c:pt>
                <c:pt idx="8">
                  <c:v>17536</c:v>
                </c:pt>
                <c:pt idx="9">
                  <c:v>31638</c:v>
                </c:pt>
                <c:pt idx="10">
                  <c:v>20113</c:v>
                </c:pt>
                <c:pt idx="11">
                  <c:v>294795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D-43DF-8111-3C9379BBE8CF}"/>
            </c:ext>
          </c:extLst>
        </c:ser>
        <c:ser>
          <c:idx val="1"/>
          <c:order val="1"/>
          <c:tx>
            <c:strRef>
              <c:f>backers!$C$1</c:f>
              <c:strCache>
                <c:ptCount val="1"/>
                <c:pt idx="0">
                  <c:v>backers 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backers!$A$2:$A$13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backers!$C$2:$C$13</c:f>
              <c:numCache>
                <c:formatCode>General</c:formatCode>
                <c:ptCount val="12"/>
                <c:pt idx="0">
                  <c:v>43</c:v>
                </c:pt>
                <c:pt idx="1">
                  <c:v>913</c:v>
                </c:pt>
                <c:pt idx="2">
                  <c:v>9138</c:v>
                </c:pt>
                <c:pt idx="3">
                  <c:v>592</c:v>
                </c:pt>
                <c:pt idx="4">
                  <c:v>0</c:v>
                </c:pt>
                <c:pt idx="5">
                  <c:v>0</c:v>
                </c:pt>
                <c:pt idx="6">
                  <c:v>711</c:v>
                </c:pt>
                <c:pt idx="7">
                  <c:v>0</c:v>
                </c:pt>
                <c:pt idx="8">
                  <c:v>675</c:v>
                </c:pt>
                <c:pt idx="9">
                  <c:v>569</c:v>
                </c:pt>
                <c:pt idx="10">
                  <c:v>665</c:v>
                </c:pt>
                <c:pt idx="11">
                  <c:v>199858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FD-43DF-8111-3C9379BBE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283120"/>
        <c:axId val="1512638320"/>
      </c:barChart>
      <c:catAx>
        <c:axId val="150928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638320"/>
        <c:crosses val="autoZero"/>
        <c:auto val="1"/>
        <c:lblAlgn val="ctr"/>
        <c:lblOffset val="100"/>
        <c:noMultiLvlLbl val="0"/>
      </c:catAx>
      <c:valAx>
        <c:axId val="151263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28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380998</xdr:colOff>
      <xdr:row>2</xdr:row>
      <xdr:rowOff>13605</xdr:rowOff>
    </xdr:from>
    <xdr:to>
      <xdr:col>17</xdr:col>
      <xdr:colOff>449036</xdr:colOff>
      <xdr:row>19</xdr:row>
      <xdr:rowOff>68035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84B933-E49B-CF11-6CA2-E50F285CE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326568</xdr:colOff>
      <xdr:row>3</xdr:row>
      <xdr:rowOff>1</xdr:rowOff>
    </xdr:from>
    <xdr:to>
      <xdr:col>17</xdr:col>
      <xdr:colOff>272143</xdr:colOff>
      <xdr:row>23</xdr:row>
      <xdr:rowOff>163287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BBC96C-5FAF-A15B-D83F-CE8C403DE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340176</xdr:colOff>
      <xdr:row>1</xdr:row>
      <xdr:rowOff>204106</xdr:rowOff>
    </xdr:from>
    <xdr:to>
      <xdr:col>17</xdr:col>
      <xdr:colOff>598714</xdr:colOff>
      <xdr:row>21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7E467F-968C-3D6A-E731-83B9F643E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1496786</xdr:colOff>
      <xdr:row>14</xdr:row>
      <xdr:rowOff>13607</xdr:rowOff>
    </xdr:from>
    <xdr:to>
      <xdr:col>9</xdr:col>
      <xdr:colOff>489856</xdr:colOff>
      <xdr:row>35</xdr:row>
      <xdr:rowOff>13605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CEDEF1-6AF8-C17A-3855-C9AD73323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632731</xdr:colOff>
      <xdr:row>1</xdr:row>
      <xdr:rowOff>40821</xdr:rowOff>
    </xdr:from>
    <xdr:to>
      <xdr:col>15</xdr:col>
      <xdr:colOff>4533</xdr:colOff>
      <xdr:row>23</xdr:row>
      <xdr:rowOff>72117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820A2F-042A-D695-1D83-91495F39A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84.549476273147" createdVersion="8" refreshedVersion="8" minRefreshableVersion="3" recordCount="1000" xr:uid="{09B55DA6-2F5E-4592-99C5-D3165AF68FA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2">
      <sharedItems containsSemiMixedTypes="0" containsString="0" containsNumber="1" minValue="0" maxValue="2338.8333333333335"/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 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40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.47878228782287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8.976190476190474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x v="0"/>
    <n v="69.276315789473685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73.61842105263159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20.96153846153846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27.57777777777778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19.932788374205266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51.741935483870968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66.11538461538464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.095238095238095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x v="0"/>
    <n v="89.349206349206355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.11904761904762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66.769503546099287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47.307881773399018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49.47058823529414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59.39125295508273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66.912087912087912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48.529600000000002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12.24279210925646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40.992553191489364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28.0710659898477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32.04444444444442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2.83225108225108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.43636363636364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48.19906976744186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79.95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05.22553516819572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28.89978213507624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60.6111111111111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86.807920792079202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7.8207171314741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50.80645161290323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.3011952191235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57.28571428571428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39.98765432098764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25.32258064516128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50.777777777777779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69.0681818181818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12.92857142857142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x v="1"/>
    <n v="443.94444444444446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85.9390243902439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58.8125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47.684210526315788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14.78378378378379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75.26666666666665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86.97297297297297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89.625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2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91.867805186590772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34.152777777777779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40.4090909090909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89.86666666666666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7.96969696969697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3.66249999999999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15.27586206896552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27.1111111111111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75.07142857142856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44.37048832271762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92.74598393574297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22.6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11.851063829787234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97.642857142857139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36.14754098360655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45.068965517241381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62.38567493112947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54.52631578947367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24.063291139240505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23.74140625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08.06666666666666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70.33333333333337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60.92857142857144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22.46153846153847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50.57731958762886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.106590724165983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46.94736842105263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0.8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69.598615916955012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37.4545454545455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25.33928571428572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97.3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37.590225563909776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32.36942675159236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.22448979591837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67.63513513513513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61.984886649874056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60.75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2.58823529411765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78.615384615384613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48.404406999351913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8.875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60.548713235294116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03.68965517241378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13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17.37876614060258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26.69230769230774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33.692229038854805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96.72368421052633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21.4444444444445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81.67567567567568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24.61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.14010067114094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44.5441176470588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59.12820512820514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86.48571428571429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95.26666666666665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.21153846153846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4.962780898876405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19.95602605863192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68.82978723404256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76.87878787878788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27.15789473684208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87.211757648470311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73.938775510204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7.6111111111111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4.96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49.49667110519309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19.33995584988963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64.367690058479539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18.622397298818232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67.76923076923077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59.90566037735849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38.633185349611544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51.421511627906973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60.334277620396598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26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55.46875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0.85974499089254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16.18181818181819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10.77777777777777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89.73668341708543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71.272727272727266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2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61.77777777777777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96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20.896851248642779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.16363636363636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01.5909797822706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30.04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35.59259259259258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29.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36.512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17.25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12.49397590361446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21.02150537634408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19.87096774193549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64.166909620991248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.06746987951806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92.984160506863773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58.75656742556918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65.022222222222226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73.939560439560438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52.666666666666664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20.95238095238096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00.01150627615063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62.3125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78.181818181818187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49.73770491803279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53.25714285714287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.16943521594685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21.9900442477876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37.13265306122449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15.53846153846155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31.30913348946136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24.08154506437768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6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10.63265306122449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82.875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63.01447776628748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94.66666666666663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.19150110375276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74.834782608695647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16.47680412371136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96.208333333333329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57.71910112359552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08.45714285714286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61.802325581395351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.32472324723244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.117647058823536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93.05555555555554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71.8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31.934684684684683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29.87375415282392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.012195121951223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23.525352848928385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x v="0"/>
    <n v="68.594594594594597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37.952380952380949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19.992957746478872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45.636363636363633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22.7605633802817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61.75316455696202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63.146341463414636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98.20475319926874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4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53.777777777777779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2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.19047619047615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78.831325301204814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.40792216817235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19999999999999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31.84615384615387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38.844444444444441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25.7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01.12239715591672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21.188688946015425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67.425531914893611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4.923371647509583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51.85185185185185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95.16382252559728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23.142857142857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5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55.0706655710764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44.753477588871718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5.94736842105263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32.12709832134294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9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98.625514403292186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37.97916666666666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.81099656357388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03.63930885529157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.174041297935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66.63333333333333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8.72085385878489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19.90717911530095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93.68925233644859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20.16666666666669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76.708333333333329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71.26470588235293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57.89473684210526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09.08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1.732558139534881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10.944303797468354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59.3763440860215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.41666666666669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97.71875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18.78911564625849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01.91632047477745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27.72619047619048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45.2173913043478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69.71428571428567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09.34482758620692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25.53333333333336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2.61616161616166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11.33870967741936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73.3252032520325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3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54.08450704225352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26.29999999999995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.021399176954731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84.89130434782609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.16770186335404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x v="0"/>
    <n v="23.390243902439025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46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68.48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97.5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57.6984126984127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31.201660735468565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13.41176470588238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70.8965517241379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62.66447368421052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23.08163265306122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76.766756032171585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33.62012987012986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80.53333333333333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2.62857142857143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.176538240368028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.00978473581216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37.23076923076923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32.208333333333336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1.51282051282053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96.8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66.4285714285713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25.8888888888889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70.7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81.44000000000005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91.520972644376897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08.04761904761905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8.728395061728396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83.193877551020407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06.33333333333337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17.446030330062445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09.73015873015873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97.785714285714292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84.25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54.402135231316727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6.61111111111109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78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16.38461538461538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39.6666666666667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5.650077760497666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54.950819672131146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94.236111111111114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43.9142857142857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51.421052631578945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x v="0"/>
    <n v="5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44.6666666666667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1.844940867279895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82.617647058823536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46.1428571428571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86.21428571428572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8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32.13677811550153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74.077834179357026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75.292682926829272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20.333333333333332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03.36507936507937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10.228426395939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95.3181818181818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94.71428571428572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3.89473684210526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66.677083333333329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19.227272727272727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15.842105263157896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x v="3"/>
    <n v="38.702380952380949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7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.144366197183103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6.5623409669211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24.134831460674157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.05633802816902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90.723076923076917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46.194444444444443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8.53846153846154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33.56231003039514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22.896588486140725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84.95548961424333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43.72727272727275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99.98067632850243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23.95833333333333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86.6132930513595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x v="1"/>
    <n v="114.28538550057537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97.032531824611027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22.81904761904762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79.1432664756447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79.951577402787962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94.242587601078171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4.669291338582681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66.521920668058456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53.922222222222224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41.983299595141702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14.694796954314722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34.475000000000001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00.7777777777778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71.770351758793964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53.07411504424779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x v="0"/>
    <n v="5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27.70715249662618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34.892857142857146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10.59821428571428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23.73770491803279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58.973684210526315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36.892473118279568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84.91304347826087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11.814432989690722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98.7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.35175879396985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73.56363636363636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71.75675675675677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60.19230769230768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16.3333333333333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33.4375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92.11111111111109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18.888888888888889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76.80769230769232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73.01851851851853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.36331255565449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67.869978858350947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91.5555555555557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30.1822222222222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13.185782556750299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4.777777777777779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61.02941176470586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10.257545271629779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13.962962962962964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.444444444444443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.32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83.943396226415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63.769230769230766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25.38095238095238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72.00961538461539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.16709511568124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.42361623616236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39.261467889908253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11.270034843205575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22.11084337349398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86.54166666666666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01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5.642371234207971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8.96178343949043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69.375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.11267605633802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67.05422993492408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73.8641975308642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17.76470588235293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3.850976361767728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2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30.2222222222222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40.356164383561641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86.220633299284984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15.58486707566465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89.618243243243242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82.14503816793894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55.88235294117646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31.83695652173913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46.315634218289084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36.132726089785294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04.62820512820512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68.85714285714289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62.072823218997364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4.699787460148784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11.059030837004405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43.838781575037146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55.470588235294116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57.399511301160658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23.43497363796133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28.46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63.98936170212766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.29885057471265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10.638024357239512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40.470588235294116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87.66666666666669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72.94444444444446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12.90429799426934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46.387573964497044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90.675916230366497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67.740740740740748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92.49019607843138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82.714285714285708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54.163920922570014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16.722222222222221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16.8766404199475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52.1538461538462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23.07407407407408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8.63855421686748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55.28169014084506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61.90634146341463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24.914285714285715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8.72222222222223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34.752688172043008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76.41935483870967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11.3809523809524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82.044117647058826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.32603092783505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.482758620689658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67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4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22.84501347708895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63.4375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56.331688596491226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44.075000000000003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.3725321888412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.1243169398907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26.64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51.20118343195264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90.063492063492063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1.625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41.04655870445345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30.579449152542374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08.16455696202532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33.45505617977528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87.85106382978722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75.21428571428567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40.5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84.42857142857142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85.80555555555554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19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.234070221066318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78.14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65.15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3.94594594594595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29.828720626631853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54.27058823529412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36.34156976744185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12.91666666666663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00.65116279069767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.348423194303152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16.404761904761905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52.774617067833695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60.20608108108109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30.73289183222958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13.5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78.62556663644605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20.0566037735849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01.51086956521739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91.5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05.34683098591552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23.995287958115185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23.77777777777783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.36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4.5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0.90696409140369971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34.173469387755105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23.948810754912099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48.072649572649574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70.145182291666671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29.9230769230769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80.32549019607842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92.32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13.901001112347052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.07777777777778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39.857142857142854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12.22929936305732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70.925816023738875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19.08974358974359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24.017591339648174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39.3186813186813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.277108433734938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.439077144917086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x v="0"/>
    <n v="55.779069767441861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42.523125996810208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12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83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01.74563871693866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25.75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45.53947368421052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.453465346534657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.33333333333337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83.904860392967947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84.19047619047619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5.95180722891567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99.619450317124731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80.3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11.254901960784315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1.740952380952379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95.521156936261377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02.875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59.2439446366782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.022446689113355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82.03846153846155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49.96938775510205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17.22156398104265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7.695968274950431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72.65306122448979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65.98113207547169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.205617977528089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6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16.329799764428738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76.5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88.803571428571431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63.57142857142858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69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70.91376701966715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84.21355932203392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58.6329816768462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98.511111111111106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3.975381008206334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51.66315789473686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23.63492063492063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39.75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99.33333333333334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37.34482758620689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00.9696106362773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94.16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69.7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12.818181818181818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38.02702702702703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3.813278008298752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04.60063224446787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44.344086021505376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18.60294117647058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86.0331491712707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37.33830845771143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05.65384615384613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94.142857142857139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54.4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11.88059701492537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69.14814814814815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62.930372148859547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64.927835051546396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18.853658536585368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16.754404145077721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01.11290322580645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41.50228310502285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64.016666666666666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52.080459770114942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22.4021164021164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19.50810185185185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46.79775280898878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50.57142857142856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72.893617021276597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79.008248730964468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64.721518987341767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82.028169014084511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37.6666666666667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12.910076530612244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54.84210526315789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79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08.52773826458036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99.683544303797461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01.59756097560975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62.09032258064516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5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5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06.63492063492063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28.23628691983123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19.66037735849056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70.73055242390078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87.21212121212122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88.38235294117646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31.2986918604651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83.97435897435895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20.42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.05607476635515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13.853658536585366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39.43548387096774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55.49056603773585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70.4470588235294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89.515625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49.71428571428572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48.86052366565962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28.461970393057683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68.02325581395348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19.80078125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1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59.92152704135736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79.39215686274508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.373333333333335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.328125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94.25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51.78947368421052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64.582072176949936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62.873684210526314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10.39864864864865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42.859916782246877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83.119402985074629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8.531302876480538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14.09352517985612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64.537683358624179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79.411764705882348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x v="0"/>
    <n v="11.419117647058824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56.186046511627907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6.501669449081803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19.96808510638297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45.45652173913044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21.38255033557047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48.396694214876035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92.911504424778755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88.59979736575481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41.4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63.056795131845838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48.482333607230899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2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88.47941026944585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26.84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38.8333333333335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08.38857142857142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.47826086956522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.127533783783782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.06463878326996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47.232808616404306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81.736263736263737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54.187265917602993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97.868131868131869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77.239999999999995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33.464735516372798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39.58823529411765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64.032258064516128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76.15942028985506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20.33818181818182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58.64754098360658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68.85802469135803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22.0563524590164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55.931783729156137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43.660714285714285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33.53837141183362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22.97938144329896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89.74959871589084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83.622641509433961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17.968844221105527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36.5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97.405219780219781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86.386203150461711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50.16666666666666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x v="1"/>
    <n v="358.43478260869563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42.85714285714289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67.500714285714281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91.74666666666667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29.27586206896552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00.65753424657534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26.6111111111111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42.38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90.63333333333334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63.966740576496676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84.131868131868131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33.93478260869566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59.042047531992687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52.80062063615205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46.69121140142516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84.391891891891888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75.02692307692308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54.137931034482762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11.87381703470032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2.7816091954023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99.026517383618156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27.84686346863468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58.61643835616439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07.0588235294117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42.3877551020408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47.86046511627907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20.322580645161292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40.625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61.94202898550725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2.82077922077923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24.466101694915253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17.65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7.64285714285714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00.20481927710843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.09195402298850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1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x v="1"/>
    <n v="156.50721649484535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70.40816326530614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34.0595238095238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50.398033126293996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88.815837937384899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17.5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85.66071428571428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12.66319444444446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90.25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91.984615384615381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27.00632911392404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19.14285714285717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54.18867924528303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32.896103896103895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5.8918918918919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5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61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30.037735849056602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79.1666666666667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26.0833333333333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12.923076923076923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12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30.304347826086957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12.5089605734767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28.85714285714286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34.959979476654695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57.2906976744186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32.30555555555554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92.448275862068968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56.70212765957444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.47017045454547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66.57777777777778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.07692307692309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06.85714285714283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64.20608108108104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68.426865671641792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34.351966873706004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55.4545454545455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77.25714285714287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13.17857142857143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28.18181818181813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08.33333333333334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31.171232876712327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6.967078189300409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86.867834394904463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70.74418604651163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49.446428571428569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13.3596256684492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90.55555555555554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35.5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10.297872340425531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65.544223826714799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49.026652452025587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87.9230769230769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80.306347746090154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06.29411764705883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50.735632183908045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15.31372549019608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.22972972972974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15.33745781777277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.11940298507463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29.73333333333335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99.66339869281046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88.166666666666671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37.233333333333334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30.540075309306079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25.714285714285715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85.90909090909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25.39393939393939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14.394366197183098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54.807692307692307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09.63157894736842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88.47058823529412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87.008284023668637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x v="0"/>
    <n v="1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02.91304347826087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.03225806451613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68.73076923076923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50.845360824742265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80.2857142857142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64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30.442307692307693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62.88068181818182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.125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77.1027027027027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25.52763819095478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39.40625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92.1875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30.23333333333332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15.21739130434787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68.79532163742692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94.8571428571429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50.662921348314605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00.6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91.28571428571428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49.96666666666664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57.0731707317073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26.48941176470588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87.5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.03571428571428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6.69565217391306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51.34375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08.97734294541709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.17592592592592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7.69117647058823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3.8082191780822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89.738979118329468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75.135802469135797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52.8813559322034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38.90625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90.18181818181819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00.24333619948409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42.75824175824175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63.13333333333333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30.71590909090909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99.397727272727266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97.54935622317598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08.5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37.74468085106383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38.46875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33.08955223880596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07.8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51.122448979591837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52.05847953216369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3.63099415204678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02.37606837606837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56.5833333333333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39.8679245283019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.45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35.534246575342465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51.65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05.875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87.42857142857142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86.78571428571428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47.07142857142856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5.82098765432099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43.241247264770237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.4375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84.84285714285716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23.703520691785052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89.870129870129873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72.6041958041958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70.04255319148936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.28503562945369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46.93532338308455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69.177215189873422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25.433734939759034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.400977995110026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37.481481481481481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43.79999999999995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8.52189349112427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38.948339483394832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70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37.91176470588235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64.036299765807968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18.27777777777777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84.824037184594957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29.346153846153847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09.89655172413794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69.78571428571428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5.95907738095238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8.60000000000002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0.58333333333334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28.21428571428572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88.70588235294119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07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74.43434343434342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27.693181818181817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52.479620323841431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07.0967741935484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2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56.17857142857142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52.42857142857142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68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12.23076923076923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3.98734177215189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62.98181818181817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.252747252747252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19.24083769633506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78.94444444444446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19.556634304207119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98.94827586206895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95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50.621082621082621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.4375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55.62827640984909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.297297297297298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58.25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37.39473684210526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58.75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82.56603773584905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0.75436408977556113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75.95330739299609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37.88235294117646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88.0507614213198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.06666666666666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18.126436781609197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45.847222222222221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17.31541218637993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17.3090909090909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12.28571428571429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72.518987341772146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12.30434782608697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39.74657534246575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81.93548387096774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.13114754098362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2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49.64385964912281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09.70652173913044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.217948717948715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62.23232323232323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13.05813953488372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x v="0"/>
    <n v="64.635416666666671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59.58666666666667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81.42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.444767441860463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26.694444444444443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62.957446808510639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61.35593220338984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96.9379310344827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70.094158075601371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.09859154929575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09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19.028784648187631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6.87755102040816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34.63636363636363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3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85.054545454545448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19.29824561403508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.02777777777777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84.694915254237287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5.7837837837838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86.40909090909093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92.23529411764707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37.0339366515837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.2083333333333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08.22784810126582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60.757639620653322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27.725490196078432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.39344262295083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21.615194054500414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73.875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54.92592592592592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.14999999999998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73.957142857142856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.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.26245847176079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40.281762295081968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78.22388059701493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84.930555555555557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45.93648334624322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.46153846153845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67.129542790152399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40.307692307692307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16.79032258064515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.117021276595743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99.5833333333333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87.679487179487182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13.1734693877551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x v="1"/>
    <n v="426.5483870967742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77.632653061224488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.496810772501775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.46762589928056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72.939393939393938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60.565789473684212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56.791291291291294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56.542754275427541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748702-7DD3-46F1-9E62-9A0DADB488B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2" showAll="0"/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7D0F7-7C69-4418-A2F9-7B5936317B3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2" showAll="0"/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A922AA-DA7D-47AB-9360-DF542FD1E6F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2" showAll="0"/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22" hier="-1"/>
    <pageField fld="1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70" zoomScaleNormal="70" workbookViewId="0"/>
  </sheetViews>
  <sheetFormatPr defaultColWidth="11" defaultRowHeight="15.75" x14ac:dyDescent="0.25"/>
  <cols>
    <col min="1" max="1" width="8.5" bestFit="1" customWidth="1"/>
    <col min="2" max="2" width="32.125" bestFit="1" customWidth="1"/>
    <col min="3" max="3" width="52.25" style="3" bestFit="1" customWidth="1"/>
    <col min="4" max="4" width="10.25" bestFit="1" customWidth="1"/>
    <col min="5" max="5" width="13.75" bestFit="1" customWidth="1"/>
    <col min="6" max="6" width="14.375" bestFit="1" customWidth="1"/>
    <col min="7" max="7" width="20.25" bestFit="1" customWidth="1"/>
    <col min="8" max="8" width="18.875" bestFit="1" customWidth="1"/>
    <col min="9" max="9" width="18.875" customWidth="1"/>
    <col min="10" max="10" width="13.375" bestFit="1" customWidth="1"/>
    <col min="11" max="11" width="14.25" bestFit="1" customWidth="1"/>
    <col min="12" max="12" width="17.125" bestFit="1" customWidth="1"/>
    <col min="13" max="13" width="14.25" bestFit="1" customWidth="1"/>
    <col min="14" max="14" width="27.75" customWidth="1"/>
    <col min="15" max="15" width="26.75" bestFit="1" customWidth="1"/>
    <col min="16" max="16" width="14.625" bestFit="1" customWidth="1"/>
    <col min="17" max="17" width="14.25" bestFit="1" customWidth="1"/>
    <col min="18" max="18" width="29.375" bestFit="1" customWidth="1"/>
    <col min="19" max="19" width="14.875" bestFit="1" customWidth="1"/>
    <col min="20" max="20" width="17.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2029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2064</v>
      </c>
      <c r="T1" s="1" t="s">
        <v>2065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f>100*E2/D2</f>
        <v>0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L2 / (86400) + DATE(1970, 1, 1)</f>
        <v>42336.25</v>
      </c>
      <c r="O2" s="8">
        <f>M2 / (86400) + DATE(1970, 1, 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f t="shared" ref="G3:G66" si="0">100*E3/D3</f>
        <v>1040</v>
      </c>
      <c r="H3">
        <v>158</v>
      </c>
      <c r="I3" s="5">
        <f t="shared" ref="I3:I66" si="1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L3 / (86400) + DATE(1970, 1, 1)</f>
        <v>41870.208333333336</v>
      </c>
      <c r="O3" s="8">
        <f t="shared" ref="O3:O66" si="3">M3 / (86400) + DATE(1970, 1, 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f t="shared" si="0"/>
        <v>131.47878228782287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f t="shared" si="0"/>
        <v>58.976190476190474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f t="shared" si="0"/>
        <v>69.276315789473685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f t="shared" si="0"/>
        <v>173.61842105263159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f t="shared" si="0"/>
        <v>20.96153846153846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f t="shared" si="0"/>
        <v>327.57777777777778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f t="shared" si="0"/>
        <v>19.932788374205266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f t="shared" si="0"/>
        <v>51.741935483870968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f t="shared" si="0"/>
        <v>266.11538461538464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f t="shared" si="0"/>
        <v>48.095238095238095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f t="shared" si="0"/>
        <v>89.349206349206355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f t="shared" si="0"/>
        <v>245.11904761904762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f t="shared" si="0"/>
        <v>66.769503546099287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f t="shared" si="0"/>
        <v>47.307881773399018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f t="shared" si="0"/>
        <v>649.47058823529414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f t="shared" si="0"/>
        <v>159.39125295508273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f t="shared" si="0"/>
        <v>66.912087912087912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f t="shared" si="0"/>
        <v>48.529600000000002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f t="shared" si="0"/>
        <v>112.24279210925646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f t="shared" si="0"/>
        <v>40.992553191489364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f t="shared" si="0"/>
        <v>128.07106598984771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f t="shared" si="0"/>
        <v>332.04444444444442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f t="shared" si="0"/>
        <v>112.83225108225108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f t="shared" si="0"/>
        <v>216.43636363636364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f t="shared" si="0"/>
        <v>48.199069767441863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f t="shared" si="0"/>
        <v>79.95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f t="shared" si="0"/>
        <v>105.22553516819572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f t="shared" si="0"/>
        <v>328.89978213507624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f t="shared" si="0"/>
        <v>160.61111111111111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f t="shared" si="0"/>
        <v>310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f t="shared" si="0"/>
        <v>86.807920792079202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f t="shared" si="0"/>
        <v>377.82071713147411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f t="shared" si="0"/>
        <v>150.80645161290323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f t="shared" si="0"/>
        <v>150.30119521912351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f t="shared" si="0"/>
        <v>157.28571428571428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f t="shared" si="0"/>
        <v>139.98765432098764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f t="shared" si="0"/>
        <v>325.32258064516128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f t="shared" si="0"/>
        <v>50.777777777777779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f t="shared" si="0"/>
        <v>169.06818181818181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f t="shared" si="0"/>
        <v>212.92857142857142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f t="shared" si="0"/>
        <v>443.94444444444446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f t="shared" si="0"/>
        <v>185.9390243902439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f t="shared" si="0"/>
        <v>658.8125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f t="shared" si="0"/>
        <v>47.684210526315788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f t="shared" si="0"/>
        <v>114.78378378378379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f t="shared" si="0"/>
        <v>475.26666666666665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f t="shared" si="0"/>
        <v>386.97297297297297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f t="shared" si="0"/>
        <v>189.625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f t="shared" si="0"/>
        <v>2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f t="shared" si="0"/>
        <v>91.867805186590772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f t="shared" si="0"/>
        <v>34.152777777777779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f t="shared" si="0"/>
        <v>140.40909090909091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f t="shared" si="0"/>
        <v>89.86666666666666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f t="shared" si="0"/>
        <v>177.96969696969697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f t="shared" si="0"/>
        <v>143.66249999999999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f t="shared" si="0"/>
        <v>215.27586206896552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f t="shared" si="0"/>
        <v>227.11111111111111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f t="shared" si="0"/>
        <v>275.07142857142856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f t="shared" si="0"/>
        <v>144.37048832271762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f t="shared" si="0"/>
        <v>92.74598393574297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f t="shared" si="0"/>
        <v>722.6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f t="shared" si="0"/>
        <v>11.851063829787234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f t="shared" si="0"/>
        <v>97.642857142857139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f t="shared" ref="G67:G130" si="4">100*E67/D67</f>
        <v>236.14754098360655</v>
      </c>
      <c r="H67">
        <v>236</v>
      </c>
      <c r="I67" s="5">
        <f t="shared" ref="I67:I130" si="5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L67 / (86400) + DATE(1970, 1, 1)</f>
        <v>40570.25</v>
      </c>
      <c r="O67" s="8">
        <f t="shared" ref="O67:O130" si="7">M67 / (86400) + DATE(1970, 1, 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f t="shared" si="4"/>
        <v>45.068965517241381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f t="shared" si="4"/>
        <v>162.38567493112947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f t="shared" si="4"/>
        <v>254.52631578947367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f t="shared" si="4"/>
        <v>24.063291139240505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f t="shared" si="4"/>
        <v>123.74140625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f t="shared" si="4"/>
        <v>108.06666666666666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f t="shared" si="4"/>
        <v>670.33333333333337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f t="shared" si="4"/>
        <v>660.92857142857144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f t="shared" si="4"/>
        <v>122.46153846153847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f t="shared" si="4"/>
        <v>150.57731958762886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f t="shared" si="4"/>
        <v>78.106590724165983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f t="shared" si="4"/>
        <v>46.94736842105263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f t="shared" si="4"/>
        <v>300.8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f t="shared" si="4"/>
        <v>69.598615916955012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f t="shared" si="4"/>
        <v>637.4545454545455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f t="shared" si="4"/>
        <v>225.33928571428572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f t="shared" si="4"/>
        <v>1497.3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f t="shared" si="4"/>
        <v>37.590225563909776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f t="shared" si="4"/>
        <v>132.36942675159236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f t="shared" si="4"/>
        <v>131.22448979591837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f t="shared" si="4"/>
        <v>167.63513513513513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f t="shared" si="4"/>
        <v>61.984886649874056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f t="shared" si="4"/>
        <v>260.75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f t="shared" si="4"/>
        <v>252.58823529411765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f t="shared" si="4"/>
        <v>78.615384615384613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f t="shared" si="4"/>
        <v>48.404406999351913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f t="shared" si="4"/>
        <v>258.875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f t="shared" si="4"/>
        <v>60.548713235294116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f t="shared" si="4"/>
        <v>303.68965517241378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f t="shared" si="4"/>
        <v>113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f t="shared" si="4"/>
        <v>217.37876614060258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f t="shared" si="4"/>
        <v>926.69230769230774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f t="shared" si="4"/>
        <v>33.692229038854805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f t="shared" si="4"/>
        <v>196.72368421052633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f t="shared" si="4"/>
        <v>1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f t="shared" si="4"/>
        <v>1021.4444444444445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f t="shared" si="4"/>
        <v>281.67567567567568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f t="shared" si="4"/>
        <v>24.61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f t="shared" si="4"/>
        <v>143.14010067114094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f t="shared" si="4"/>
        <v>144.54411764705881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f t="shared" si="4"/>
        <v>359.12820512820514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f t="shared" si="4"/>
        <v>186.48571428571429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f t="shared" si="4"/>
        <v>595.26666666666665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f t="shared" si="4"/>
        <v>59.21153846153846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f t="shared" si="4"/>
        <v>14.962780898876405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f t="shared" si="4"/>
        <v>119.95602605863192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f t="shared" si="4"/>
        <v>268.82978723404256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f t="shared" si="4"/>
        <v>376.87878787878788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f t="shared" si="4"/>
        <v>727.15789473684208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f t="shared" si="4"/>
        <v>87.211757648470311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f t="shared" si="4"/>
        <v>88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f t="shared" si="4"/>
        <v>173.9387755102041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f t="shared" si="4"/>
        <v>117.61111111111111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f t="shared" si="4"/>
        <v>214.96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f t="shared" si="4"/>
        <v>149.49667110519309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f t="shared" si="4"/>
        <v>219.33995584988963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f t="shared" si="4"/>
        <v>64.367690058479539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f t="shared" si="4"/>
        <v>18.622397298818232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f t="shared" si="4"/>
        <v>367.76923076923077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f t="shared" si="4"/>
        <v>159.90566037735849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f t="shared" si="4"/>
        <v>38.633185349611544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f t="shared" si="4"/>
        <v>51.421511627906973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f t="shared" si="4"/>
        <v>60.334277620396598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f t="shared" ref="G131:G194" si="8">100*E131/D131</f>
        <v>3.2026936026936026</v>
      </c>
      <c r="H131">
        <v>55</v>
      </c>
      <c r="I131" s="5">
        <f t="shared" ref="I131:I194" si="9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L131 / (86400) + DATE(1970, 1, 1)</f>
        <v>42038.25</v>
      </c>
      <c r="O131" s="8">
        <f t="shared" ref="O131:O194" si="11">M131 / (86400) + DATE(1970, 1, 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f t="shared" si="8"/>
        <v>155.46875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f t="shared" si="8"/>
        <v>100.85974499089254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f t="shared" si="8"/>
        <v>116.18181818181819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f t="shared" si="8"/>
        <v>310.77777777777777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f t="shared" si="8"/>
        <v>89.73668341708543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f t="shared" si="8"/>
        <v>71.272727272727266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f t="shared" si="8"/>
        <v>3.2862318840579712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f t="shared" si="8"/>
        <v>261.77777777777777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f t="shared" si="8"/>
        <v>96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f t="shared" si="8"/>
        <v>20.896851248642779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f t="shared" si="8"/>
        <v>223.16363636363636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f t="shared" si="8"/>
        <v>101.59097978227061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f t="shared" si="8"/>
        <v>230.04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f t="shared" si="8"/>
        <v>135.59259259259258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f t="shared" si="8"/>
        <v>129.1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f t="shared" si="8"/>
        <v>236.512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f t="shared" si="8"/>
        <v>17.25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f t="shared" si="8"/>
        <v>112.49397590361446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f t="shared" si="8"/>
        <v>121.02150537634408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f t="shared" si="8"/>
        <v>219.87096774193549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f t="shared" si="8"/>
        <v>1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f t="shared" si="8"/>
        <v>64.166909620991248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f t="shared" si="8"/>
        <v>423.06746987951806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f t="shared" si="8"/>
        <v>92.984160506863773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f t="shared" si="8"/>
        <v>58.75656742556918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f t="shared" si="8"/>
        <v>65.022222222222226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f t="shared" si="8"/>
        <v>73.939560439560438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f t="shared" si="8"/>
        <v>52.666666666666664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f t="shared" si="8"/>
        <v>220.95238095238096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f t="shared" si="8"/>
        <v>100.01150627615063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f t="shared" si="8"/>
        <v>162.3125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f t="shared" si="8"/>
        <v>78.181818181818187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f t="shared" si="8"/>
        <v>149.73770491803279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f t="shared" si="8"/>
        <v>253.25714285714287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f t="shared" si="8"/>
        <v>100.16943521594685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f t="shared" si="8"/>
        <v>121.99004424778761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f t="shared" si="8"/>
        <v>137.13265306122449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f t="shared" si="8"/>
        <v>415.53846153846155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f t="shared" si="8"/>
        <v>31.30913348946136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f t="shared" si="8"/>
        <v>424.08154506437768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f t="shared" si="8"/>
        <v>2.93886230728336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f t="shared" si="8"/>
        <v>10.63265306122449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f t="shared" si="8"/>
        <v>82.875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f t="shared" si="8"/>
        <v>163.01447776628748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f t="shared" si="8"/>
        <v>894.66666666666663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f t="shared" si="8"/>
        <v>26.19150110375276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f t="shared" si="8"/>
        <v>74.834782608695647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f t="shared" si="8"/>
        <v>416.47680412371136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f t="shared" si="8"/>
        <v>96.208333333333329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f t="shared" si="8"/>
        <v>357.71910112359552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f t="shared" si="8"/>
        <v>308.45714285714286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f t="shared" si="8"/>
        <v>61.802325581395351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f t="shared" si="8"/>
        <v>722.32472324723244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f t="shared" si="8"/>
        <v>69.117647058823536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f t="shared" si="8"/>
        <v>293.05555555555554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f t="shared" si="8"/>
        <v>71.8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f t="shared" si="8"/>
        <v>31.934684684684683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f t="shared" si="8"/>
        <v>229.87375415282392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f t="shared" si="8"/>
        <v>32.012195121951223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f t="shared" si="8"/>
        <v>23.525352848928385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f t="shared" si="8"/>
        <v>68.594594594594597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f t="shared" si="8"/>
        <v>37.952380952380949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f t="shared" si="8"/>
        <v>19.992957746478872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f t="shared" ref="G195:G258" si="12">100*E195/D195</f>
        <v>45.636363636363633</v>
      </c>
      <c r="H195">
        <v>65</v>
      </c>
      <c r="I195" s="5">
        <f t="shared" ref="I195:I258" si="13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L195 / (86400) + DATE(1970, 1, 1)</f>
        <v>43198.208333333328</v>
      </c>
      <c r="O195" s="8">
        <f t="shared" ref="O195:O258" si="15">M195 / (86400) + DATE(1970, 1, 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f t="shared" si="12"/>
        <v>122.7605633802817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f t="shared" si="12"/>
        <v>361.75316455696202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f t="shared" si="12"/>
        <v>63.146341463414636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f t="shared" si="12"/>
        <v>298.20475319926874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f t="shared" si="12"/>
        <v>9.5585443037974684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f t="shared" si="12"/>
        <v>53.777777777777779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f t="shared" si="12"/>
        <v>2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f t="shared" si="12"/>
        <v>681.19047619047615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f t="shared" si="12"/>
        <v>78.831325301204814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f t="shared" si="12"/>
        <v>134.40792216817235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f t="shared" si="12"/>
        <v>3.3719999999999999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f t="shared" si="12"/>
        <v>431.84615384615387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f t="shared" si="12"/>
        <v>38.844444444444441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f t="shared" si="12"/>
        <v>425.7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f t="shared" si="12"/>
        <v>101.12239715591672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f t="shared" si="12"/>
        <v>21.188688946015425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f t="shared" si="12"/>
        <v>67.425531914893611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f t="shared" si="12"/>
        <v>94.923371647509583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f t="shared" si="12"/>
        <v>151.85185185185185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f t="shared" si="12"/>
        <v>195.16382252559728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f t="shared" si="12"/>
        <v>1023.1428571428571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f t="shared" si="12"/>
        <v>3.8418367346938775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f t="shared" si="12"/>
        <v>155.0706655710764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f t="shared" si="12"/>
        <v>44.753477588871718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f t="shared" si="12"/>
        <v>215.94736842105263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f t="shared" si="12"/>
        <v>332.12709832134294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f t="shared" si="12"/>
        <v>8.4430379746835449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f t="shared" si="12"/>
        <v>98.625514403292186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f t="shared" si="12"/>
        <v>137.97916666666666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f t="shared" si="12"/>
        <v>93.81099656357388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f t="shared" si="12"/>
        <v>403.63930885529157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f t="shared" si="12"/>
        <v>260.1740412979351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f t="shared" si="12"/>
        <v>366.63333333333333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f t="shared" si="12"/>
        <v>168.72085385878489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f t="shared" si="12"/>
        <v>119.90717911530095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f t="shared" si="12"/>
        <v>193.68925233644859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f t="shared" si="12"/>
        <v>420.16666666666669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f t="shared" si="12"/>
        <v>76.708333333333329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f t="shared" si="12"/>
        <v>171.26470588235293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f t="shared" si="12"/>
        <v>157.89473684210526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f t="shared" si="12"/>
        <v>109.08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f t="shared" si="12"/>
        <v>41.732558139534881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f t="shared" si="12"/>
        <v>10.944303797468354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f t="shared" si="12"/>
        <v>159.3763440860215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f t="shared" si="12"/>
        <v>422.41666666666669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f t="shared" si="12"/>
        <v>97.71875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f t="shared" si="12"/>
        <v>418.78911564625849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f t="shared" si="12"/>
        <v>101.91632047477745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f t="shared" si="12"/>
        <v>127.72619047619048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f t="shared" si="12"/>
        <v>445.21739130434781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f t="shared" si="12"/>
        <v>569.71428571428567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f t="shared" si="12"/>
        <v>509.34482758620692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f t="shared" si="12"/>
        <v>325.53333333333336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f t="shared" si="12"/>
        <v>932.61616161616166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f t="shared" si="12"/>
        <v>211.33870967741936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f t="shared" si="12"/>
        <v>273.32520325203251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f t="shared" si="12"/>
        <v>3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f t="shared" si="12"/>
        <v>54.08450704225352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f t="shared" si="12"/>
        <v>626.29999999999995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f t="shared" si="12"/>
        <v>89.021399176954731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f t="shared" si="12"/>
        <v>184.89130434782609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f t="shared" si="12"/>
        <v>120.16770186335404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f t="shared" si="12"/>
        <v>23.390243902439025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f t="shared" ref="G259:G322" si="16">100*E259/D259</f>
        <v>146</v>
      </c>
      <c r="H259">
        <v>92</v>
      </c>
      <c r="I259" s="5">
        <f t="shared" ref="I259:I322" si="17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L259 / (86400) + DATE(1970, 1, 1)</f>
        <v>41338.25</v>
      </c>
      <c r="O259" s="8">
        <f t="shared" ref="O259:O322" si="19">M259 / (86400) + DATE(1970, 1, 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f t="shared" si="16"/>
        <v>268.48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f t="shared" si="16"/>
        <v>597.5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f t="shared" si="16"/>
        <v>157.69841269841271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f t="shared" si="16"/>
        <v>31.201660735468565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f t="shared" si="16"/>
        <v>313.41176470588238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f t="shared" si="16"/>
        <v>370.89655172413791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f t="shared" si="16"/>
        <v>362.66447368421052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f t="shared" si="16"/>
        <v>123.08163265306122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f t="shared" si="16"/>
        <v>76.766756032171585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f t="shared" si="16"/>
        <v>233.62012987012986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f t="shared" si="16"/>
        <v>180.53333333333333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f t="shared" si="16"/>
        <v>252.62857142857143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f t="shared" si="16"/>
        <v>27.176538240368028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f t="shared" si="16"/>
        <v>1.2706571242680547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f t="shared" si="16"/>
        <v>304.00978473581216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f t="shared" si="16"/>
        <v>137.23076923076923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f t="shared" si="16"/>
        <v>32.208333333333336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f t="shared" si="16"/>
        <v>241.51282051282053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f t="shared" si="16"/>
        <v>96.8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f t="shared" si="16"/>
        <v>1066.4285714285713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f t="shared" si="16"/>
        <v>325.88888888888891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f t="shared" si="16"/>
        <v>170.7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f t="shared" si="16"/>
        <v>581.44000000000005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f t="shared" si="16"/>
        <v>91.520972644376897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f t="shared" si="16"/>
        <v>108.04761904761905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f t="shared" si="16"/>
        <v>18.728395061728396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f t="shared" si="16"/>
        <v>83.193877551020407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f t="shared" si="16"/>
        <v>706.33333333333337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f t="shared" si="16"/>
        <v>17.446030330062445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f t="shared" si="16"/>
        <v>209.73015873015873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f t="shared" si="16"/>
        <v>97.785714285714292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f t="shared" si="16"/>
        <v>1684.25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f t="shared" si="16"/>
        <v>54.402135231316727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f t="shared" si="16"/>
        <v>456.61111111111109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f t="shared" si="16"/>
        <v>9.8219178082191778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f t="shared" si="16"/>
        <v>16.384615384615383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f t="shared" si="16"/>
        <v>1339.6666666666667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f t="shared" si="16"/>
        <v>35.650077760497666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f t="shared" si="16"/>
        <v>54.950819672131146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f t="shared" si="16"/>
        <v>94.236111111111114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f t="shared" si="16"/>
        <v>143.91428571428571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f t="shared" si="16"/>
        <v>51.421052631578945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f t="shared" si="16"/>
        <v>5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f t="shared" si="16"/>
        <v>1344.6666666666667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f t="shared" si="16"/>
        <v>31.844940867279895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f t="shared" si="16"/>
        <v>82.617647058823536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f t="shared" si="16"/>
        <v>546.14285714285711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f t="shared" si="16"/>
        <v>286.21428571428572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f t="shared" si="16"/>
        <v>7.907692307692308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f t="shared" si="16"/>
        <v>132.13677811550153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f t="shared" si="16"/>
        <v>74.077834179357026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f t="shared" si="16"/>
        <v>75.292682926829272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f t="shared" si="16"/>
        <v>20.333333333333332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f t="shared" si="16"/>
        <v>203.36507936507937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f t="shared" si="16"/>
        <v>310.2284263959391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f t="shared" si="16"/>
        <v>395.31818181818181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f t="shared" si="16"/>
        <v>294.71428571428572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f t="shared" si="16"/>
        <v>33.89473684210526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f t="shared" si="16"/>
        <v>66.677083333333329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f t="shared" si="16"/>
        <v>19.227272727272727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f t="shared" si="16"/>
        <v>15.842105263157896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f t="shared" si="16"/>
        <v>38.702380952380949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f t="shared" si="16"/>
        <v>9.5876777251184837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f t="shared" ref="G323:G386" si="20">100*E323/D323</f>
        <v>94.144366197183103</v>
      </c>
      <c r="H323">
        <v>2468</v>
      </c>
      <c r="I323" s="5">
        <f t="shared" ref="I323:I386" si="21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L323 / (86400) + DATE(1970, 1, 1)</f>
        <v>40634.208333333336</v>
      </c>
      <c r="O323" s="8">
        <f t="shared" ref="O323:O386" si="23">M323 / (86400) + DATE(1970, 1, 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f t="shared" si="20"/>
        <v>166.56234096692111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f t="shared" si="20"/>
        <v>24.134831460674157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f t="shared" si="20"/>
        <v>164.05633802816902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f t="shared" si="20"/>
        <v>90.723076923076917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f t="shared" si="20"/>
        <v>46.194444444444443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f t="shared" si="20"/>
        <v>38.53846153846154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f t="shared" si="20"/>
        <v>133.56231003039514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f t="shared" si="20"/>
        <v>22.896588486140725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f t="shared" si="20"/>
        <v>184.95548961424333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f t="shared" si="20"/>
        <v>443.72727272727275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f t="shared" si="20"/>
        <v>199.98067632850243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f t="shared" si="20"/>
        <v>123.95833333333333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f t="shared" si="20"/>
        <v>186.61329305135951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f t="shared" si="20"/>
        <v>114.28538550057537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f t="shared" si="20"/>
        <v>97.032531824611027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f t="shared" si="20"/>
        <v>122.81904761904762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f t="shared" si="20"/>
        <v>179.14326647564471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f t="shared" si="20"/>
        <v>79.951577402787962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f t="shared" si="20"/>
        <v>94.242587601078171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f t="shared" si="20"/>
        <v>84.669291338582681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f t="shared" si="20"/>
        <v>66.521920668058456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f t="shared" si="20"/>
        <v>53.922222222222224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f t="shared" si="20"/>
        <v>41.983299595141702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f t="shared" si="20"/>
        <v>14.694796954314722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f t="shared" si="20"/>
        <v>34.475000000000001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f t="shared" si="20"/>
        <v>1400.7777777777778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f t="shared" si="20"/>
        <v>71.770351758793964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f t="shared" si="20"/>
        <v>53.07411504424779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f t="shared" si="20"/>
        <v>5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f t="shared" si="20"/>
        <v>127.70715249662618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f t="shared" si="20"/>
        <v>34.892857142857146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f t="shared" si="20"/>
        <v>410.59821428571428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f t="shared" si="20"/>
        <v>123.73770491803279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f t="shared" si="20"/>
        <v>58.973684210526315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f t="shared" si="20"/>
        <v>36.892473118279568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f t="shared" si="20"/>
        <v>184.91304347826087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f t="shared" si="20"/>
        <v>11.814432989690722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f t="shared" si="20"/>
        <v>298.7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f t="shared" si="20"/>
        <v>226.35175879396985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f t="shared" si="20"/>
        <v>173.56363636363636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f t="shared" si="20"/>
        <v>371.75675675675677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f t="shared" si="20"/>
        <v>160.19230769230768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f t="shared" si="20"/>
        <v>1616.3333333333333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f t="shared" si="20"/>
        <v>733.4375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f t="shared" si="20"/>
        <v>592.11111111111109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f t="shared" si="20"/>
        <v>18.888888888888889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f t="shared" si="20"/>
        <v>276.80769230769232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f t="shared" si="20"/>
        <v>273.01851851851853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f t="shared" si="20"/>
        <v>159.36331255565449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f t="shared" si="20"/>
        <v>67.869978858350947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f t="shared" si="20"/>
        <v>1591.5555555555557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f t="shared" si="20"/>
        <v>730.18222222222221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f t="shared" si="20"/>
        <v>13.185782556750299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f t="shared" si="20"/>
        <v>54.777777777777779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f t="shared" si="20"/>
        <v>361.02941176470586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f t="shared" si="20"/>
        <v>10.257545271629779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f t="shared" si="20"/>
        <v>13.962962962962964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f t="shared" si="20"/>
        <v>40.444444444444443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f t="shared" si="20"/>
        <v>160.32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f t="shared" si="20"/>
        <v>183.9433962264151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f t="shared" si="20"/>
        <v>63.769230769230766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f t="shared" si="20"/>
        <v>225.38095238095238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f t="shared" si="20"/>
        <v>172.00961538461539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f t="shared" ref="G387:G450" si="24">100*E387/D387</f>
        <v>146.16709511568124</v>
      </c>
      <c r="H387">
        <v>1137</v>
      </c>
      <c r="I387" s="5">
        <f t="shared" ref="I387:I450" si="25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L387 / (86400) + DATE(1970, 1, 1)</f>
        <v>43553.208333333328</v>
      </c>
      <c r="O387" s="8">
        <f t="shared" ref="O387:O450" si="27">M387 / (86400) + DATE(1970, 1, 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f t="shared" si="24"/>
        <v>76.42361623616236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f t="shared" si="24"/>
        <v>39.261467889908253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f t="shared" si="24"/>
        <v>11.270034843205575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f t="shared" si="24"/>
        <v>122.11084337349398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f t="shared" si="24"/>
        <v>186.54166666666666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f t="shared" si="24"/>
        <v>7.2731788079470201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f t="shared" si="24"/>
        <v>65.642371234207971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f t="shared" si="24"/>
        <v>228.96178343949043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f t="shared" si="24"/>
        <v>469.375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f t="shared" si="24"/>
        <v>130.11267605633802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f t="shared" si="24"/>
        <v>167.05422993492408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f t="shared" si="24"/>
        <v>173.8641975308642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f t="shared" si="24"/>
        <v>717.76470588235293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f t="shared" si="24"/>
        <v>63.850976361767728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f t="shared" si="24"/>
        <v>2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f t="shared" si="24"/>
        <v>1530.2222222222222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f t="shared" si="24"/>
        <v>40.356164383561641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f t="shared" si="24"/>
        <v>86.220633299284984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f t="shared" si="24"/>
        <v>315.58486707566465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f t="shared" si="24"/>
        <v>89.618243243243242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f t="shared" si="24"/>
        <v>182.14503816793894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f t="shared" si="24"/>
        <v>355.88235294117646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f t="shared" si="24"/>
        <v>131.83695652173913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f t="shared" si="24"/>
        <v>46.315634218289084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f t="shared" si="24"/>
        <v>36.132726089785294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f t="shared" si="24"/>
        <v>104.62820512820512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f t="shared" si="24"/>
        <v>668.85714285714289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f t="shared" si="24"/>
        <v>62.072823218997364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f t="shared" si="24"/>
        <v>84.699787460148784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f t="shared" si="24"/>
        <v>11.059030837004405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f t="shared" si="24"/>
        <v>43.838781575037146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f t="shared" si="24"/>
        <v>55.470588235294116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f t="shared" si="24"/>
        <v>57.399511301160658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f t="shared" si="24"/>
        <v>123.43497363796133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f t="shared" si="24"/>
        <v>128.46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f t="shared" si="24"/>
        <v>63.98936170212766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f t="shared" si="24"/>
        <v>127.29885057471265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f t="shared" si="24"/>
        <v>10.638024357239512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f t="shared" si="24"/>
        <v>40.470588235294116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f t="shared" si="24"/>
        <v>287.66666666666669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f t="shared" si="24"/>
        <v>572.94444444444446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f t="shared" si="24"/>
        <v>112.90429799426934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f t="shared" si="24"/>
        <v>46.387573964497044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f t="shared" si="24"/>
        <v>90.675916230366497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f t="shared" si="24"/>
        <v>67.740740740740748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f t="shared" si="24"/>
        <v>192.49019607843138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f t="shared" si="24"/>
        <v>82.714285714285708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f t="shared" si="24"/>
        <v>54.163920922570014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f t="shared" si="24"/>
        <v>16.722222222222221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f t="shared" si="24"/>
        <v>116.87664041994751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f t="shared" si="24"/>
        <v>1052.1538461538462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f t="shared" si="24"/>
        <v>123.07407407407408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f t="shared" si="24"/>
        <v>178.63855421686748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f t="shared" si="24"/>
        <v>355.28169014084506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f t="shared" si="24"/>
        <v>161.90634146341463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f t="shared" si="24"/>
        <v>24.914285714285715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f t="shared" si="24"/>
        <v>198.72222222222223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f t="shared" si="24"/>
        <v>34.752688172043008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f t="shared" si="24"/>
        <v>176.41935483870967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f t="shared" si="24"/>
        <v>511.38095238095241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f t="shared" si="24"/>
        <v>82.044117647058826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f t="shared" si="24"/>
        <v>24.326030927835053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f t="shared" si="24"/>
        <v>50.482758620689658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f t="shared" ref="G451:G514" si="28">100*E451/D451</f>
        <v>967</v>
      </c>
      <c r="H451">
        <v>86</v>
      </c>
      <c r="I451" s="5">
        <f t="shared" ref="I451:I514" si="29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L451 / (86400) + DATE(1970, 1, 1)</f>
        <v>43530.25</v>
      </c>
      <c r="O451" s="8">
        <f t="shared" ref="O451:O514" si="31">M451 / (86400) + DATE(1970, 1, 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f t="shared" si="28"/>
        <v>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f t="shared" si="28"/>
        <v>122.84501347708895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f t="shared" si="28"/>
        <v>63.4375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f t="shared" si="28"/>
        <v>56.331688596491226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f t="shared" si="28"/>
        <v>44.075000000000003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f t="shared" si="28"/>
        <v>118.37253218884121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f t="shared" si="28"/>
        <v>104.1243169398907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f t="shared" si="28"/>
        <v>26.64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f t="shared" si="28"/>
        <v>351.20118343195264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f t="shared" si="28"/>
        <v>90.063492063492063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f t="shared" si="28"/>
        <v>171.625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f t="shared" si="28"/>
        <v>141.04655870445345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f t="shared" si="28"/>
        <v>30.579449152542374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f t="shared" si="28"/>
        <v>108.16455696202532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f t="shared" si="28"/>
        <v>133.45505617977528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f t="shared" si="28"/>
        <v>187.85106382978722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f t="shared" si="28"/>
        <v>332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f t="shared" si="28"/>
        <v>575.21428571428567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f t="shared" si="28"/>
        <v>40.5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f t="shared" si="28"/>
        <v>184.42857142857142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f t="shared" si="28"/>
        <v>285.80555555555554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f t="shared" si="28"/>
        <v>319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f t="shared" si="28"/>
        <v>39.234070221066318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f t="shared" si="28"/>
        <v>178.14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f t="shared" si="28"/>
        <v>365.15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f t="shared" si="28"/>
        <v>113.94594594594595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f t="shared" si="28"/>
        <v>29.828720626631853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f t="shared" si="28"/>
        <v>54.27058823529412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f t="shared" si="28"/>
        <v>236.34156976744185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f t="shared" si="28"/>
        <v>512.91666666666663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f t="shared" si="28"/>
        <v>100.65116279069767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f t="shared" si="28"/>
        <v>81.348423194303152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f t="shared" si="28"/>
        <v>16.404761904761905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f t="shared" si="28"/>
        <v>52.774617067833695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f t="shared" si="28"/>
        <v>260.20608108108109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f t="shared" si="28"/>
        <v>30.73289183222958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f t="shared" si="28"/>
        <v>13.5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f t="shared" si="28"/>
        <v>178.62556663644605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f t="shared" si="28"/>
        <v>220.0566037735849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f t="shared" si="28"/>
        <v>101.51086956521739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f t="shared" si="28"/>
        <v>191.5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f t="shared" si="28"/>
        <v>305.34683098591552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f t="shared" si="28"/>
        <v>23.995287958115185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f t="shared" si="28"/>
        <v>723.77777777777783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f t="shared" si="28"/>
        <v>547.36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f t="shared" si="28"/>
        <v>414.5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f t="shared" si="28"/>
        <v>0.90696409140369971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f t="shared" si="28"/>
        <v>34.173469387755105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f t="shared" si="28"/>
        <v>23.948810754912099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f t="shared" si="28"/>
        <v>48.072649572649574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f t="shared" si="28"/>
        <v>0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f t="shared" si="28"/>
        <v>70.145182291666671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f t="shared" si="28"/>
        <v>529.92307692307691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f t="shared" si="28"/>
        <v>180.32549019607842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f t="shared" si="28"/>
        <v>92.32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f t="shared" si="28"/>
        <v>13.901001112347052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f t="shared" si="28"/>
        <v>927.07777777777778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f t="shared" si="28"/>
        <v>39.857142857142854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f t="shared" si="28"/>
        <v>112.22929936305732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f t="shared" si="28"/>
        <v>70.925816023738875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f t="shared" si="28"/>
        <v>119.08974358974359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f t="shared" si="28"/>
        <v>24.017591339648174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f t="shared" si="28"/>
        <v>139.31868131868131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f t="shared" ref="G515:G578" si="32">100*E515/D515</f>
        <v>39.277108433734938</v>
      </c>
      <c r="H515">
        <v>35</v>
      </c>
      <c r="I515" s="5">
        <f t="shared" ref="I515:I578" si="33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L515 / (86400) + DATE(1970, 1, 1)</f>
        <v>40430.208333333336</v>
      </c>
      <c r="O515" s="8">
        <f t="shared" ref="O515:O578" si="35">M515 / (86400) + DATE(1970, 1, 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f t="shared" si="32"/>
        <v>22.439077144917086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f t="shared" si="32"/>
        <v>55.779069767441861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f t="shared" si="32"/>
        <v>42.523125996810208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f t="shared" si="32"/>
        <v>112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f t="shared" si="32"/>
        <v>7.0681818181818183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f t="shared" si="32"/>
        <v>101.74563871693866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f t="shared" si="32"/>
        <v>425.75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f t="shared" si="32"/>
        <v>145.53947368421052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f t="shared" si="32"/>
        <v>32.453465346534657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f t="shared" si="32"/>
        <v>700.33333333333337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f t="shared" si="32"/>
        <v>83.904860392967947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f t="shared" si="32"/>
        <v>84.19047619047619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f t="shared" si="32"/>
        <v>155.95180722891567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f t="shared" si="32"/>
        <v>99.619450317124731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f t="shared" si="32"/>
        <v>80.3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f t="shared" si="32"/>
        <v>11.254901960784315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f t="shared" si="32"/>
        <v>91.740952380952379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f t="shared" si="32"/>
        <v>95.521156936261377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f t="shared" si="32"/>
        <v>502.875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f t="shared" si="32"/>
        <v>159.24394463667821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f t="shared" si="32"/>
        <v>15.022446689113355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f t="shared" si="32"/>
        <v>482.03846153846155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f t="shared" si="32"/>
        <v>149.96938775510205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f t="shared" si="32"/>
        <v>117.22156398104265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f t="shared" si="32"/>
        <v>37.695968274950431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f t="shared" si="32"/>
        <v>72.65306122448979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f t="shared" si="32"/>
        <v>265.98113207547169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f t="shared" si="32"/>
        <v>24.205617977528089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f t="shared" si="32"/>
        <v>2.5064935064935066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f t="shared" si="32"/>
        <v>16.329799764428738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f t="shared" si="32"/>
        <v>276.5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f t="shared" si="32"/>
        <v>88.803571428571431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f t="shared" si="32"/>
        <v>163.57142857142858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f t="shared" si="32"/>
        <v>969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f t="shared" si="32"/>
        <v>270.91376701966715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f t="shared" si="32"/>
        <v>284.21355932203392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f t="shared" si="32"/>
        <v>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f t="shared" si="32"/>
        <v>58.6329816768462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f t="shared" si="32"/>
        <v>98.511111111111106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f t="shared" si="32"/>
        <v>43.975381008206334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f t="shared" si="32"/>
        <v>151.66315789473686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f t="shared" si="32"/>
        <v>223.63492063492063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f t="shared" si="32"/>
        <v>239.75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f t="shared" si="32"/>
        <v>199.33333333333334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f t="shared" si="32"/>
        <v>137.34482758620689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f t="shared" si="32"/>
        <v>100.96961063627731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f t="shared" si="32"/>
        <v>794.16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f t="shared" si="32"/>
        <v>369.7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f t="shared" si="32"/>
        <v>12.818181818181818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f t="shared" si="32"/>
        <v>138.02702702702703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f t="shared" si="32"/>
        <v>83.813278008298752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f t="shared" si="32"/>
        <v>204.60063224446787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f t="shared" si="32"/>
        <v>44.344086021505376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f t="shared" si="32"/>
        <v>218.60294117647058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f t="shared" si="32"/>
        <v>186.03314917127071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f t="shared" si="32"/>
        <v>237.33830845771143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f t="shared" si="32"/>
        <v>305.65384615384613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f t="shared" si="32"/>
        <v>94.142857142857139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f t="shared" si="32"/>
        <v>54.4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f t="shared" si="32"/>
        <v>111.88059701492537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f t="shared" si="32"/>
        <v>369.14814814814815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f t="shared" si="32"/>
        <v>62.930372148859547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f t="shared" si="32"/>
        <v>64.927835051546396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f t="shared" ref="G579:G642" si="36">100*E579/D579</f>
        <v>18.853658536585368</v>
      </c>
      <c r="H579">
        <v>37</v>
      </c>
      <c r="I579" s="5">
        <f t="shared" ref="I579:I642" si="37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L579 / (86400) + DATE(1970, 1, 1)</f>
        <v>40613.25</v>
      </c>
      <c r="O579" s="8">
        <f t="shared" ref="O579:O642" si="39">M579 / (86400) + DATE(1970, 1, 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f t="shared" si="36"/>
        <v>16.754404145077721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f t="shared" si="36"/>
        <v>101.11290322580645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f t="shared" si="36"/>
        <v>341.50228310502285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f t="shared" si="36"/>
        <v>64.016666666666666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f t="shared" si="36"/>
        <v>52.080459770114942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f t="shared" si="36"/>
        <v>322.40211640211641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f t="shared" si="36"/>
        <v>119.50810185185185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f t="shared" si="36"/>
        <v>146.79775280898878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f t="shared" si="36"/>
        <v>950.57142857142856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f t="shared" si="36"/>
        <v>72.893617021276597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f t="shared" si="36"/>
        <v>79.008248730964468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f t="shared" si="36"/>
        <v>64.721518987341767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f t="shared" si="36"/>
        <v>82.028169014084511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f t="shared" si="36"/>
        <v>1037.6666666666667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f t="shared" si="36"/>
        <v>12.910076530612244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f t="shared" si="36"/>
        <v>154.84210526315789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f t="shared" si="36"/>
        <v>7.0991735537190079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f t="shared" si="36"/>
        <v>208.52773826458036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f t="shared" si="36"/>
        <v>99.683544303797461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f t="shared" si="36"/>
        <v>201.59756097560975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f t="shared" si="36"/>
        <v>162.09032258064516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f t="shared" si="36"/>
        <v>3.6436208125445475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f t="shared" si="36"/>
        <v>5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f t="shared" si="36"/>
        <v>206.63492063492063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f t="shared" si="36"/>
        <v>128.23628691983123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f t="shared" si="36"/>
        <v>119.66037735849056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f t="shared" si="36"/>
        <v>170.73055242390078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f t="shared" si="36"/>
        <v>187.21212121212122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f t="shared" si="36"/>
        <v>188.38235294117646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f t="shared" si="36"/>
        <v>131.29869186046511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f t="shared" si="36"/>
        <v>283.97435897435895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f t="shared" si="36"/>
        <v>120.42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f t="shared" si="36"/>
        <v>419.05607476635515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f t="shared" si="36"/>
        <v>13.853658536585366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f t="shared" si="36"/>
        <v>139.43548387096774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f t="shared" si="36"/>
        <v>174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f t="shared" si="36"/>
        <v>155.49056603773585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f t="shared" si="36"/>
        <v>170.4470588235294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f t="shared" si="36"/>
        <v>189.515625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f t="shared" si="36"/>
        <v>249.71428571428572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f t="shared" si="36"/>
        <v>48.86052366565962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f t="shared" si="36"/>
        <v>28.461970393057683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f t="shared" si="36"/>
        <v>268.02325581395348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f t="shared" si="36"/>
        <v>619.80078125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f t="shared" si="36"/>
        <v>3.1301587301587301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f t="shared" si="36"/>
        <v>159.92152704135736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f t="shared" si="36"/>
        <v>279.39215686274508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f t="shared" si="36"/>
        <v>77.373333333333335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f t="shared" si="36"/>
        <v>206.328125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f t="shared" si="36"/>
        <v>694.25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f t="shared" si="36"/>
        <v>151.78947368421052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f t="shared" si="36"/>
        <v>64.582072176949936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f t="shared" si="36"/>
        <v>62.873684210526314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f t="shared" si="36"/>
        <v>310.39864864864865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f t="shared" si="36"/>
        <v>42.859916782246877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f t="shared" si="36"/>
        <v>83.119402985074629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f t="shared" si="36"/>
        <v>78.531302876480538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f t="shared" si="36"/>
        <v>114.09352517985612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f t="shared" si="36"/>
        <v>64.537683358624179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f t="shared" si="36"/>
        <v>79.411764705882348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f t="shared" si="36"/>
        <v>11.419117647058824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f t="shared" si="36"/>
        <v>56.186046511627907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f t="shared" si="36"/>
        <v>16.501669449081803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f t="shared" ref="G643:G706" si="40">100*E643/D643</f>
        <v>119.96808510638297</v>
      </c>
      <c r="H643">
        <v>194</v>
      </c>
      <c r="I643" s="5">
        <f t="shared" ref="I643:I706" si="41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L643 / (86400) + DATE(1970, 1, 1)</f>
        <v>42786.25</v>
      </c>
      <c r="O643" s="8">
        <f t="shared" ref="O643:O706" si="43">M643 / (86400) + DATE(1970, 1, 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f t="shared" si="40"/>
        <v>145.45652173913044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f t="shared" si="40"/>
        <v>221.38255033557047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f t="shared" si="40"/>
        <v>48.396694214876035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f t="shared" si="40"/>
        <v>92.911504424778755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f t="shared" si="40"/>
        <v>88.59979736575481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f t="shared" si="40"/>
        <v>41.4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f t="shared" si="40"/>
        <v>63.056795131845838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f t="shared" si="40"/>
        <v>48.482333607230899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f t="shared" si="40"/>
        <v>2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f t="shared" si="40"/>
        <v>88.47941026944585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f t="shared" si="40"/>
        <v>126.84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f t="shared" si="40"/>
        <v>2338.8333333333335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f t="shared" si="40"/>
        <v>508.38857142857142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f t="shared" si="40"/>
        <v>191.47826086956522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f t="shared" si="40"/>
        <v>42.127533783783782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f t="shared" si="40"/>
        <v>8.24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f t="shared" si="40"/>
        <v>60.064638783269963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f t="shared" si="40"/>
        <v>47.232808616404306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f t="shared" si="40"/>
        <v>81.736263736263737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f t="shared" si="40"/>
        <v>54.187265917602993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f t="shared" si="40"/>
        <v>97.868131868131869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f t="shared" si="40"/>
        <v>77.239999999999995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f t="shared" si="40"/>
        <v>33.464735516372798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f t="shared" si="40"/>
        <v>239.58823529411765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f t="shared" si="40"/>
        <v>64.032258064516128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f t="shared" si="40"/>
        <v>176.15942028985506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f t="shared" si="40"/>
        <v>20.33818181818182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f t="shared" si="40"/>
        <v>358.64754098360658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f t="shared" si="40"/>
        <v>468.85802469135803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f t="shared" si="40"/>
        <v>122.0563524590164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f t="shared" si="40"/>
        <v>55.931783729156137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f t="shared" si="40"/>
        <v>43.660714285714285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f t="shared" si="40"/>
        <v>33.538371411833623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f t="shared" si="40"/>
        <v>122.97938144329896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f t="shared" si="40"/>
        <v>189.74959871589084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f t="shared" si="40"/>
        <v>83.622641509433961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f t="shared" si="40"/>
        <v>17.968844221105527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f t="shared" si="40"/>
        <v>1036.5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f t="shared" si="40"/>
        <v>97.405219780219781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f t="shared" si="40"/>
        <v>86.386203150461711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f t="shared" si="40"/>
        <v>150.16666666666666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f t="shared" si="40"/>
        <v>358.43478260869563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f t="shared" si="40"/>
        <v>542.85714285714289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f t="shared" si="40"/>
        <v>67.500714285714281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f t="shared" si="40"/>
        <v>191.74666666666667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f t="shared" si="40"/>
        <v>932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f t="shared" si="40"/>
        <v>429.27586206896552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f t="shared" si="40"/>
        <v>100.65753424657534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f t="shared" si="40"/>
        <v>226.61111111111111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f t="shared" si="40"/>
        <v>142.38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f t="shared" si="40"/>
        <v>90.63333333333334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f t="shared" si="40"/>
        <v>63.966740576496676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f t="shared" si="40"/>
        <v>84.131868131868131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f t="shared" si="40"/>
        <v>133.93478260869566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f t="shared" si="40"/>
        <v>59.042047531992687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f t="shared" si="40"/>
        <v>152.80062063615205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f t="shared" si="40"/>
        <v>446.69121140142516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f t="shared" si="40"/>
        <v>84.391891891891888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f t="shared" si="40"/>
        <v>3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f t="shared" si="40"/>
        <v>175.02692307692308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f t="shared" si="40"/>
        <v>54.137931034482762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f t="shared" si="40"/>
        <v>311.87381703470032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f t="shared" si="40"/>
        <v>122.7816091954023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f t="shared" ref="G707:G770" si="44">100*E707/D707</f>
        <v>99.026517383618156</v>
      </c>
      <c r="H707">
        <v>2025</v>
      </c>
      <c r="I707" s="5">
        <f t="shared" ref="I707:I770" si="45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L707 / (86400) + DATE(1970, 1, 1)</f>
        <v>41619.25</v>
      </c>
      <c r="O707" s="8">
        <f t="shared" ref="O707:O770" si="47">M707 / (86400) + DATE(1970, 1, 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f t="shared" si="44"/>
        <v>127.84686346863468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f t="shared" si="44"/>
        <v>158.61643835616439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f t="shared" si="44"/>
        <v>707.05882352941171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f t="shared" si="44"/>
        <v>142.38775510204081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f t="shared" si="44"/>
        <v>147.86046511627907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f t="shared" si="44"/>
        <v>20.322580645161292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f t="shared" si="44"/>
        <v>1840.625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f t="shared" si="44"/>
        <v>161.94202898550725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f t="shared" si="44"/>
        <v>472.82077922077923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f t="shared" si="44"/>
        <v>24.466101694915253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f t="shared" si="44"/>
        <v>517.65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f t="shared" si="44"/>
        <v>247.64285714285714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f t="shared" si="44"/>
        <v>100.20481927710843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f t="shared" si="44"/>
        <v>153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f t="shared" si="44"/>
        <v>37.091954022988503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f t="shared" si="44"/>
        <v>4.3923948220064721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f t="shared" si="44"/>
        <v>156.50721649484535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f t="shared" si="44"/>
        <v>270.40816326530614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f t="shared" si="44"/>
        <v>134.0595238095238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f t="shared" si="44"/>
        <v>50.398033126293996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f t="shared" si="44"/>
        <v>88.815837937384899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f t="shared" si="44"/>
        <v>165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f t="shared" si="44"/>
        <v>17.5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f t="shared" si="44"/>
        <v>185.66071428571428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f t="shared" si="44"/>
        <v>412.66319444444446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f t="shared" si="44"/>
        <v>90.25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f t="shared" si="44"/>
        <v>91.984615384615381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f t="shared" si="44"/>
        <v>527.00632911392404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f t="shared" si="44"/>
        <v>319.14285714285717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f t="shared" si="44"/>
        <v>354.18867924528303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f t="shared" si="44"/>
        <v>32.896103896103895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f t="shared" si="44"/>
        <v>135.8918918918919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f t="shared" si="44"/>
        <v>2.0843373493975905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f t="shared" si="44"/>
        <v>61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f t="shared" si="44"/>
        <v>30.037735849056602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f t="shared" si="44"/>
        <v>1179.1666666666667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f t="shared" si="44"/>
        <v>1126.0833333333333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f t="shared" si="44"/>
        <v>12.923076923076923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f t="shared" si="44"/>
        <v>712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f t="shared" si="44"/>
        <v>30.304347826086957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f t="shared" si="44"/>
        <v>212.50896057347671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f t="shared" si="44"/>
        <v>228.85714285714286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f t="shared" si="44"/>
        <v>34.959979476654695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f t="shared" si="44"/>
        <v>157.2906976744186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f t="shared" si="44"/>
        <v>1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f t="shared" si="44"/>
        <v>232.30555555555554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f t="shared" si="44"/>
        <v>92.448275862068968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f t="shared" si="44"/>
        <v>256.70212765957444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f t="shared" si="44"/>
        <v>168.47017045454547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f t="shared" si="44"/>
        <v>166.57777777777778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f t="shared" si="44"/>
        <v>772.07692307692309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f t="shared" si="44"/>
        <v>406.85714285714283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f t="shared" si="44"/>
        <v>564.20608108108104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f t="shared" si="44"/>
        <v>68.426865671641792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f t="shared" si="44"/>
        <v>34.351966873706004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f t="shared" si="44"/>
        <v>655.4545454545455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f t="shared" si="44"/>
        <v>177.25714285714287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f t="shared" si="44"/>
        <v>113.17857142857143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f t="shared" si="44"/>
        <v>728.18181818181813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f t="shared" si="44"/>
        <v>208.33333333333334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f t="shared" si="44"/>
        <v>31.171232876712327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f t="shared" si="44"/>
        <v>56.967078189300409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f t="shared" si="44"/>
        <v>231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f t="shared" ref="G771:G834" si="48">100*E771/D771</f>
        <v>86.867834394904463</v>
      </c>
      <c r="H771">
        <v>3410</v>
      </c>
      <c r="I771" s="5">
        <f t="shared" ref="I771:I834" si="49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L771 / (86400) + DATE(1970, 1, 1)</f>
        <v>41501.208333333336</v>
      </c>
      <c r="O771" s="8">
        <f t="shared" ref="O771:O834" si="51">M771 / (86400) + DATE(1970, 1, 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f t="shared" si="48"/>
        <v>270.74418604651163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f t="shared" si="48"/>
        <v>49.446428571428569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f t="shared" si="48"/>
        <v>113.3596256684492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f t="shared" si="48"/>
        <v>190.55555555555554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f t="shared" si="48"/>
        <v>135.5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f t="shared" si="48"/>
        <v>10.297872340425531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f t="shared" si="48"/>
        <v>65.544223826714799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f t="shared" si="48"/>
        <v>49.026652452025587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f t="shared" si="48"/>
        <v>787.92307692307691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f t="shared" si="48"/>
        <v>80.306347746090154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f t="shared" si="48"/>
        <v>106.29411764705883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f t="shared" si="48"/>
        <v>50.735632183908045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f t="shared" si="48"/>
        <v>215.31372549019608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f t="shared" si="48"/>
        <v>141.22972972972974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f t="shared" si="48"/>
        <v>115.33745781777277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f t="shared" si="48"/>
        <v>193.11940298507463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f t="shared" si="48"/>
        <v>729.73333333333335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f t="shared" si="48"/>
        <v>99.66339869281046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f t="shared" si="48"/>
        <v>88.166666666666671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f t="shared" si="48"/>
        <v>37.233333333333334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f t="shared" si="48"/>
        <v>30.540075309306079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f t="shared" si="48"/>
        <v>25.714285714285715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f t="shared" si="48"/>
        <v>34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f t="shared" si="48"/>
        <v>1185.909090909091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f t="shared" si="48"/>
        <v>125.39393939393939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f t="shared" si="48"/>
        <v>14.394366197183098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f t="shared" si="48"/>
        <v>54.807692307692307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f t="shared" si="48"/>
        <v>109.63157894736842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f t="shared" si="48"/>
        <v>188.47058823529412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f t="shared" si="48"/>
        <v>87.008284023668637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f t="shared" si="48"/>
        <v>1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f t="shared" si="48"/>
        <v>202.91304347826087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f t="shared" si="48"/>
        <v>197.03225806451613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f t="shared" si="48"/>
        <v>107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f t="shared" si="48"/>
        <v>268.73076923076923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f t="shared" si="48"/>
        <v>50.845360824742265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f t="shared" si="48"/>
        <v>1180.2857142857142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f t="shared" si="48"/>
        <v>264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f t="shared" si="48"/>
        <v>30.442307692307693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f t="shared" si="48"/>
        <v>62.88068181818182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f t="shared" si="48"/>
        <v>193.125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f t="shared" si="48"/>
        <v>77.1027027027027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f t="shared" si="48"/>
        <v>225.52763819095478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f t="shared" si="48"/>
        <v>239.40625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f t="shared" si="48"/>
        <v>92.1875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f t="shared" si="48"/>
        <v>130.23333333333332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f t="shared" si="48"/>
        <v>615.21739130434787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f t="shared" si="48"/>
        <v>368.79532163742692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f t="shared" si="48"/>
        <v>1094.8571428571429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f t="shared" si="48"/>
        <v>50.662921348314605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f t="shared" si="48"/>
        <v>800.6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f t="shared" si="48"/>
        <v>291.28571428571428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f t="shared" si="48"/>
        <v>349.96666666666664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f t="shared" si="48"/>
        <v>357.07317073170731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f t="shared" si="48"/>
        <v>126.48941176470588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f t="shared" si="48"/>
        <v>387.5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f t="shared" si="48"/>
        <v>457.03571428571428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f t="shared" si="48"/>
        <v>266.69565217391306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f t="shared" si="48"/>
        <v>69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f t="shared" si="48"/>
        <v>51.34375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f t="shared" si="48"/>
        <v>1.1710526315789473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f t="shared" si="48"/>
        <v>108.97734294541709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f t="shared" si="48"/>
        <v>315.17592592592592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f t="shared" ref="G835:G898" si="52">100*E835/D835</f>
        <v>157.69117647058823</v>
      </c>
      <c r="H835">
        <v>165</v>
      </c>
      <c r="I835" s="5">
        <f t="shared" ref="I835:I898" si="53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L835 / (86400) + DATE(1970, 1, 1)</f>
        <v>40588.25</v>
      </c>
      <c r="O835" s="8">
        <f t="shared" ref="O835:O898" si="55">M835 / (86400) + DATE(1970, 1, 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f t="shared" si="52"/>
        <v>153.8082191780822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f t="shared" si="52"/>
        <v>89.738979118329468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f t="shared" si="52"/>
        <v>75.135802469135797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f t="shared" si="52"/>
        <v>852.88135593220341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f t="shared" si="52"/>
        <v>138.90625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f t="shared" si="52"/>
        <v>190.18181818181819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f t="shared" si="52"/>
        <v>100.24333619948409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f t="shared" si="52"/>
        <v>142.75824175824175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f t="shared" si="52"/>
        <v>563.13333333333333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f t="shared" si="52"/>
        <v>30.71590909090909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f t="shared" si="52"/>
        <v>99.397727272727266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f t="shared" si="52"/>
        <v>197.54935622317598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f t="shared" si="52"/>
        <v>508.5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f t="shared" si="52"/>
        <v>237.74468085106383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f t="shared" si="52"/>
        <v>338.46875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f t="shared" si="52"/>
        <v>133.08955223880596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f t="shared" si="52"/>
        <v>1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f t="shared" si="52"/>
        <v>207.8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f t="shared" si="52"/>
        <v>51.122448979591837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f t="shared" si="52"/>
        <v>652.05847953216369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f t="shared" si="52"/>
        <v>113.63099415204678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f t="shared" si="52"/>
        <v>102.37606837606837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f t="shared" si="52"/>
        <v>356.58333333333331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f t="shared" si="52"/>
        <v>139.8679245283019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f t="shared" si="52"/>
        <v>69.45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f t="shared" si="52"/>
        <v>35.534246575342465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f t="shared" si="52"/>
        <v>251.65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f t="shared" si="52"/>
        <v>105.875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f t="shared" si="52"/>
        <v>187.42857142857142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f t="shared" si="52"/>
        <v>386.78571428571428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f t="shared" si="52"/>
        <v>347.07142857142856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f t="shared" si="52"/>
        <v>185.82098765432099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f t="shared" si="52"/>
        <v>43.241247264770237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f t="shared" si="52"/>
        <v>162.4375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f t="shared" si="52"/>
        <v>184.84285714285716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f t="shared" si="52"/>
        <v>23.703520691785052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f t="shared" si="52"/>
        <v>89.870129870129873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f t="shared" si="52"/>
        <v>272.6041958041958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f t="shared" si="52"/>
        <v>170.04255319148936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f t="shared" si="52"/>
        <v>188.28503562945369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f t="shared" si="52"/>
        <v>346.93532338308455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f t="shared" si="52"/>
        <v>69.177215189873422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f t="shared" si="52"/>
        <v>25.433734939759034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f t="shared" si="52"/>
        <v>77.400977995110026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f t="shared" si="52"/>
        <v>37.481481481481481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f t="shared" si="52"/>
        <v>543.79999999999995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f t="shared" si="52"/>
        <v>228.52189349112427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f t="shared" si="52"/>
        <v>38.948339483394832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f t="shared" si="52"/>
        <v>370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f t="shared" si="52"/>
        <v>237.91176470588235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f t="shared" si="52"/>
        <v>64.036299765807968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f t="shared" si="52"/>
        <v>118.27777777777777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f t="shared" si="52"/>
        <v>84.824037184594957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f t="shared" si="52"/>
        <v>29.346153846153847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f t="shared" si="52"/>
        <v>209.89655172413794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f t="shared" si="52"/>
        <v>169.78571428571428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f t="shared" si="52"/>
        <v>115.95907738095238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f t="shared" si="52"/>
        <v>258.60000000000002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f t="shared" si="52"/>
        <v>230.58333333333334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f t="shared" si="52"/>
        <v>128.21428571428572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f t="shared" si="52"/>
        <v>188.70588235294119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f t="shared" si="52"/>
        <v>6.9511889862327907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f t="shared" si="52"/>
        <v>774.43434343434342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f t="shared" ref="G899:G962" si="56">100*E899/D899</f>
        <v>27.693181818181817</v>
      </c>
      <c r="H899">
        <v>27</v>
      </c>
      <c r="I899" s="5">
        <f t="shared" ref="I899:I962" si="57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L899 / (86400) + DATE(1970, 1, 1)</f>
        <v>43583.208333333328</v>
      </c>
      <c r="O899" s="8">
        <f t="shared" ref="O899:O962" si="59">M899 / (86400) + DATE(1970, 1, 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f t="shared" si="56"/>
        <v>52.479620323841431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f t="shared" si="56"/>
        <v>407.09677419354841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f t="shared" si="56"/>
        <v>2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f t="shared" si="56"/>
        <v>156.17857142857142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f t="shared" si="56"/>
        <v>252.42857142857142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f t="shared" si="56"/>
        <v>1.7292682926829268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f t="shared" si="56"/>
        <v>12.23076923076923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f t="shared" si="56"/>
        <v>163.98734177215189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f t="shared" si="56"/>
        <v>162.98181818181817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f t="shared" si="56"/>
        <v>20.252747252747252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f t="shared" si="56"/>
        <v>319.24083769633506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f t="shared" si="56"/>
        <v>478.94444444444446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f t="shared" si="56"/>
        <v>19.556634304207119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f t="shared" si="56"/>
        <v>198.94827586206895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f t="shared" si="56"/>
        <v>795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f t="shared" si="56"/>
        <v>50.621082621082621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f t="shared" si="56"/>
        <v>57.4375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f t="shared" si="56"/>
        <v>155.62827640984909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f t="shared" si="56"/>
        <v>36.297297297297298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f t="shared" si="56"/>
        <v>58.25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f t="shared" si="56"/>
        <v>237.39473684210526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f t="shared" si="56"/>
        <v>58.75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f t="shared" si="56"/>
        <v>182.56603773584905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f t="shared" si="56"/>
        <v>0.75436408977556113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f t="shared" si="56"/>
        <v>175.95330739299609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f t="shared" si="56"/>
        <v>237.88235294117646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f t="shared" si="56"/>
        <v>488.05076142131981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f t="shared" si="56"/>
        <v>224.06666666666666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f t="shared" si="56"/>
        <v>18.126436781609197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f t="shared" si="56"/>
        <v>45.847222222222221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f t="shared" si="56"/>
        <v>117.31541218637993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f t="shared" si="56"/>
        <v>217.30909090909091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f t="shared" si="56"/>
        <v>112.28571428571429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f t="shared" si="56"/>
        <v>72.518987341772146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f t="shared" si="56"/>
        <v>212.30434782608697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f t="shared" si="56"/>
        <v>239.74657534246575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f t="shared" si="56"/>
        <v>181.93548387096774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f t="shared" si="56"/>
        <v>164.13114754098362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f t="shared" si="56"/>
        <v>1.6375968992248062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f t="shared" si="56"/>
        <v>49.64385964912281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f t="shared" si="56"/>
        <v>109.70652173913044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f t="shared" si="56"/>
        <v>49.217948717948715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f t="shared" si="56"/>
        <v>62.232323232323232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f t="shared" si="56"/>
        <v>13.05813953488372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f t="shared" si="56"/>
        <v>64.635416666666671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f t="shared" si="56"/>
        <v>159.58666666666667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f t="shared" si="56"/>
        <v>81.42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f t="shared" si="56"/>
        <v>32.444767441860463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f t="shared" si="56"/>
        <v>9.9141184124918666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f t="shared" si="56"/>
        <v>26.694444444444443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f t="shared" si="56"/>
        <v>62.957446808510639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f t="shared" si="56"/>
        <v>161.35593220338984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f t="shared" si="56"/>
        <v>5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f t="shared" si="56"/>
        <v>1096.9379310344827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f t="shared" si="56"/>
        <v>70.094158075601371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f t="shared" si="56"/>
        <v>60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f t="shared" si="56"/>
        <v>367.09859154929575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f t="shared" si="56"/>
        <v>1109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f t="shared" si="56"/>
        <v>19.028784648187631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f t="shared" si="56"/>
        <v>126.87755102040816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f t="shared" si="56"/>
        <v>734.63636363636363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f t="shared" si="56"/>
        <v>4.5731034482758623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f t="shared" si="56"/>
        <v>85.054545454545448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f t="shared" ref="G963:G1001" si="60">100*E963/D963</f>
        <v>119.29824561403508</v>
      </c>
      <c r="H963">
        <v>155</v>
      </c>
      <c r="I963" s="5">
        <f t="shared" ref="I963:I1001" si="61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L963 / (86400) + DATE(1970, 1, 1)</f>
        <v>40591.25</v>
      </c>
      <c r="O963" s="8">
        <f t="shared" ref="O963:O1001" si="63">M963 / (86400) + DATE(1970, 1, 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f t="shared" si="60"/>
        <v>296.02777777777777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f t="shared" si="60"/>
        <v>84.694915254237287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f t="shared" si="60"/>
        <v>355.7837837837838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f t="shared" si="60"/>
        <v>386.40909090909093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f t="shared" si="60"/>
        <v>792.23529411764707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f t="shared" si="60"/>
        <v>137.0339366515837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f t="shared" si="60"/>
        <v>338.20833333333331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f t="shared" si="60"/>
        <v>108.22784810126582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f t="shared" si="60"/>
        <v>60.757639620653322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f t="shared" si="60"/>
        <v>27.725490196078432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f t="shared" si="60"/>
        <v>228.39344262295083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f t="shared" si="60"/>
        <v>21.615194054500414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f t="shared" si="60"/>
        <v>373.875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f t="shared" si="60"/>
        <v>154.92592592592592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f t="shared" si="60"/>
        <v>322.14999999999998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f t="shared" si="60"/>
        <v>73.957142857142856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f t="shared" si="60"/>
        <v>864.1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f t="shared" si="60"/>
        <v>143.26245847176079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f t="shared" si="60"/>
        <v>40.281762295081968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f t="shared" si="60"/>
        <v>178.22388059701493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f t="shared" si="60"/>
        <v>84.930555555555557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f t="shared" si="60"/>
        <v>145.93648334624322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f t="shared" si="60"/>
        <v>152.46153846153845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f t="shared" si="60"/>
        <v>67.129542790152399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f t="shared" si="60"/>
        <v>40.307692307692307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f t="shared" si="60"/>
        <v>216.79032258064515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f t="shared" si="60"/>
        <v>52.117021276595743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f t="shared" si="60"/>
        <v>499.58333333333331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f t="shared" si="60"/>
        <v>87.679487179487182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f t="shared" si="60"/>
        <v>113.17346938775511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f t="shared" si="60"/>
        <v>426.54838709677421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f t="shared" si="60"/>
        <v>77.632653061224488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f t="shared" si="60"/>
        <v>52.496810772501775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f t="shared" si="60"/>
        <v>157.46762589928056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f t="shared" si="60"/>
        <v>72.939393939393938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f t="shared" si="60"/>
        <v>60.565789473684212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f t="shared" si="60"/>
        <v>56.791291291291294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f t="shared" si="60"/>
        <v>56.542754275427541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R1001" xr:uid="{00000000-0001-0000-0000-000000000000}"/>
  <conditionalFormatting sqref="F1:G1001 F1002:F1048576">
    <cfRule type="cellIs" dxfId="14" priority="12" operator="equal">
      <formula>$F$20</formula>
    </cfRule>
    <cfRule type="cellIs" dxfId="13" priority="13" operator="equal">
      <formula>$F$10</formula>
    </cfRule>
    <cfRule type="cellIs" dxfId="12" priority="14" operator="equal">
      <formula>$F$3</formula>
    </cfRule>
    <cfRule type="cellIs" dxfId="11" priority="15" operator="equal">
      <formula>$F$2</formula>
    </cfRule>
    <cfRule type="cellIs" dxfId="10" priority="16" operator="equal">
      <formula>"""failed"""</formula>
    </cfRule>
  </conditionalFormatting>
  <conditionalFormatting sqref="G1:G1001">
    <cfRule type="cellIs" dxfId="9" priority="8" operator="between">
      <formula>200</formula>
      <formula>1754</formula>
    </cfRule>
    <cfRule type="cellIs" dxfId="8" priority="9" operator="between">
      <formula>200</formula>
      <formula>1754</formula>
    </cfRule>
    <cfRule type="cellIs" dxfId="7" priority="10" operator="between">
      <formula>100</formula>
      <formula>199</formula>
    </cfRule>
    <cfRule type="cellIs" dxfId="6" priority="11" operator="between">
      <formula>0</formula>
      <formula>99</formula>
    </cfRule>
  </conditionalFormatting>
  <conditionalFormatting sqref="G2:G1001">
    <cfRule type="cellIs" dxfId="5" priority="1" operator="greaterThan">
      <formula>200</formula>
    </cfRule>
    <cfRule type="cellIs" dxfId="4" priority="2" operator="greaterThan">
      <formula>200</formula>
    </cfRule>
    <cfRule type="cellIs" dxfId="3" priority="3" operator="between">
      <formula>100</formula>
      <formula>199.99</formula>
    </cfRule>
    <cfRule type="cellIs" dxfId="2" priority="4" operator="between">
      <formula>100</formula>
      <formula>199.99</formula>
    </cfRule>
    <cfRule type="cellIs" dxfId="1" priority="5" operator="lessThanOrEqual">
      <formula>99.99</formula>
    </cfRule>
    <cfRule type="cellIs" dxfId="0" priority="6" operator="greaterThan">
      <formula>200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5908-D1E7-4F84-ACDB-73D0B351976E}">
  <dimension ref="A1:F14"/>
  <sheetViews>
    <sheetView zoomScale="70" zoomScaleNormal="70" workbookViewId="0"/>
  </sheetViews>
  <sheetFormatPr defaultRowHeight="15.75" x14ac:dyDescent="0.25"/>
  <cols>
    <col min="1" max="1" width="16.5" bestFit="1" customWidth="1"/>
    <col min="2" max="2" width="16" bestFit="1" customWidth="1"/>
    <col min="3" max="3" width="5.875" bestFit="1" customWidth="1"/>
    <col min="4" max="4" width="4.25" bestFit="1" customWidth="1"/>
    <col min="5" max="5" width="9.375" bestFit="1" customWidth="1"/>
    <col min="6" max="6" width="11" bestFit="1" customWidth="1"/>
  </cols>
  <sheetData>
    <row r="1" spans="1:6" x14ac:dyDescent="0.25">
      <c r="A1" s="6" t="s">
        <v>6</v>
      </c>
      <c r="B1" t="s">
        <v>2070</v>
      </c>
    </row>
    <row r="3" spans="1:6" x14ac:dyDescent="0.25">
      <c r="A3" s="6" t="s">
        <v>2069</v>
      </c>
      <c r="B3" s="6" t="s">
        <v>2068</v>
      </c>
    </row>
    <row r="4" spans="1:6" x14ac:dyDescent="0.2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2062</v>
      </c>
      <c r="E8">
        <v>4</v>
      </c>
      <c r="F8">
        <v>4</v>
      </c>
    </row>
    <row r="9" spans="1:6" x14ac:dyDescent="0.25">
      <c r="A9" s="7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AD52-ADC1-4B87-A4FE-E6C92A323625}">
  <dimension ref="A1:F30"/>
  <sheetViews>
    <sheetView zoomScale="70" zoomScaleNormal="70" workbookViewId="0"/>
  </sheetViews>
  <sheetFormatPr defaultRowHeight="15.75" x14ac:dyDescent="0.25"/>
  <cols>
    <col min="1" max="1" width="17.5" bestFit="1" customWidth="1"/>
    <col min="2" max="2" width="16" bestFit="1" customWidth="1"/>
    <col min="3" max="3" width="5.875" bestFit="1" customWidth="1"/>
    <col min="4" max="4" width="4.25" bestFit="1" customWidth="1"/>
    <col min="5" max="5" width="9.375" bestFit="1" customWidth="1"/>
    <col min="6" max="6" width="11" bestFit="1" customWidth="1"/>
    <col min="7" max="7" width="9.375" bestFit="1" customWidth="1"/>
    <col min="8" max="8" width="10.625" bestFit="1" customWidth="1"/>
    <col min="9" max="9" width="14.125" bestFit="1" customWidth="1"/>
    <col min="10" max="10" width="5.875" bestFit="1" customWidth="1"/>
    <col min="11" max="11" width="4.25" bestFit="1" customWidth="1"/>
    <col min="12" max="12" width="9.375" bestFit="1" customWidth="1"/>
    <col min="13" max="13" width="17.5" bestFit="1" customWidth="1"/>
    <col min="14" max="14" width="8.75" bestFit="1" customWidth="1"/>
    <col min="15" max="15" width="5.875" bestFit="1" customWidth="1"/>
    <col min="16" max="16" width="4.25" bestFit="1" customWidth="1"/>
    <col min="17" max="17" width="9.375" bestFit="1" customWidth="1"/>
    <col min="18" max="18" width="11.25" bestFit="1" customWidth="1"/>
    <col min="19" max="19" width="14.375" bestFit="1" customWidth="1"/>
    <col min="20" max="20" width="9.375" bestFit="1" customWidth="1"/>
    <col min="21" max="21" width="17.625" bestFit="1" customWidth="1"/>
    <col min="22" max="22" width="8.75" bestFit="1" customWidth="1"/>
    <col min="23" max="23" width="5.875" bestFit="1" customWidth="1"/>
    <col min="24" max="24" width="9.375" bestFit="1" customWidth="1"/>
    <col min="25" max="25" width="11.25" bestFit="1" customWidth="1"/>
    <col min="26" max="26" width="12.375" bestFit="1" customWidth="1"/>
    <col min="27" max="27" width="5.875" bestFit="1" customWidth="1"/>
    <col min="28" max="28" width="9.375" bestFit="1" customWidth="1"/>
    <col min="29" max="29" width="15.625" bestFit="1" customWidth="1"/>
    <col min="30" max="30" width="11.125" bestFit="1" customWidth="1"/>
    <col min="31" max="31" width="5.875" bestFit="1" customWidth="1"/>
    <col min="32" max="32" width="9.375" bestFit="1" customWidth="1"/>
    <col min="33" max="33" width="14.375" bestFit="1" customWidth="1"/>
    <col min="34" max="34" width="8.75" bestFit="1" customWidth="1"/>
    <col min="35" max="35" width="5.875" bestFit="1" customWidth="1"/>
    <col min="36" max="36" width="9.375" bestFit="1" customWidth="1"/>
    <col min="37" max="37" width="8.75" bestFit="1" customWidth="1"/>
    <col min="38" max="38" width="7.625" bestFit="1" customWidth="1"/>
    <col min="39" max="39" width="9.375" bestFit="1" customWidth="1"/>
    <col min="40" max="40" width="10.625" bestFit="1" customWidth="1"/>
    <col min="41" max="41" width="14.375" bestFit="1" customWidth="1"/>
    <col min="42" max="42" width="4.25" bestFit="1" customWidth="1"/>
    <col min="43" max="43" width="9.375" bestFit="1" customWidth="1"/>
    <col min="44" max="44" width="17.75" bestFit="1" customWidth="1"/>
    <col min="45" max="45" width="11.5" bestFit="1" customWidth="1"/>
    <col min="46" max="46" width="5.875" bestFit="1" customWidth="1"/>
    <col min="47" max="47" width="4.25" bestFit="1" customWidth="1"/>
    <col min="48" max="48" width="9.375" bestFit="1" customWidth="1"/>
    <col min="49" max="49" width="14.75" bestFit="1" customWidth="1"/>
    <col min="50" max="50" width="19.75" bestFit="1" customWidth="1"/>
    <col min="51" max="51" width="5.875" bestFit="1" customWidth="1"/>
    <col min="52" max="52" width="4.25" bestFit="1" customWidth="1"/>
    <col min="53" max="53" width="9.375" bestFit="1" customWidth="1"/>
    <col min="54" max="54" width="23" bestFit="1" customWidth="1"/>
    <col min="55" max="55" width="8.75" bestFit="1" customWidth="1"/>
    <col min="56" max="56" width="5.875" bestFit="1" customWidth="1"/>
    <col min="57" max="57" width="4.25" bestFit="1" customWidth="1"/>
    <col min="58" max="58" width="9.375" bestFit="1" customWidth="1"/>
    <col min="59" max="59" width="10.125" bestFit="1" customWidth="1"/>
    <col min="60" max="60" width="17.125" bestFit="1" customWidth="1"/>
    <col min="61" max="61" width="9.375" bestFit="1" customWidth="1"/>
    <col min="62" max="62" width="20.375" bestFit="1" customWidth="1"/>
    <col min="63" max="63" width="8.75" bestFit="1" customWidth="1"/>
    <col min="64" max="64" width="5.875" bestFit="1" customWidth="1"/>
    <col min="65" max="65" width="9.375" bestFit="1" customWidth="1"/>
    <col min="66" max="66" width="9.5" bestFit="1" customWidth="1"/>
    <col min="67" max="67" width="14.875" bestFit="1" customWidth="1"/>
    <col min="68" max="68" width="9.375" bestFit="1" customWidth="1"/>
    <col min="69" max="69" width="18.125" bestFit="1" customWidth="1"/>
    <col min="70" max="70" width="8.75" bestFit="1" customWidth="1"/>
    <col min="71" max="71" width="5.875" bestFit="1" customWidth="1"/>
    <col min="72" max="72" width="4.25" bestFit="1" customWidth="1"/>
    <col min="73" max="73" width="9.375" bestFit="1" customWidth="1"/>
    <col min="74" max="75" width="11" bestFit="1" customWidth="1"/>
    <col min="76" max="76" width="5.875" bestFit="1" customWidth="1"/>
    <col min="77" max="77" width="9.375" bestFit="1" customWidth="1"/>
    <col min="78" max="78" width="14.125" bestFit="1" customWidth="1"/>
    <col min="79" max="79" width="12.75" bestFit="1" customWidth="1"/>
    <col min="80" max="80" width="9.375" bestFit="1" customWidth="1"/>
    <col min="81" max="81" width="16" bestFit="1" customWidth="1"/>
    <col min="82" max="82" width="13.25" bestFit="1" customWidth="1"/>
    <col min="83" max="83" width="5.875" bestFit="1" customWidth="1"/>
    <col min="84" max="84" width="4.25" bestFit="1" customWidth="1"/>
    <col min="85" max="85" width="9.375" bestFit="1" customWidth="1"/>
    <col min="86" max="86" width="16.5" bestFit="1" customWidth="1"/>
    <col min="87" max="87" width="11.25" bestFit="1" customWidth="1"/>
    <col min="88" max="88" width="4.25" bestFit="1" customWidth="1"/>
    <col min="89" max="89" width="9.375" bestFit="1" customWidth="1"/>
    <col min="90" max="90" width="14.5" bestFit="1" customWidth="1"/>
    <col min="91" max="91" width="8.75" bestFit="1" customWidth="1"/>
    <col min="92" max="92" width="5.875" bestFit="1" customWidth="1"/>
    <col min="93" max="93" width="4.25" bestFit="1" customWidth="1"/>
    <col min="94" max="95" width="9.375" bestFit="1" customWidth="1"/>
    <col min="96" max="96" width="13" bestFit="1" customWidth="1"/>
    <col min="97" max="97" width="16.25" bestFit="1" customWidth="1"/>
    <col min="98" max="98" width="11" bestFit="1" customWidth="1"/>
  </cols>
  <sheetData>
    <row r="1" spans="1:6" x14ac:dyDescent="0.25">
      <c r="A1" s="6" t="s">
        <v>6</v>
      </c>
      <c r="B1" t="s">
        <v>2070</v>
      </c>
    </row>
    <row r="2" spans="1:6" x14ac:dyDescent="0.25">
      <c r="A2" s="6" t="s">
        <v>2064</v>
      </c>
      <c r="B2" t="s">
        <v>2070</v>
      </c>
    </row>
    <row r="4" spans="1:6" x14ac:dyDescent="0.25">
      <c r="A4" s="6" t="s">
        <v>2069</v>
      </c>
      <c r="B4" s="6" t="s">
        <v>2068</v>
      </c>
    </row>
    <row r="5" spans="1:6" x14ac:dyDescent="0.2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2063</v>
      </c>
      <c r="E7">
        <v>4</v>
      </c>
      <c r="F7">
        <v>4</v>
      </c>
    </row>
    <row r="8" spans="1:6" x14ac:dyDescent="0.25">
      <c r="A8" s="7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2041</v>
      </c>
      <c r="C10">
        <v>8</v>
      </c>
      <c r="E10">
        <v>10</v>
      </c>
      <c r="F10">
        <v>18</v>
      </c>
    </row>
    <row r="11" spans="1:6" x14ac:dyDescent="0.25">
      <c r="A11" s="7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2032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2055</v>
      </c>
      <c r="C15">
        <v>3</v>
      </c>
      <c r="E15">
        <v>4</v>
      </c>
      <c r="F15">
        <v>7</v>
      </c>
    </row>
    <row r="16" spans="1:6" x14ac:dyDescent="0.25">
      <c r="A16" s="7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2054</v>
      </c>
      <c r="C20">
        <v>4</v>
      </c>
      <c r="E20">
        <v>4</v>
      </c>
      <c r="F20">
        <v>8</v>
      </c>
    </row>
    <row r="21" spans="1:6" x14ac:dyDescent="0.25">
      <c r="A21" s="7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2061</v>
      </c>
      <c r="C22">
        <v>9</v>
      </c>
      <c r="E22">
        <v>5</v>
      </c>
      <c r="F22">
        <v>14</v>
      </c>
    </row>
    <row r="23" spans="1:6" x14ac:dyDescent="0.25">
      <c r="A23" s="7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2058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2057</v>
      </c>
      <c r="C25">
        <v>7</v>
      </c>
      <c r="E25">
        <v>14</v>
      </c>
      <c r="F25">
        <v>21</v>
      </c>
    </row>
    <row r="26" spans="1:6" x14ac:dyDescent="0.25">
      <c r="A26" s="7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2044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2036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2060</v>
      </c>
      <c r="E29">
        <v>3</v>
      </c>
      <c r="F29">
        <v>3</v>
      </c>
    </row>
    <row r="30" spans="1:6" x14ac:dyDescent="0.25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5CCE-0132-479F-AB38-6E69A55EA136}">
  <dimension ref="A1:F18"/>
  <sheetViews>
    <sheetView zoomScale="70" zoomScaleNormal="70" workbookViewId="0"/>
  </sheetViews>
  <sheetFormatPr defaultRowHeight="15.75" x14ac:dyDescent="0.25"/>
  <cols>
    <col min="1" max="1" width="29" bestFit="1" customWidth="1"/>
    <col min="2" max="2" width="16" bestFit="1" customWidth="1"/>
    <col min="3" max="3" width="5.875" bestFit="1" customWidth="1"/>
    <col min="4" max="4" width="4.25" bestFit="1" customWidth="1"/>
    <col min="5" max="5" width="9.375" bestFit="1" customWidth="1"/>
    <col min="6" max="6" width="11" bestFit="1" customWidth="1"/>
  </cols>
  <sheetData>
    <row r="1" spans="1:6" x14ac:dyDescent="0.25">
      <c r="A1" s="6" t="s">
        <v>2085</v>
      </c>
      <c r="B1" t="s">
        <v>2070</v>
      </c>
    </row>
    <row r="2" spans="1:6" x14ac:dyDescent="0.25">
      <c r="A2" s="6" t="s">
        <v>2064</v>
      </c>
      <c r="B2" t="s">
        <v>2070</v>
      </c>
    </row>
    <row r="4" spans="1:6" x14ac:dyDescent="0.25">
      <c r="A4" s="6" t="s">
        <v>2069</v>
      </c>
      <c r="B4" s="6" t="s">
        <v>2068</v>
      </c>
    </row>
    <row r="5" spans="1:6" x14ac:dyDescent="0.2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7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7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7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7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7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7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7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7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7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7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7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7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7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D25B-6FD0-420C-B4B9-F936D5F91078}">
  <dimension ref="A1:H13"/>
  <sheetViews>
    <sheetView zoomScale="70" zoomScaleNormal="70" workbookViewId="0"/>
  </sheetViews>
  <sheetFormatPr defaultRowHeight="15.75" x14ac:dyDescent="0.25"/>
  <cols>
    <col min="1" max="1" width="28" bestFit="1" customWidth="1"/>
    <col min="2" max="2" width="17.25" bestFit="1" customWidth="1"/>
    <col min="3" max="3" width="13.5" bestFit="1" customWidth="1"/>
    <col min="4" max="4" width="16.375" bestFit="1" customWidth="1"/>
    <col min="5" max="5" width="12.75" bestFit="1" customWidth="1"/>
    <col min="6" max="6" width="20.25" bestFit="1" customWidth="1"/>
    <col min="7" max="7" width="16.5" bestFit="1" customWidth="1"/>
    <col min="8" max="8" width="19.37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COUNTIFS(Crowdfunding!$D$2:$D$1001, "&lt;1000", Crowdfunding!$F$2:$F$1001, "successful")</f>
        <v>30</v>
      </c>
      <c r="C2">
        <f>COUNTIFS(Crowdfunding!$D$2:$D$1001, "&lt;1000", Crowdfunding!$F$2:$F$1001, "failed")</f>
        <v>20</v>
      </c>
      <c r="D2">
        <f>COUNTIFS(Crowdfunding!$D$2:$D$1001, "&lt;1000", Crowdfunding!$F$2:$F$1001, "canceled")</f>
        <v>1</v>
      </c>
      <c r="E2">
        <f>SUM(B2:D2)</f>
        <v>51</v>
      </c>
      <c r="F2">
        <f>100 * B2 / E2</f>
        <v>58.823529411764703</v>
      </c>
      <c r="G2">
        <f>100 * C2 / E2</f>
        <v>39.215686274509807</v>
      </c>
      <c r="H2">
        <f>100 * D2 / E2</f>
        <v>1.9607843137254901</v>
      </c>
    </row>
    <row r="3" spans="1:8" x14ac:dyDescent="0.25">
      <c r="A3" t="s">
        <v>2095</v>
      </c>
      <c r="B3">
        <f>COUNTIFS(Crowdfunding!$D$2:$D$1001, "&gt;=1000", Crowdfunding!$D$2:$D$1001, "&lt;=4999", Crowdfunding!$F$2:$F$1001, "successful")</f>
        <v>191</v>
      </c>
      <c r="C3">
        <f>COUNTIFS(Crowdfunding!$D$2:$D$1001, "&gt;=1000", Crowdfunding!$D$2:$D$1001, "&lt;=4999", Crowdfunding!$F$2:$F$1001, "failed")</f>
        <v>38</v>
      </c>
      <c r="D3">
        <f>COUNTIFS(Crowdfunding!$D$2:$D$1001, "&gt;=1000", Crowdfunding!$D$2:$D$1001, "&lt;=4999", Crowdfunding!$F$2:$F$1001, "canceled")</f>
        <v>2</v>
      </c>
      <c r="E3">
        <f t="shared" ref="E3:E13" si="0">SUM(B3:D3)</f>
        <v>231</v>
      </c>
      <c r="F3">
        <f t="shared" ref="F3:F13" si="1">100 * B3 / E3</f>
        <v>82.683982683982677</v>
      </c>
      <c r="G3">
        <f t="shared" ref="G3:G13" si="2">100 * C3 / E3</f>
        <v>16.450216450216452</v>
      </c>
      <c r="H3">
        <f t="shared" ref="H3:H13" si="3">100 * D3 / E3</f>
        <v>0.86580086580086579</v>
      </c>
    </row>
    <row r="4" spans="1:8" x14ac:dyDescent="0.25">
      <c r="A4" t="s">
        <v>2096</v>
      </c>
      <c r="B4">
        <f>COUNTIFS(Crowdfunding!$D$2:$D$1001, "&gt;=5000", Crowdfunding!$D$2:$D$1001, "&lt;=9999", Crowdfunding!$F$2:$F$1001, "successful")</f>
        <v>164</v>
      </c>
      <c r="C4">
        <f>COUNTIFS(Crowdfunding!$D$2:$D$1001, "&gt;=5000", Crowdfunding!$D$2:$D$1001, "&lt;=9999", Crowdfunding!$F$2:$F$1001, "failed")</f>
        <v>126</v>
      </c>
      <c r="D4">
        <f>COUNTIFS(Crowdfunding!$D$2:$D$1001, "&gt;=5000", Crowdfunding!$D$2:$D$1001, "&lt;=9999", Crowdfunding!$F$2:$F$1001, "canceled")</f>
        <v>25</v>
      </c>
      <c r="E4">
        <f t="shared" si="0"/>
        <v>315</v>
      </c>
      <c r="F4">
        <f t="shared" si="1"/>
        <v>52.063492063492063</v>
      </c>
      <c r="G4">
        <f t="shared" si="2"/>
        <v>40</v>
      </c>
      <c r="H4">
        <f t="shared" si="3"/>
        <v>7.9365079365079367</v>
      </c>
    </row>
    <row r="5" spans="1:8" x14ac:dyDescent="0.25">
      <c r="A5" t="s">
        <v>2097</v>
      </c>
      <c r="B5">
        <f>COUNTIFS(Crowdfunding!$D$2:$D$1001, "&gt;=10000", Crowdfunding!$D$2:$D$1001, "&lt;=14999", Crowdfunding!$F$2:$F$1001, "successful")</f>
        <v>4</v>
      </c>
      <c r="C5">
        <f>COUNTIFS(Crowdfunding!$D$2:$D$1001, "&gt;=10000", Crowdfunding!$D$2:$D$1001, "&lt;=14999", Crowdfunding!$F$2:$F$1001, "failed")</f>
        <v>5</v>
      </c>
      <c r="D5">
        <f>COUNTIFS(Crowdfunding!$D$2:$D$1001, "&gt;=10000", Crowdfunding!$D$2:$D$1001, "&lt;=14999", Crowdfunding!$F$2:$F$1001, "canceled")</f>
        <v>0</v>
      </c>
      <c r="E5">
        <f t="shared" si="0"/>
        <v>9</v>
      </c>
      <c r="F5">
        <f t="shared" si="1"/>
        <v>44.444444444444443</v>
      </c>
      <c r="G5">
        <f t="shared" si="2"/>
        <v>55.555555555555557</v>
      </c>
      <c r="H5">
        <f t="shared" si="3"/>
        <v>0</v>
      </c>
    </row>
    <row r="6" spans="1:8" x14ac:dyDescent="0.25">
      <c r="A6" t="s">
        <v>2098</v>
      </c>
      <c r="B6">
        <f>COUNTIFS(Crowdfunding!$D$2:$D$1001, "&gt;=15000", Crowdfunding!$D$2:$D$1001, "&lt;=19999", Crowdfunding!$F$2:$F$1001, "successful")</f>
        <v>10</v>
      </c>
      <c r="C6">
        <f>COUNTIFS(Crowdfunding!$D$2:$D$1001, "&gt;=15000", Crowdfunding!$D$2:$D$1001, "&lt;=19999", Crowdfunding!$F$2:$F$1001, "failed")</f>
        <v>0</v>
      </c>
      <c r="D6">
        <f>COUNTIFS(Crowdfunding!$D$2:$D$1001, "&gt;=15000", Crowdfunding!$D$2:$D$1001, "&lt;=19999", Crowdfunding!$F$2:$F$1001, "canceled")</f>
        <v>0</v>
      </c>
      <c r="E6">
        <f t="shared" si="0"/>
        <v>10</v>
      </c>
      <c r="F6">
        <f t="shared" si="1"/>
        <v>100</v>
      </c>
      <c r="G6">
        <f t="shared" si="2"/>
        <v>0</v>
      </c>
      <c r="H6">
        <f t="shared" si="3"/>
        <v>0</v>
      </c>
    </row>
    <row r="7" spans="1:8" x14ac:dyDescent="0.25">
      <c r="A7" t="s">
        <v>2099</v>
      </c>
      <c r="B7">
        <f>COUNTIFS(Crowdfunding!$D$2:$D$1001, "&gt;=20000", Crowdfunding!$D$2:$D$1001, "&lt;=24999", Crowdfunding!$F$2:$F$1001, "successful")</f>
        <v>7</v>
      </c>
      <c r="C7">
        <f>COUNTIFS(Crowdfunding!$D$2:$D$1001, "&gt;=20000", Crowdfunding!$D$2:$D$1001, "&lt;=24999", Crowdfunding!$F$2:$F$1001, "failed")</f>
        <v>0</v>
      </c>
      <c r="D7">
        <f>COUNTIFS(Crowdfunding!$D$2:$D$1001, "&gt;=20000", Crowdfunding!$D$2:$D$1001, "&lt;=24999", Crowdfunding!$F$2:$F$1001, "canceled")</f>
        <v>0</v>
      </c>
      <c r="E7">
        <f t="shared" si="0"/>
        <v>7</v>
      </c>
      <c r="F7">
        <f t="shared" si="1"/>
        <v>100</v>
      </c>
      <c r="G7">
        <f t="shared" si="2"/>
        <v>0</v>
      </c>
      <c r="H7">
        <f t="shared" si="3"/>
        <v>0</v>
      </c>
    </row>
    <row r="8" spans="1:8" x14ac:dyDescent="0.25">
      <c r="A8" t="s">
        <v>2100</v>
      </c>
      <c r="B8">
        <f>COUNTIFS(Crowdfunding!$D$2:$D$1001, "&gt;=25000", Crowdfunding!$D$2:$D$1001, "&lt;=29999", Crowdfunding!$F$2:$F$1001, "successful")</f>
        <v>11</v>
      </c>
      <c r="C8">
        <f>COUNTIFS(Crowdfunding!$D$2:$D$1001, "&gt;=25000", Crowdfunding!$D$2:$D$1001, "&lt;=29999", Crowdfunding!$F$2:$F$1001, "failed")</f>
        <v>3</v>
      </c>
      <c r="D8">
        <f>COUNTIFS(Crowdfunding!$D$2:$D$1001, "&gt;=25000", Crowdfunding!$D$2:$D$1001, "&lt;=29999", Crowdfunding!$F$2:$F$1001, "canceled")</f>
        <v>0</v>
      </c>
      <c r="E8">
        <f t="shared" si="0"/>
        <v>14</v>
      </c>
      <c r="F8">
        <f t="shared" si="1"/>
        <v>78.571428571428569</v>
      </c>
      <c r="G8">
        <f t="shared" si="2"/>
        <v>21.428571428571427</v>
      </c>
      <c r="H8">
        <f t="shared" si="3"/>
        <v>0</v>
      </c>
    </row>
    <row r="9" spans="1:8" x14ac:dyDescent="0.25">
      <c r="A9" t="s">
        <v>2101</v>
      </c>
      <c r="B9">
        <f>COUNTIFS(Crowdfunding!$D$2:$D$1001, "&gt;=30000", Crowdfunding!$D$2:$D$1001, "&lt;=34999", Crowdfunding!$F$2:$F$1001, "successful")</f>
        <v>7</v>
      </c>
      <c r="C9">
        <f>COUNTIFS(Crowdfunding!$D$2:$D$1001, "&gt;=30000", Crowdfunding!$D$2:$D$1001, "&lt;=34999", Crowdfunding!$F$2:$F$1001, "failed")</f>
        <v>0</v>
      </c>
      <c r="D9">
        <f>COUNTIFS(Crowdfunding!$D$2:$D$1001, "&gt;=30000", Crowdfunding!$D$2:$D$1001, "&lt;=34999", Crowdfunding!$F$2:$F$1001, "canceled")</f>
        <v>0</v>
      </c>
      <c r="E9">
        <f t="shared" si="0"/>
        <v>7</v>
      </c>
      <c r="F9">
        <f t="shared" si="1"/>
        <v>100</v>
      </c>
      <c r="G9">
        <f t="shared" si="2"/>
        <v>0</v>
      </c>
      <c r="H9">
        <f t="shared" si="3"/>
        <v>0</v>
      </c>
    </row>
    <row r="10" spans="1:8" x14ac:dyDescent="0.25">
      <c r="A10" t="s">
        <v>2102</v>
      </c>
      <c r="B10">
        <f>COUNTIFS(Crowdfunding!$D$2:$D$1001, "&gt;=35000", Crowdfunding!$D$2:$D$1001, "&lt;=39999", Crowdfunding!$F$2:$F$1001, "successful")</f>
        <v>8</v>
      </c>
      <c r="C10">
        <f>COUNTIFS(Crowdfunding!$D$2:$D$1001, "&gt;=35000", Crowdfunding!$D$2:$D$1001, "&lt;=39999", Crowdfunding!$F$2:$F$1001, "failed")</f>
        <v>3</v>
      </c>
      <c r="D10">
        <f>COUNTIFS(Crowdfunding!$D$2:$D$1001, "&gt;=35000", Crowdfunding!$D$2:$D$1001, "&lt;=39999", Crowdfunding!$F$2:$F$1001, "canceled")</f>
        <v>1</v>
      </c>
      <c r="E10">
        <f t="shared" si="0"/>
        <v>12</v>
      </c>
      <c r="F10">
        <f t="shared" si="1"/>
        <v>66.666666666666671</v>
      </c>
      <c r="G10">
        <f t="shared" si="2"/>
        <v>25</v>
      </c>
      <c r="H10">
        <f t="shared" si="3"/>
        <v>8.3333333333333339</v>
      </c>
    </row>
    <row r="11" spans="1:8" x14ac:dyDescent="0.25">
      <c r="A11" t="s">
        <v>2103</v>
      </c>
      <c r="B11">
        <f>COUNTIFS(Crowdfunding!$D$2:$D$1001, "&gt;=40000", Crowdfunding!$D$2:$D$1001, "&lt;=44999", Crowdfunding!$F$2:$F$1001, "successful")</f>
        <v>11</v>
      </c>
      <c r="C11">
        <f>COUNTIFS(Crowdfunding!$D$2:$D$1001, "&gt;=40000", Crowdfunding!$D$2:$D$1001, "&lt;=44999", Crowdfunding!$F$2:$F$1001, "failed")</f>
        <v>3</v>
      </c>
      <c r="D11">
        <f>COUNTIFS(Crowdfunding!$D$2:$D$1001, "&gt;=40000", Crowdfunding!$D$2:$D$1001, "&lt;=44999", Crowdfunding!$F$2:$F$1001, "canceled")</f>
        <v>0</v>
      </c>
      <c r="E11">
        <f t="shared" si="0"/>
        <v>14</v>
      </c>
      <c r="F11">
        <f t="shared" si="1"/>
        <v>78.571428571428569</v>
      </c>
      <c r="G11">
        <f t="shared" si="2"/>
        <v>21.428571428571427</v>
      </c>
      <c r="H11">
        <f t="shared" si="3"/>
        <v>0</v>
      </c>
    </row>
    <row r="12" spans="1:8" x14ac:dyDescent="0.25">
      <c r="A12" t="s">
        <v>2104</v>
      </c>
      <c r="B12">
        <f>COUNTIFS(Crowdfunding!$D$2:$D$1001, "&gt;=45000", Crowdfunding!$D$2:$D$1001, "&lt;=49999", Crowdfunding!$F$2:$F$1001, "successful")</f>
        <v>8</v>
      </c>
      <c r="C12">
        <f>COUNTIFS(Crowdfunding!$D$2:$D$1001, "&gt;=45000", Crowdfunding!$D$2:$D$1001, "&lt;=49999", Crowdfunding!$F$2:$F$1001, "failed")</f>
        <v>3</v>
      </c>
      <c r="D12">
        <f>COUNTIFS(Crowdfunding!$D$2:$D$1001, "&gt;=45000", Crowdfunding!$D$2:$D$1001, "&lt;=49999", Crowdfunding!$F$2:$F$1001, "canceled")</f>
        <v>0</v>
      </c>
      <c r="E12">
        <f t="shared" si="0"/>
        <v>11</v>
      </c>
      <c r="F12">
        <f t="shared" si="1"/>
        <v>72.727272727272734</v>
      </c>
      <c r="G12">
        <f t="shared" si="2"/>
        <v>27.272727272727273</v>
      </c>
      <c r="H12">
        <f t="shared" si="3"/>
        <v>0</v>
      </c>
    </row>
    <row r="13" spans="1:8" x14ac:dyDescent="0.25">
      <c r="A13" t="s">
        <v>2105</v>
      </c>
      <c r="B13">
        <f>COUNTIFS(Crowdfunding!$D$2:$D$1001, "&gt;=50000", Crowdfunding!$F$2:$F$1001, "successful")</f>
        <v>114</v>
      </c>
      <c r="C13">
        <f>COUNTIFS(Crowdfunding!$D$2:$D$1001, "&gt;=50000", Crowdfunding!$F$2:$F$1001, "failed")</f>
        <v>163</v>
      </c>
      <c r="D13">
        <f>COUNTIFS(Crowdfunding!$D$2:$D$1001, "&gt;=50000", Crowdfunding!$F$2:$F$1001, "canceled")</f>
        <v>28</v>
      </c>
      <c r="E13">
        <f t="shared" si="0"/>
        <v>305</v>
      </c>
      <c r="F13">
        <f t="shared" si="1"/>
        <v>37.377049180327866</v>
      </c>
      <c r="G13">
        <f t="shared" si="2"/>
        <v>53.442622950819676</v>
      </c>
      <c r="H13">
        <f t="shared" si="3"/>
        <v>9.1803278688524586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43CD-3D16-4A6C-B56C-FE2FD64E9ACA}">
  <dimension ref="A1:C21"/>
  <sheetViews>
    <sheetView zoomScale="70" zoomScaleNormal="70" workbookViewId="0"/>
  </sheetViews>
  <sheetFormatPr defaultRowHeight="15.75" x14ac:dyDescent="0.25"/>
  <cols>
    <col min="1" max="1" width="28" bestFit="1" customWidth="1"/>
    <col min="2" max="2" width="17.125" bestFit="1" customWidth="1"/>
    <col min="3" max="3" width="18.375" bestFit="1" customWidth="1"/>
  </cols>
  <sheetData>
    <row r="1" spans="1:3" x14ac:dyDescent="0.25">
      <c r="A1" t="s">
        <v>2086</v>
      </c>
      <c r="B1" t="s">
        <v>2106</v>
      </c>
      <c r="C1" t="s">
        <v>2107</v>
      </c>
    </row>
    <row r="2" spans="1:3" x14ac:dyDescent="0.25">
      <c r="A2" t="s">
        <v>2094</v>
      </c>
      <c r="B2">
        <f>SUMIFS(Crowdfunding!$H$2:$H$1001, Crowdfunding!$D$2:$D$1001, "&lt;1000", Crowdfunding!$F$2:$F$1001, "successful")</f>
        <v>3712</v>
      </c>
      <c r="C2">
        <f>SUMIFS(Crowdfunding!$H$2:$H$1001, Crowdfunding!$D$2:$D$1001, "&lt;1000", Crowdfunding!$F$2:$F$1001, "failed")</f>
        <v>43</v>
      </c>
    </row>
    <row r="3" spans="1:3" x14ac:dyDescent="0.25">
      <c r="A3" t="s">
        <v>2095</v>
      </c>
      <c r="B3">
        <f>SUMIFS(Crowdfunding!$H$2:$H$1001, Crowdfunding!$D$2:$D$1001, "&gt;=1000", Crowdfunding!$D$2:$D$1001, "&lt;=4999", Crowdfunding!$F$2:$F$1001, "successful")</f>
        <v>29330</v>
      </c>
      <c r="C3">
        <f>SUMIFS(Crowdfunding!$H$2:$H$1001, Crowdfunding!$D$2:$D$1001, "&gt;=1000", Crowdfunding!$D$2:$D$1001, "&lt;=4999", Crowdfunding!$F$2:$F$1001, "failed")</f>
        <v>913</v>
      </c>
    </row>
    <row r="4" spans="1:3" x14ac:dyDescent="0.25">
      <c r="A4" t="s">
        <v>2096</v>
      </c>
      <c r="B4">
        <f>SUMIFS(Crowdfunding!$H$2:$H$1001, Crowdfunding!$D$2:$D$1001, "&gt;=5000", Crowdfunding!$D$2:$D$1001, "&lt;=9999", Crowdfunding!$F$2:$F$1001, "successful")</f>
        <v>31884</v>
      </c>
      <c r="C4">
        <f>SUMIFS(Crowdfunding!$H$2:$H$1001, Crowdfunding!$D$2:$D$1001, "&gt;=5000", Crowdfunding!$D$2:$D$1001, "&lt;=9999", Crowdfunding!$F$2:$F$1001, "failed")</f>
        <v>9138</v>
      </c>
    </row>
    <row r="5" spans="1:3" x14ac:dyDescent="0.25">
      <c r="A5" t="s">
        <v>2097</v>
      </c>
      <c r="B5">
        <f>SUMIFS(Crowdfunding!$H$2:$H$1001, Crowdfunding!$D$2:$D$1001, "&gt;=10000", Crowdfunding!$D$2:$D$1001, "&lt;=14999", Crowdfunding!$F$2:$F$1001, "successful")</f>
        <v>2460</v>
      </c>
      <c r="C5">
        <f>SUMIFS(Crowdfunding!$H$2:$H$1001, Crowdfunding!$D$2:$D$1001, "&gt;=10000", Crowdfunding!$D$2:$D$1001, "&lt;=14999", Crowdfunding!$F$2:$F$1001, "failed")</f>
        <v>592</v>
      </c>
    </row>
    <row r="6" spans="1:3" x14ac:dyDescent="0.25">
      <c r="A6" t="s">
        <v>2098</v>
      </c>
      <c r="B6">
        <f>SUMIFS(Crowdfunding!$H$2:$H$1001, Crowdfunding!$D$2:$D$1001, "&gt;=15000", Crowdfunding!$D$2:$D$1001, "&lt;=19999", Crowdfunding!$F$2:$F$1001, "successful")</f>
        <v>13061</v>
      </c>
      <c r="C6">
        <f>SUMIFS(Crowdfunding!$H$2:$H$1001, Crowdfunding!$D$2:$D$1001, "&gt;=15000", Crowdfunding!$D$2:$D$1001, "&lt;=19999", Crowdfunding!$F$2:$F$1001, "failed")</f>
        <v>0</v>
      </c>
    </row>
    <row r="7" spans="1:3" x14ac:dyDescent="0.25">
      <c r="A7" t="s">
        <v>2099</v>
      </c>
      <c r="B7">
        <f>SUMIFS(Crowdfunding!$H$2:$H$1001, Crowdfunding!$D$2:$D$1001, "&gt;=20000", Crowdfunding!$D$2:$D$1001, "&lt;=24999", Crowdfunding!$F$2:$F$1001, "successful")</f>
        <v>8559</v>
      </c>
      <c r="C7">
        <f>SUMIFS(Crowdfunding!$H$2:$H$1001, Crowdfunding!$D$2:$D$1001, "&gt;=20000", Crowdfunding!$D$2:$D$1001, "&lt;=24999", Crowdfunding!$F$2:$F$1001, "failed")</f>
        <v>0</v>
      </c>
    </row>
    <row r="8" spans="1:3" x14ac:dyDescent="0.25">
      <c r="A8" t="s">
        <v>2100</v>
      </c>
      <c r="B8">
        <f>SUMIFS(Crowdfunding!$H$2:$H$1001, Crowdfunding!$D$2:$D$1001, "&gt;=25000", Crowdfunding!$D$2:$D$1001, "&lt;=29999", Crowdfunding!$F$2:$F$1001, "successful")</f>
        <v>16413</v>
      </c>
      <c r="C8">
        <f>SUMIFS(Crowdfunding!$H$2:$H$1001, Crowdfunding!$D$2:$D$1001, "&gt;=25000", Crowdfunding!$D$2:$D$1001, "&lt;=29999", Crowdfunding!$F$2:$F$1001, "failed")</f>
        <v>711</v>
      </c>
    </row>
    <row r="9" spans="1:3" x14ac:dyDescent="0.25">
      <c r="A9" t="s">
        <v>2101</v>
      </c>
      <c r="B9">
        <f>SUMIFS(Crowdfunding!$H$2:$H$1001, Crowdfunding!$D$2:$D$1001, "&gt;=30000", Crowdfunding!$D$2:$D$1001, "&lt;=34999", Crowdfunding!$F$2:$F$1001, "successful")</f>
        <v>11397</v>
      </c>
      <c r="C9">
        <f>SUMIFS(Crowdfunding!$H$2:$H$1001, Crowdfunding!$D$2:$D$1001, "&gt;=30000", Crowdfunding!$D$2:$D$1001, "&lt;=34999", Crowdfunding!$F$2:$F$1001, "failed")</f>
        <v>0</v>
      </c>
    </row>
    <row r="10" spans="1:3" x14ac:dyDescent="0.25">
      <c r="A10" t="s">
        <v>2102</v>
      </c>
      <c r="B10">
        <f>SUMIFS(Crowdfunding!$H$2:$H$1001, Crowdfunding!$D$2:$D$1001, "&gt;=35000", Crowdfunding!$D$2:$D$1001, "&lt;=39999", Crowdfunding!$F$2:$F$1001, "successful")</f>
        <v>17536</v>
      </c>
      <c r="C10">
        <f>SUMIFS(Crowdfunding!$H$2:$H$1001, Crowdfunding!$D$2:$D$1001, "&gt;=35000", Crowdfunding!$D$2:$D$1001, "&lt;=39999", Crowdfunding!$F$2:$F$1001, "failed")</f>
        <v>675</v>
      </c>
    </row>
    <row r="11" spans="1:3" x14ac:dyDescent="0.25">
      <c r="A11" t="s">
        <v>2103</v>
      </c>
      <c r="B11">
        <f>SUMIFS(Crowdfunding!$H$2:$H$1001, Crowdfunding!$D$2:$D$1001, "&gt;=40000", Crowdfunding!$D$2:$D$1001, "&lt;=44999", Crowdfunding!$F$2:$F$1001, "successful")</f>
        <v>31638</v>
      </c>
      <c r="C11">
        <f>SUMIFS(Crowdfunding!$H$2:$H$1001, Crowdfunding!$D$2:$D$1001, "&gt;=40000", Crowdfunding!$D$2:$D$1001, "&lt;=44999", Crowdfunding!$F$2:$F$1001, "failed")</f>
        <v>569</v>
      </c>
    </row>
    <row r="12" spans="1:3" x14ac:dyDescent="0.25">
      <c r="A12" t="s">
        <v>2104</v>
      </c>
      <c r="B12">
        <f>SUMIFS(Crowdfunding!$H$2:$H$1001, Crowdfunding!$D$2:$D$1001, "&gt;=45000", Crowdfunding!$D$2:$D$1001, "&lt;=49999", Crowdfunding!$F$2:$F$1001, "successful")</f>
        <v>20113</v>
      </c>
      <c r="C12">
        <f>SUMIFS(Crowdfunding!$H$2:$H$1001, Crowdfunding!$D$2:$D$1001, "&gt;=45000", Crowdfunding!$D$2:$D$1001, "&lt;=49999", Crowdfunding!$F$2:$F$1001, "failed")</f>
        <v>665</v>
      </c>
    </row>
    <row r="13" spans="1:3" x14ac:dyDescent="0.25">
      <c r="A13" t="s">
        <v>2105</v>
      </c>
      <c r="B13">
        <f>SUMIFS(Crowdfunding!$H$2:$H$1001, Crowdfunding!$D$2:$D$1001, "&gt;=50000", Crowdfunding!$F$2:$F$1001, "successful")</f>
        <v>294795</v>
      </c>
      <c r="C13">
        <f>SUMIFS(Crowdfunding!$H$2:$H$1001, Crowdfunding!$D$2:$D$1001, "&gt;=50000", Crowdfunding!$F$2:$F$1001, "failed")</f>
        <v>199858</v>
      </c>
    </row>
    <row r="14" spans="1:3" x14ac:dyDescent="0.25">
      <c r="A14" t="s">
        <v>2114</v>
      </c>
      <c r="B14">
        <f>SUM(B2:B13)</f>
        <v>480898</v>
      </c>
      <c r="C14">
        <f>SUM(C2:C13)</f>
        <v>213164</v>
      </c>
    </row>
    <row r="16" spans="1:3" x14ac:dyDescent="0.25">
      <c r="A16" t="s">
        <v>2108</v>
      </c>
      <c r="B16">
        <f>AVERAGE(B2:B13)</f>
        <v>40074.833333333336</v>
      </c>
      <c r="C16">
        <f>AVERAGE(C2:C13)</f>
        <v>17763.666666666668</v>
      </c>
    </row>
    <row r="17" spans="1:3" x14ac:dyDescent="0.25">
      <c r="A17" t="s">
        <v>2109</v>
      </c>
      <c r="B17">
        <f>MEDIAN(B2:B13)</f>
        <v>16974.5</v>
      </c>
      <c r="C17">
        <f>MEDIAN(C2:C13)</f>
        <v>628.5</v>
      </c>
    </row>
    <row r="18" spans="1:3" x14ac:dyDescent="0.25">
      <c r="A18" t="s">
        <v>2110</v>
      </c>
      <c r="B18">
        <f>MIN(B2:B13)</f>
        <v>2460</v>
      </c>
      <c r="C18">
        <f>MIN(C2:C13)</f>
        <v>0</v>
      </c>
    </row>
    <row r="19" spans="1:3" x14ac:dyDescent="0.25">
      <c r="A19" t="s">
        <v>2111</v>
      </c>
      <c r="B19">
        <f>MAX(B2:B13)</f>
        <v>294795</v>
      </c>
      <c r="C19">
        <f>MAX(C2:C13)</f>
        <v>199858</v>
      </c>
    </row>
    <row r="20" spans="1:3" x14ac:dyDescent="0.25">
      <c r="A20" t="s">
        <v>2112</v>
      </c>
      <c r="B20">
        <f>_xlfn.VAR.P(B2:B13)</f>
        <v>5990415434.4722223</v>
      </c>
      <c r="C20">
        <f>_xlfn.VAR.P(C2:C13)</f>
        <v>3020255165.0555553</v>
      </c>
    </row>
    <row r="21" spans="1:3" x14ac:dyDescent="0.25">
      <c r="A21" t="s">
        <v>2113</v>
      </c>
      <c r="B21">
        <f>_xlfn.STDEV.P(B2:B13)</f>
        <v>77397.774092490683</v>
      </c>
      <c r="C21">
        <f>_xlfn.STDEV.P(C2:C13)</f>
        <v>54956.848208895273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outcome_parent_category</vt:lpstr>
      <vt:lpstr>outcome_sub_category</vt:lpstr>
      <vt:lpstr>outcome_month</vt:lpstr>
      <vt:lpstr>goal_analysis</vt:lpstr>
      <vt:lpstr>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2023-09-15T19:23:40Z</dcterms:created>
  <dcterms:modified xsi:type="dcterms:W3CDTF">2023-09-18T16:16:47Z</dcterms:modified>
</cp:coreProperties>
</file>