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Universidad/Cuarto Semestre/Analisis Numerico/Tema 4/"/>
    </mc:Choice>
  </mc:AlternateContent>
  <xr:revisionPtr revIDLastSave="0" documentId="13_ncr:1_{61FAE41D-20C2-A64E-9C9A-134A818FC969}" xr6:coauthVersionLast="45" xr6:coauthVersionMax="45" xr10:uidLastSave="{00000000-0000-0000-0000-000000000000}"/>
  <bookViews>
    <workbookView xWindow="2980" yWindow="460" windowWidth="20980" windowHeight="14060" firstSheet="8" activeTab="15" xr2:uid="{9A0B7BA1-38B0-E14B-9C5E-C67B5C4AED75}"/>
  </bookViews>
  <sheets>
    <sheet name="Interpolacion Newton" sheetId="1" r:id="rId1"/>
    <sheet name="Interpolacion Lagrange" sheetId="2" r:id="rId2"/>
    <sheet name="Interpolacion Inversa Lagrange" sheetId="3" r:id="rId3"/>
    <sheet name="Interpolacion Newton Ej" sheetId="4" r:id="rId4"/>
    <sheet name="Interpolacion Lagrange Ej" sheetId="5" r:id="rId5"/>
    <sheet name="Derivada_1" sheetId="6" r:id="rId6"/>
    <sheet name="Derivada_2" sheetId="7" r:id="rId7"/>
    <sheet name="Derivada_3" sheetId="9" r:id="rId8"/>
    <sheet name="Derivada Ej" sheetId="8" r:id="rId9"/>
    <sheet name="Integral_1" sheetId="10" r:id="rId10"/>
    <sheet name="Integral_2" sheetId="11" r:id="rId11"/>
    <sheet name="Integral Ej" sheetId="12" r:id="rId12"/>
    <sheet name="Cuadratura_1" sheetId="13" r:id="rId13"/>
    <sheet name="Cuadratura_2" sheetId="14" r:id="rId14"/>
    <sheet name="Cuadratura_3" sheetId="18" r:id="rId15"/>
    <sheet name="Cuadratura Ej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6" l="1"/>
  <c r="K5" i="16"/>
  <c r="K5" i="18" l="1"/>
  <c r="J5" i="18"/>
  <c r="I5" i="18"/>
  <c r="H5" i="18"/>
  <c r="L5" i="18" l="1"/>
  <c r="J16" i="16"/>
  <c r="I16" i="16"/>
  <c r="H16" i="16"/>
  <c r="I11" i="16"/>
  <c r="K11" i="16" s="1"/>
  <c r="B11" i="16"/>
  <c r="H11" i="16" s="1"/>
  <c r="J11" i="16" s="1"/>
  <c r="C11" i="16"/>
  <c r="H5" i="16"/>
  <c r="M5" i="14"/>
  <c r="L11" i="16" l="1"/>
  <c r="I5" i="16"/>
  <c r="I6" i="12"/>
  <c r="E5" i="12"/>
  <c r="E6" i="12"/>
  <c r="E7" i="12"/>
  <c r="E8" i="12"/>
  <c r="E9" i="12"/>
  <c r="E10" i="12"/>
  <c r="E11" i="12"/>
  <c r="E12" i="12"/>
  <c r="E4" i="12"/>
  <c r="D6" i="12"/>
  <c r="D7" i="12" s="1"/>
  <c r="D8" i="12" s="1"/>
  <c r="D9" i="12" s="1"/>
  <c r="D10" i="12" s="1"/>
  <c r="D11" i="12" s="1"/>
  <c r="D12" i="12" s="1"/>
  <c r="D5" i="12"/>
  <c r="L5" i="16" l="1"/>
  <c r="L5" i="14"/>
  <c r="O5" i="14" s="1"/>
  <c r="K5" i="14"/>
  <c r="N5" i="14" s="1"/>
  <c r="J5" i="14"/>
  <c r="L5" i="13"/>
  <c r="K5" i="13"/>
  <c r="J5" i="13"/>
  <c r="I5" i="13"/>
  <c r="H5" i="13"/>
  <c r="P5" i="14" l="1"/>
  <c r="C12" i="12"/>
  <c r="C7" i="12"/>
  <c r="C8" i="12"/>
  <c r="C9" i="12" s="1"/>
  <c r="C10" i="12" s="1"/>
  <c r="C11" i="12" s="1"/>
  <c r="C6" i="12"/>
  <c r="C5" i="12"/>
  <c r="K11" i="11" l="1"/>
  <c r="K10" i="11"/>
  <c r="K9" i="11"/>
  <c r="C7" i="11"/>
  <c r="C8" i="11" s="1"/>
  <c r="C9" i="11" s="1"/>
  <c r="C10" i="11" s="1"/>
  <c r="C11" i="11" s="1"/>
  <c r="C12" i="11" s="1"/>
  <c r="C13" i="11" s="1"/>
  <c r="C14" i="11" s="1"/>
  <c r="E6" i="11"/>
  <c r="D7" i="11"/>
  <c r="D8" i="11" s="1"/>
  <c r="Z17" i="10"/>
  <c r="Z13" i="10"/>
  <c r="Z12" i="10"/>
  <c r="U11" i="10"/>
  <c r="U12" i="10" s="1"/>
  <c r="U13" i="10" s="1"/>
  <c r="U14" i="10" s="1"/>
  <c r="U15" i="10" s="1"/>
  <c r="S11" i="10"/>
  <c r="S12" i="10" s="1"/>
  <c r="S13" i="10" s="1"/>
  <c r="S14" i="10" s="1"/>
  <c r="S15" i="10" s="1"/>
  <c r="P12" i="10"/>
  <c r="D9" i="11" l="1"/>
  <c r="E8" i="11"/>
  <c r="E7" i="11"/>
  <c r="Z14" i="10"/>
  <c r="P11" i="10"/>
  <c r="P10" i="10"/>
  <c r="P9" i="10"/>
  <c r="P8" i="10"/>
  <c r="I9" i="10"/>
  <c r="I10" i="10"/>
  <c r="I11" i="10"/>
  <c r="I12" i="10" s="1"/>
  <c r="I8" i="10"/>
  <c r="K9" i="10"/>
  <c r="K10" i="10" s="1"/>
  <c r="K11" i="10" s="1"/>
  <c r="K12" i="10" s="1"/>
  <c r="K8" i="10"/>
  <c r="F11" i="9"/>
  <c r="F10" i="9"/>
  <c r="F6" i="9"/>
  <c r="C6" i="9"/>
  <c r="C7" i="9"/>
  <c r="C8" i="9"/>
  <c r="C9" i="9"/>
  <c r="C10" i="9"/>
  <c r="C11" i="9"/>
  <c r="C12" i="9"/>
  <c r="C5" i="9"/>
  <c r="B10" i="9"/>
  <c r="B11" i="9" s="1"/>
  <c r="B12" i="9" s="1"/>
  <c r="B7" i="9"/>
  <c r="B8" i="9" s="1"/>
  <c r="B9" i="9" s="1"/>
  <c r="B6" i="9"/>
  <c r="D10" i="11" l="1"/>
  <c r="E9" i="11"/>
  <c r="M12" i="8"/>
  <c r="M10" i="8"/>
  <c r="I10" i="8"/>
  <c r="I11" i="8" s="1"/>
  <c r="I12" i="8" s="1"/>
  <c r="I13" i="8" s="1"/>
  <c r="I9" i="8"/>
  <c r="D11" i="11" l="1"/>
  <c r="E10" i="11"/>
  <c r="M23" i="7"/>
  <c r="I23" i="7"/>
  <c r="I24" i="7" s="1"/>
  <c r="I25" i="7" s="1"/>
  <c r="I26" i="7" s="1"/>
  <c r="I27" i="7" s="1"/>
  <c r="M14" i="7"/>
  <c r="I18" i="7"/>
  <c r="I15" i="7"/>
  <c r="I16" i="7" s="1"/>
  <c r="I17" i="7" s="1"/>
  <c r="I14" i="7"/>
  <c r="L23" i="6"/>
  <c r="I23" i="6"/>
  <c r="I24" i="6" s="1"/>
  <c r="I25" i="6" s="1"/>
  <c r="I26" i="6" s="1"/>
  <c r="L15" i="6"/>
  <c r="I15" i="6"/>
  <c r="I16" i="6" s="1"/>
  <c r="I17" i="6" s="1"/>
  <c r="I18" i="6" s="1"/>
  <c r="L6" i="6"/>
  <c r="I7" i="6"/>
  <c r="I8" i="6" s="1"/>
  <c r="I9" i="6" s="1"/>
  <c r="I6" i="6"/>
  <c r="D12" i="11" l="1"/>
  <c r="E11" i="11"/>
  <c r="O15" i="5"/>
  <c r="J23" i="5"/>
  <c r="J24" i="5"/>
  <c r="J25" i="5"/>
  <c r="J26" i="5"/>
  <c r="J22" i="5"/>
  <c r="J16" i="5"/>
  <c r="L22" i="4"/>
  <c r="M21" i="4"/>
  <c r="M20" i="4"/>
  <c r="M19" i="4"/>
  <c r="D13" i="11" l="1"/>
  <c r="E12" i="11"/>
  <c r="J27" i="5"/>
  <c r="K18" i="5" s="1"/>
  <c r="H15" i="4"/>
  <c r="I14" i="4" s="1"/>
  <c r="G16" i="4"/>
  <c r="H13" i="4"/>
  <c r="G14" i="4"/>
  <c r="G12" i="4"/>
  <c r="F11" i="4"/>
  <c r="E10" i="4"/>
  <c r="D9" i="4"/>
  <c r="D19" i="4"/>
  <c r="D17" i="4"/>
  <c r="D15" i="4"/>
  <c r="L14" i="4"/>
  <c r="D13" i="4"/>
  <c r="E12" i="4"/>
  <c r="D11" i="4"/>
  <c r="E13" i="11" l="1"/>
  <c r="D14" i="11"/>
  <c r="E14" i="11" s="1"/>
  <c r="K7" i="11" s="1"/>
  <c r="E14" i="4"/>
  <c r="E16" i="4"/>
  <c r="F15" i="4" s="1"/>
  <c r="F13" i="4"/>
  <c r="E18" i="4"/>
  <c r="J22" i="3"/>
  <c r="J21" i="3"/>
  <c r="J20" i="3"/>
  <c r="J23" i="3" s="1"/>
  <c r="J14" i="3"/>
  <c r="O13" i="3"/>
  <c r="O13" i="2"/>
  <c r="F17" i="4" l="1"/>
  <c r="K16" i="3"/>
  <c r="J20" i="2"/>
  <c r="J21" i="2"/>
  <c r="J22" i="2"/>
  <c r="J14" i="2"/>
  <c r="L14" i="1"/>
  <c r="L19" i="1" s="1"/>
  <c r="J23" i="2" l="1"/>
  <c r="K16" i="2" s="1"/>
  <c r="D21" i="1"/>
  <c r="D19" i="1"/>
  <c r="D17" i="1"/>
  <c r="D15" i="1"/>
  <c r="D13" i="1"/>
  <c r="D11" i="1"/>
  <c r="E12" i="1" l="1"/>
  <c r="E14" i="1"/>
  <c r="E16" i="1"/>
  <c r="E18" i="1"/>
  <c r="F17" i="1" s="1"/>
  <c r="E20" i="1"/>
  <c r="F15" i="1"/>
  <c r="F13" i="1"/>
  <c r="F19" i="1" l="1"/>
</calcChain>
</file>

<file path=xl/sharedStrings.xml><?xml version="1.0" encoding="utf-8"?>
<sst xmlns="http://schemas.openxmlformats.org/spreadsheetml/2006/main" count="326" uniqueCount="136">
  <si>
    <t>x</t>
  </si>
  <si>
    <t>f(x)</t>
  </si>
  <si>
    <t>PD</t>
  </si>
  <si>
    <t>SD</t>
  </si>
  <si>
    <t>TD</t>
  </si>
  <si>
    <t>xk =</t>
  </si>
  <si>
    <t>x0 =</t>
  </si>
  <si>
    <t>h =</t>
  </si>
  <si>
    <t xml:space="preserve">k = </t>
  </si>
  <si>
    <t>Espaciamiento
 h</t>
  </si>
  <si>
    <t>y0 =</t>
  </si>
  <si>
    <t xml:space="preserve"> </t>
  </si>
  <si>
    <t>SD =</t>
  </si>
  <si>
    <t>PD =</t>
  </si>
  <si>
    <t>TD =</t>
  </si>
  <si>
    <t>yk =</t>
  </si>
  <si>
    <t xml:space="preserve">y_x </t>
  </si>
  <si>
    <t>Y</t>
  </si>
  <si>
    <t>x0</t>
  </si>
  <si>
    <t>x1</t>
  </si>
  <si>
    <t>x2</t>
  </si>
  <si>
    <t>x3</t>
  </si>
  <si>
    <t>x4</t>
  </si>
  <si>
    <t>y0</t>
  </si>
  <si>
    <t>y1</t>
  </si>
  <si>
    <t>y2</t>
  </si>
  <si>
    <t>y3</t>
  </si>
  <si>
    <t>y4</t>
  </si>
  <si>
    <t>Numerador</t>
  </si>
  <si>
    <t xml:space="preserve">x = </t>
  </si>
  <si>
    <t>x1 =</t>
  </si>
  <si>
    <t xml:space="preserve">x2 = </t>
  </si>
  <si>
    <t>x3 =</t>
  </si>
  <si>
    <t>x4 =</t>
  </si>
  <si>
    <t xml:space="preserve">Resultado = </t>
  </si>
  <si>
    <t xml:space="preserve">x0 = </t>
  </si>
  <si>
    <t>Denominador</t>
  </si>
  <si>
    <t>FRACCIÓN</t>
  </si>
  <si>
    <t>Resultado =</t>
  </si>
  <si>
    <t>X</t>
  </si>
  <si>
    <t xml:space="preserve">y = </t>
  </si>
  <si>
    <t>y1 =</t>
  </si>
  <si>
    <t xml:space="preserve">y2 = </t>
  </si>
  <si>
    <t>y3 =</t>
  </si>
  <si>
    <t>y4 =</t>
  </si>
  <si>
    <t xml:space="preserve">y0 = </t>
  </si>
  <si>
    <t>t</t>
  </si>
  <si>
    <t>s</t>
  </si>
  <si>
    <t>CD</t>
  </si>
  <si>
    <t>QD</t>
  </si>
  <si>
    <t>CD=</t>
  </si>
  <si>
    <t>QD=</t>
  </si>
  <si>
    <t>SD=</t>
  </si>
  <si>
    <t>Cuarto término</t>
  </si>
  <si>
    <t>Quinto término</t>
  </si>
  <si>
    <t>Sexto término</t>
  </si>
  <si>
    <t>sk =</t>
  </si>
  <si>
    <t>tk =</t>
  </si>
  <si>
    <t>t0 =</t>
  </si>
  <si>
    <t>s0 =</t>
  </si>
  <si>
    <t>y5</t>
  </si>
  <si>
    <t>y6</t>
  </si>
  <si>
    <t>s(t)</t>
  </si>
  <si>
    <t>t0</t>
  </si>
  <si>
    <t>t1</t>
  </si>
  <si>
    <t>t2</t>
  </si>
  <si>
    <t>t3</t>
  </si>
  <si>
    <t>t4</t>
  </si>
  <si>
    <t>t5</t>
  </si>
  <si>
    <t>t6</t>
  </si>
  <si>
    <t>s0</t>
  </si>
  <si>
    <t>s1</t>
  </si>
  <si>
    <t>s2</t>
  </si>
  <si>
    <t>s3</t>
  </si>
  <si>
    <t>s4</t>
  </si>
  <si>
    <t xml:space="preserve">s = </t>
  </si>
  <si>
    <t>s1 =</t>
  </si>
  <si>
    <t xml:space="preserve">s2 = </t>
  </si>
  <si>
    <t>s3 =</t>
  </si>
  <si>
    <t>s4 =</t>
  </si>
  <si>
    <t>s5 =</t>
  </si>
  <si>
    <t>s6 =</t>
  </si>
  <si>
    <t xml:space="preserve">s0 = </t>
  </si>
  <si>
    <t>y</t>
  </si>
  <si>
    <t>A)</t>
  </si>
  <si>
    <t>D)</t>
  </si>
  <si>
    <t>C)</t>
  </si>
  <si>
    <t>a) Calculando la primera derivada tenemos</t>
  </si>
  <si>
    <t>h = 1</t>
  </si>
  <si>
    <t>s' =</t>
  </si>
  <si>
    <t>Para t = -2</t>
  </si>
  <si>
    <t>Para t = 0</t>
  </si>
  <si>
    <t>x[s]</t>
  </si>
  <si>
    <t>y=v(t) [m/s]</t>
  </si>
  <si>
    <t>Para t=15</t>
  </si>
  <si>
    <t>h = 5</t>
  </si>
  <si>
    <t xml:space="preserve">y' = </t>
  </si>
  <si>
    <t>y' =</t>
  </si>
  <si>
    <t>y'_real =</t>
  </si>
  <si>
    <t>E_abs =</t>
  </si>
  <si>
    <t>xn</t>
  </si>
  <si>
    <t>yn</t>
  </si>
  <si>
    <t>n</t>
  </si>
  <si>
    <t>a) A_T =</t>
  </si>
  <si>
    <t>b) A_1/3 =</t>
  </si>
  <si>
    <t>c) A_3/8 =</t>
  </si>
  <si>
    <t>d) A_1/3 =</t>
  </si>
  <si>
    <t>e) A_T =</t>
  </si>
  <si>
    <t>Para el inciso e, se utilizará una combinación</t>
  </si>
  <si>
    <t>e) A_3/8 =</t>
  </si>
  <si>
    <t xml:space="preserve">A_1/3 = </t>
  </si>
  <si>
    <t>A_total =</t>
  </si>
  <si>
    <t>y7</t>
  </si>
  <si>
    <t>y8</t>
  </si>
  <si>
    <t>a)</t>
  </si>
  <si>
    <t>A_T =</t>
  </si>
  <si>
    <t>A_3/8 =</t>
  </si>
  <si>
    <t>A_1/3 =</t>
  </si>
  <si>
    <t>a</t>
  </si>
  <si>
    <t>b</t>
  </si>
  <si>
    <t>c0</t>
  </si>
  <si>
    <t>c1</t>
  </si>
  <si>
    <t>x_0</t>
  </si>
  <si>
    <t>x_1</t>
  </si>
  <si>
    <t>Datos del problema</t>
  </si>
  <si>
    <t>x1_d</t>
  </si>
  <si>
    <t>F(x1_d)</t>
  </si>
  <si>
    <t>C0F(x0_d)+C1F(x1_d)</t>
  </si>
  <si>
    <t>x0_d</t>
  </si>
  <si>
    <t>Cuadratura de Gauss</t>
  </si>
  <si>
    <t>F(x0_d)</t>
  </si>
  <si>
    <t>c2</t>
  </si>
  <si>
    <t>x_2</t>
  </si>
  <si>
    <t>x2_d</t>
  </si>
  <si>
    <t>F(x2_d)</t>
  </si>
  <si>
    <t>casi 1 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</si>
</sst>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6"/>
      <color theme="1"/>
      <name val="Courier New"/>
      <family val="1"/>
    </font>
    <font>
      <sz val="11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521B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6" fillId="7" borderId="2" xfId="0" applyFont="1" applyFill="1" applyBorder="1" applyAlignment="1">
      <alignment vertical="center" wrapText="1"/>
    </xf>
    <xf numFmtId="0" fontId="6" fillId="7" borderId="3" xfId="0" applyFont="1" applyFill="1" applyBorder="1" applyAlignment="1">
      <alignment vertical="center" wrapText="1"/>
    </xf>
    <xf numFmtId="0" fontId="6" fillId="8" borderId="2" xfId="0" applyFont="1" applyFill="1" applyBorder="1" applyAlignment="1">
      <alignment vertical="center" wrapText="1"/>
    </xf>
    <xf numFmtId="0" fontId="6" fillId="8" borderId="3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6" fillId="8" borderId="9" xfId="0" applyFont="1" applyFill="1" applyBorder="1" applyAlignment="1">
      <alignment vertical="center" wrapText="1"/>
    </xf>
    <xf numFmtId="0" fontId="6" fillId="9" borderId="10" xfId="0" applyFont="1" applyFill="1" applyBorder="1"/>
    <xf numFmtId="0" fontId="6" fillId="9" borderId="8" xfId="0" applyFont="1" applyFill="1" applyBorder="1"/>
    <xf numFmtId="0" fontId="6" fillId="8" borderId="1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indent="6"/>
    </xf>
    <xf numFmtId="0" fontId="6" fillId="1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vertical="center" wrapText="1"/>
    </xf>
    <xf numFmtId="0" fontId="6" fillId="11" borderId="10" xfId="0" applyFont="1" applyFill="1" applyBorder="1"/>
    <xf numFmtId="0" fontId="6" fillId="11" borderId="8" xfId="0" applyFont="1" applyFill="1" applyBorder="1"/>
    <xf numFmtId="0" fontId="1" fillId="12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2" fillId="13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8" borderId="0" xfId="0" applyFill="1"/>
    <xf numFmtId="0" fontId="0" fillId="2" borderId="4" xfId="0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4" xfId="0" applyBorder="1"/>
    <xf numFmtId="0" fontId="1" fillId="2" borderId="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4" xfId="0" applyFont="1" applyBorder="1"/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4" xfId="0" applyFill="1" applyBorder="1"/>
    <xf numFmtId="0" fontId="0" fillId="0" borderId="14" xfId="0" applyFill="1" applyBorder="1"/>
    <xf numFmtId="0" fontId="0" fillId="0" borderId="0" xfId="0" applyAlignment="1"/>
    <xf numFmtId="0" fontId="0" fillId="0" borderId="4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21B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tmp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tmp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0.tmp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15</xdr:row>
      <xdr:rowOff>0</xdr:rowOff>
    </xdr:from>
    <xdr:to>
      <xdr:col>6</xdr:col>
      <xdr:colOff>203200</xdr:colOff>
      <xdr:row>17</xdr:row>
      <xdr:rowOff>88900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986B534-713D-1E47-992B-66062532563C}"/>
            </a:ext>
          </a:extLst>
        </xdr:cNvPr>
        <xdr:cNvCxnSpPr/>
      </xdr:nvCxnSpPr>
      <xdr:spPr>
        <a:xfrm>
          <a:off x="2667000" y="3175000"/>
          <a:ext cx="2692400" cy="5207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507999</xdr:colOff>
      <xdr:row>0</xdr:row>
      <xdr:rowOff>177800</xdr:rowOff>
    </xdr:from>
    <xdr:to>
      <xdr:col>7</xdr:col>
      <xdr:colOff>520700</xdr:colOff>
      <xdr:row>3</xdr:row>
      <xdr:rowOff>178596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93349D2-5ACF-D744-B6B4-3FC784A05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999" y="177800"/>
          <a:ext cx="5994401" cy="610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749300</xdr:colOff>
      <xdr:row>0</xdr:row>
      <xdr:rowOff>114300</xdr:rowOff>
    </xdr:from>
    <xdr:to>
      <xdr:col>10</xdr:col>
      <xdr:colOff>237938</xdr:colOff>
      <xdr:row>3</xdr:row>
      <xdr:rowOff>127000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6D797CC-44A3-5947-B756-5AAA1CC6B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1482538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577850</xdr:colOff>
      <xdr:row>7</xdr:row>
      <xdr:rowOff>114300</xdr:rowOff>
    </xdr:from>
    <xdr:ext cx="1117485" cy="7513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157D4E7-32CE-FA4A-B5C2-6361F43DE55E}"/>
                </a:ext>
              </a:extLst>
            </xdr:cNvPr>
            <xdr:cNvSpPr txBox="1"/>
          </xdr:nvSpPr>
          <xdr:spPr>
            <a:xfrm>
              <a:off x="5734050" y="1562100"/>
              <a:ext cx="1117485" cy="751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=6</m:t>
                    </m:r>
                  </m:oMath>
                </m:oMathPara>
              </a14:m>
              <a:br>
                <a:rPr lang="es-ES" sz="1600"/>
              </a:br>
              <a:r>
                <a:rPr lang="es-ES" sz="1600"/>
                <a:t>-4</a:t>
              </a:r>
              <a14:m>
                <m:oMath xmlns:m="http://schemas.openxmlformats.org/officeDocument/2006/math">
                  <m:r>
                    <a:rPr lang="es-ES" sz="1600" b="0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s-ES" sz="16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6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  <m:sub>
                      <m:r>
                        <a:rPr lang="es-ES" sz="16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s-ES" sz="1600" b="0" i="1">
                      <a:latin typeface="Cambria Math" panose="02040503050406030204" pitchFamily="18" charset="0"/>
                    </a:rPr>
                    <m:t>=6</m:t>
                  </m:r>
                </m:oMath>
              </a14:m>
              <a:br>
                <a:rPr lang="es-ES" sz="1600" b="0"/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600" b="0" i="1">
                        <a:latin typeface="Cambria Math" panose="02040503050406030204" pitchFamily="18" charset="0"/>
                      </a:rPr>
                      <m:t>=−10</m:t>
                    </m:r>
                  </m:oMath>
                </m:oMathPara>
              </a14:m>
              <a:endParaRPr lang="es-MX" sz="16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157D4E7-32CE-FA4A-B5C2-6361F43DE55E}"/>
                </a:ext>
              </a:extLst>
            </xdr:cNvPr>
            <xdr:cNvSpPr txBox="1"/>
          </xdr:nvSpPr>
          <xdr:spPr>
            <a:xfrm>
              <a:off x="5734050" y="1562100"/>
              <a:ext cx="1117485" cy="751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600" b="0" i="0">
                  <a:latin typeface="Cambria Math" panose="02040503050406030204" pitchFamily="18" charset="0"/>
                </a:rPr>
                <a:t>𝑦_2−𝑦_1=6</a:t>
              </a:r>
              <a:br>
                <a:rPr lang="es-ES" sz="1600"/>
              </a:br>
              <a:r>
                <a:rPr lang="es-ES" sz="1600"/>
                <a:t>-4</a:t>
              </a:r>
              <a:r>
                <a:rPr lang="es-ES" sz="1600" b="0" i="0">
                  <a:latin typeface="Cambria Math" panose="02040503050406030204" pitchFamily="18" charset="0"/>
                </a:rPr>
                <a:t>−𝑦_1=6</a:t>
              </a:r>
              <a:br>
                <a:rPr lang="es-ES" sz="1600" b="0"/>
              </a:br>
              <a:r>
                <a:rPr lang="es-ES" sz="1600" b="0" i="0">
                  <a:latin typeface="Cambria Math" panose="02040503050406030204" pitchFamily="18" charset="0"/>
                </a:rPr>
                <a:t>𝑦_1=−10</a:t>
              </a:r>
              <a:endParaRPr lang="es-MX" sz="16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2</xdr:row>
      <xdr:rowOff>38100</xdr:rowOff>
    </xdr:from>
    <xdr:to>
      <xdr:col>8</xdr:col>
      <xdr:colOff>774769</xdr:colOff>
      <xdr:row>2</xdr:row>
      <xdr:rowOff>546100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182AEE-DDC7-FE41-95C8-E3F5D0438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241300"/>
          <a:ext cx="1562169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266702</xdr:colOff>
      <xdr:row>2</xdr:row>
      <xdr:rowOff>38100</xdr:rowOff>
    </xdr:from>
    <xdr:to>
      <xdr:col>10</xdr:col>
      <xdr:colOff>651566</xdr:colOff>
      <xdr:row>2</xdr:row>
      <xdr:rowOff>571500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C6799D0-9355-FF44-B718-FD8EEF4F7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2" y="444500"/>
          <a:ext cx="131196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711200</xdr:colOff>
      <xdr:row>2</xdr:row>
      <xdr:rowOff>25400</xdr:rowOff>
    </xdr:from>
    <xdr:to>
      <xdr:col>11</xdr:col>
      <xdr:colOff>419169</xdr:colOff>
      <xdr:row>2</xdr:row>
      <xdr:rowOff>533400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0A52AE-8525-8946-97FB-3DABD815A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431800"/>
          <a:ext cx="1562169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838202</xdr:colOff>
      <xdr:row>2</xdr:row>
      <xdr:rowOff>38100</xdr:rowOff>
    </xdr:from>
    <xdr:to>
      <xdr:col>14</xdr:col>
      <xdr:colOff>295966</xdr:colOff>
      <xdr:row>2</xdr:row>
      <xdr:rowOff>571500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F7C6A6D-B494-9F45-B824-EB1087BFB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4602" y="444500"/>
          <a:ext cx="131196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431800</xdr:colOff>
      <xdr:row>7</xdr:row>
      <xdr:rowOff>165100</xdr:rowOff>
    </xdr:from>
    <xdr:to>
      <xdr:col>6</xdr:col>
      <xdr:colOff>139700</xdr:colOff>
      <xdr:row>10</xdr:row>
      <xdr:rowOff>127000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22940B0-E911-9F4A-A86D-E391AB9A9FFF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1968500"/>
          <a:ext cx="3835400" cy="5715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2</xdr:row>
      <xdr:rowOff>38100</xdr:rowOff>
    </xdr:from>
    <xdr:to>
      <xdr:col>8</xdr:col>
      <xdr:colOff>774769</xdr:colOff>
      <xdr:row>2</xdr:row>
      <xdr:rowOff>546100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6A1D25-8D13-254C-A8D7-3835C40F8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444500"/>
          <a:ext cx="1562169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266702</xdr:colOff>
      <xdr:row>2</xdr:row>
      <xdr:rowOff>38100</xdr:rowOff>
    </xdr:from>
    <xdr:to>
      <xdr:col>10</xdr:col>
      <xdr:colOff>651566</xdr:colOff>
      <xdr:row>2</xdr:row>
      <xdr:rowOff>571500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F7C41C1-53A2-9443-8777-403F91C43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2" y="444500"/>
          <a:ext cx="131196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2</xdr:row>
      <xdr:rowOff>38100</xdr:rowOff>
    </xdr:from>
    <xdr:to>
      <xdr:col>8</xdr:col>
      <xdr:colOff>774769</xdr:colOff>
      <xdr:row>2</xdr:row>
      <xdr:rowOff>546100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0B20BB-8D12-1A48-8E69-1B3F06DF0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444500"/>
          <a:ext cx="1562169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266702</xdr:colOff>
      <xdr:row>2</xdr:row>
      <xdr:rowOff>38100</xdr:rowOff>
    </xdr:from>
    <xdr:to>
      <xdr:col>10</xdr:col>
      <xdr:colOff>651566</xdr:colOff>
      <xdr:row>2</xdr:row>
      <xdr:rowOff>571500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63A131B-0F15-874E-8A1C-5CED59C28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2" y="444500"/>
          <a:ext cx="131196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139700</xdr:colOff>
      <xdr:row>8</xdr:row>
      <xdr:rowOff>38100</xdr:rowOff>
    </xdr:from>
    <xdr:to>
      <xdr:col>8</xdr:col>
      <xdr:colOff>774769</xdr:colOff>
      <xdr:row>8</xdr:row>
      <xdr:rowOff>546100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5FE6771-D37B-4D46-A504-2D95768B1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444500"/>
          <a:ext cx="1562169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266702</xdr:colOff>
      <xdr:row>8</xdr:row>
      <xdr:rowOff>38100</xdr:rowOff>
    </xdr:from>
    <xdr:to>
      <xdr:col>10</xdr:col>
      <xdr:colOff>651566</xdr:colOff>
      <xdr:row>8</xdr:row>
      <xdr:rowOff>571500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3C2BA71-9754-A744-A79D-A0310C572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4202" y="2044700"/>
          <a:ext cx="136276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425450</xdr:colOff>
      <xdr:row>1</xdr:row>
      <xdr:rowOff>101600</xdr:rowOff>
    </xdr:from>
    <xdr:ext cx="3965060" cy="4984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E13C1C0-B8CD-074D-8EEB-ED9BB8967221}"/>
                </a:ext>
              </a:extLst>
            </xdr:cNvPr>
            <xdr:cNvSpPr txBox="1"/>
          </xdr:nvSpPr>
          <xdr:spPr>
            <a:xfrm>
              <a:off x="2305050" y="304800"/>
              <a:ext cx="3965060" cy="4984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" sz="20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20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  <m: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𝑘</m:t>
                      </m:r>
                    </m:sub>
                  </m:sSub>
                  <m:r>
                    <a:rPr lang="es-ES" sz="20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ES" sz="20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d>
                      <m:d>
                        <m:d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 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</m:e>
                      </m:d>
                      <m:d>
                        <m:d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sub>
                          </m:sSub>
                        </m:e>
                      </m:d>
                      <m:d>
                        <m:d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4</m:t>
                              </m:r>
                            </m:sub>
                          </m:sSub>
                        </m:e>
                      </m:d>
                    </m:num>
                    <m:den>
                      <m:r>
                        <a:rPr lang="es-ES" sz="2000" b="0" i="1">
                          <a:latin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)(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)(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)(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)    </m:t>
                      </m:r>
                    </m:den>
                  </m:f>
                  <m:sSub>
                    <m:sSubPr>
                      <m:ctrlPr>
                        <a:rPr lang="es-ES" sz="20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20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  <m: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es-MX" sz="2000"/>
                <a:t> 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E13C1C0-B8CD-074D-8EEB-ED9BB8967221}"/>
                </a:ext>
              </a:extLst>
            </xdr:cNvPr>
            <xdr:cNvSpPr txBox="1"/>
          </xdr:nvSpPr>
          <xdr:spPr>
            <a:xfrm>
              <a:off x="2305050" y="304800"/>
              <a:ext cx="3965060" cy="4984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</a:rPr>
                <a:t>𝑦_𝑘=(𝑥−𝑥_1 )(𝑥 −𝑥_2 )(𝑥−𝑥_3 )(𝑥−𝑥_4 )/((𝑥_0−𝑥_1)(𝑥_0−𝑥_2)(𝑥_0−𝑥_3)(𝑥_0−𝑥_4)    ) 𝑦_0</a:t>
              </a:r>
              <a:r>
                <a:rPr lang="es-MX" sz="2000"/>
                <a:t> </a:t>
              </a: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12</xdr:row>
      <xdr:rowOff>139700</xdr:rowOff>
    </xdr:from>
    <xdr:to>
      <xdr:col>5</xdr:col>
      <xdr:colOff>0</xdr:colOff>
      <xdr:row>14</xdr:row>
      <xdr:rowOff>76200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5310BABE-5FD0-404C-A6EA-84D28A838804}"/>
            </a:ext>
          </a:extLst>
        </xdr:cNvPr>
        <xdr:cNvCxnSpPr/>
      </xdr:nvCxnSpPr>
      <xdr:spPr>
        <a:xfrm>
          <a:off x="2692400" y="2667000"/>
          <a:ext cx="1638300" cy="3683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1015999</xdr:colOff>
      <xdr:row>20</xdr:row>
      <xdr:rowOff>152400</xdr:rowOff>
    </xdr:from>
    <xdr:to>
      <xdr:col>9</xdr:col>
      <xdr:colOff>83644</xdr:colOff>
      <xdr:row>29</xdr:row>
      <xdr:rowOff>25400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3681DF1-9329-6544-9858-423AEAF4A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999" y="4406900"/>
          <a:ext cx="6484445" cy="170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63500</xdr:colOff>
      <xdr:row>6</xdr:row>
      <xdr:rowOff>38099</xdr:rowOff>
    </xdr:from>
    <xdr:to>
      <xdr:col>11</xdr:col>
      <xdr:colOff>596900</xdr:colOff>
      <xdr:row>9</xdr:row>
      <xdr:rowOff>95982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A7C990E-FCA9-D54C-AF54-4DB6C091F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1269999"/>
          <a:ext cx="1358900" cy="705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425450</xdr:colOff>
      <xdr:row>1</xdr:row>
      <xdr:rowOff>101600</xdr:rowOff>
    </xdr:from>
    <xdr:ext cx="4986237" cy="4984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61D01C5-E045-F440-93E1-55DC9D5BC605}"/>
                </a:ext>
              </a:extLst>
            </xdr:cNvPr>
            <xdr:cNvSpPr txBox="1"/>
          </xdr:nvSpPr>
          <xdr:spPr>
            <a:xfrm>
              <a:off x="2305050" y="304800"/>
              <a:ext cx="4986237" cy="4984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" sz="20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2000" b="0" i="1">
                          <a:latin typeface="Cambria Math" panose="02040503050406030204" pitchFamily="18" charset="0"/>
                        </a:rPr>
                        <m:t>𝑠</m:t>
                      </m:r>
                    </m:e>
                    <m: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𝑘</m:t>
                      </m:r>
                    </m:sub>
                  </m:sSub>
                  <m:r>
                    <a:rPr lang="es-ES" sz="20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ES" sz="20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d>
                      <m:d>
                        <m:d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 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</m:e>
                      </m:d>
                      <m:d>
                        <m:d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sub>
                          </m:sSub>
                        </m:e>
                      </m:d>
                      <m:d>
                        <m:d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4</m:t>
                              </m:r>
                            </m:sub>
                          </m:sSub>
                        </m:e>
                      </m:d>
                      <m:r>
                        <a:rPr lang="es-ES" sz="20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s-ES" sz="2000" b="0" i="1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es-ES" sz="20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5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)(</m:t>
                      </m:r>
                      <m:r>
                        <a:rPr lang="es-ES" sz="2000" b="0" i="1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es-ES" sz="20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6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es-ES" sz="2000" b="0" i="1">
                          <a:latin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)(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)(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)(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)(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5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)(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6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) </m:t>
                      </m:r>
                    </m:den>
                  </m:f>
                  <m:sSub>
                    <m:sSubPr>
                      <m:ctrlPr>
                        <a:rPr lang="es-ES" sz="20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2000" b="0" i="1">
                          <a:latin typeface="Cambria Math" panose="02040503050406030204" pitchFamily="18" charset="0"/>
                        </a:rPr>
                        <m:t>𝑆</m:t>
                      </m:r>
                    </m:e>
                    <m: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es-MX" sz="2000"/>
                <a:t> 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61D01C5-E045-F440-93E1-55DC9D5BC605}"/>
                </a:ext>
              </a:extLst>
            </xdr:cNvPr>
            <xdr:cNvSpPr txBox="1"/>
          </xdr:nvSpPr>
          <xdr:spPr>
            <a:xfrm>
              <a:off x="2305050" y="304800"/>
              <a:ext cx="4986237" cy="4984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</a:rPr>
                <a:t>𝑠_𝑘=((𝑡−𝑡_1 )(𝑡 −𝑡_2 )(𝑡−𝑡_3 )(𝑡−𝑡_4 )(𝑡−𝑡_5)(𝑡−𝑡_6))/((𝑡_0−𝑡_1)(𝑡_0−𝑡_2)(𝑡_0−𝑡_3)(𝑡_0−𝑡_4)(𝑡_0−𝑡_5)(𝑡_0−𝑡_6) ) 𝑆_0</a:t>
              </a:r>
              <a:r>
                <a:rPr lang="es-MX" sz="2000"/>
                <a:t> </a:t>
              </a: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12700</xdr:rowOff>
    </xdr:from>
    <xdr:to>
      <xdr:col>7</xdr:col>
      <xdr:colOff>252730</xdr:colOff>
      <xdr:row>16</xdr:row>
      <xdr:rowOff>167005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2F57E1-9A2D-144B-B349-E72639E701F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215900"/>
          <a:ext cx="5612130" cy="32023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165100</xdr:colOff>
      <xdr:row>3</xdr:row>
      <xdr:rowOff>38100</xdr:rowOff>
    </xdr:from>
    <xdr:to>
      <xdr:col>6</xdr:col>
      <xdr:colOff>426720</xdr:colOff>
      <xdr:row>18</xdr:row>
      <xdr:rowOff>4445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005458-8C3C-394D-AD1E-44BED1083CA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647700"/>
          <a:ext cx="4389120" cy="3014345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533400</xdr:colOff>
      <xdr:row>4</xdr:row>
      <xdr:rowOff>88900</xdr:rowOff>
    </xdr:from>
    <xdr:to>
      <xdr:col>13</xdr:col>
      <xdr:colOff>177800</xdr:colOff>
      <xdr:row>9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9BE365B-9FBE-9C45-BF5B-5F3FEA8EA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11900" y="901700"/>
          <a:ext cx="3556000" cy="1092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444500</xdr:colOff>
      <xdr:row>0</xdr:row>
      <xdr:rowOff>0</xdr:rowOff>
    </xdr:from>
    <xdr:to>
      <xdr:col>8</xdr:col>
      <xdr:colOff>443230</xdr:colOff>
      <xdr:row>1</xdr:row>
      <xdr:rowOff>83820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C86A974-FA62-F247-B4E3-E4DDAE4195CB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805" t="26088" b="64061"/>
        <a:stretch/>
      </xdr:blipFill>
      <xdr:spPr bwMode="auto">
        <a:xfrm>
          <a:off x="3022600" y="0"/>
          <a:ext cx="4126230" cy="28702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3</xdr:col>
      <xdr:colOff>812799</xdr:colOff>
      <xdr:row>6</xdr:row>
      <xdr:rowOff>114300</xdr:rowOff>
    </xdr:from>
    <xdr:to>
      <xdr:col>7</xdr:col>
      <xdr:colOff>521446</xdr:colOff>
      <xdr:row>8</xdr:row>
      <xdr:rowOff>101600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B6218A-02BC-2345-9ECA-23A45A1BD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899" y="1333500"/>
          <a:ext cx="3010647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584200</xdr:colOff>
      <xdr:row>2</xdr:row>
      <xdr:rowOff>38100</xdr:rowOff>
    </xdr:from>
    <xdr:to>
      <xdr:col>7</xdr:col>
      <xdr:colOff>417830</xdr:colOff>
      <xdr:row>13</xdr:row>
      <xdr:rowOff>25400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BD94CC-2849-BA4A-B81B-4C73E17E658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200" y="444500"/>
          <a:ext cx="5612130" cy="22225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406400</xdr:colOff>
      <xdr:row>1</xdr:row>
      <xdr:rowOff>25400</xdr:rowOff>
    </xdr:from>
    <xdr:to>
      <xdr:col>15</xdr:col>
      <xdr:colOff>44450</xdr:colOff>
      <xdr:row>7</xdr:row>
      <xdr:rowOff>102870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BF80191-8566-F641-88BB-5886B3E3EAB8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805" b="51375"/>
        <a:stretch/>
      </xdr:blipFill>
      <xdr:spPr bwMode="auto">
        <a:xfrm>
          <a:off x="8661400" y="228600"/>
          <a:ext cx="3765550" cy="129667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1</xdr:row>
      <xdr:rowOff>12700</xdr:rowOff>
    </xdr:from>
    <xdr:to>
      <xdr:col>6</xdr:col>
      <xdr:colOff>760730</xdr:colOff>
      <xdr:row>18</xdr:row>
      <xdr:rowOff>158115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9F3A97-E027-1148-A7EF-8C0DB39C5F7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215900"/>
          <a:ext cx="5612130" cy="359981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18</xdr:row>
      <xdr:rowOff>38100</xdr:rowOff>
    </xdr:from>
    <xdr:to>
      <xdr:col>23</xdr:col>
      <xdr:colOff>0</xdr:colOff>
      <xdr:row>33</xdr:row>
      <xdr:rowOff>139700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09F314F-D6DF-644B-8112-2D03E9BD5E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29"/>
        <a:stretch/>
      </xdr:blipFill>
      <xdr:spPr bwMode="auto">
        <a:xfrm>
          <a:off x="6629400" y="3695700"/>
          <a:ext cx="7772400" cy="314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5A53-9FBF-8B4E-B05B-CEAA742DD5B4}">
  <dimension ref="A6:L23"/>
  <sheetViews>
    <sheetView workbookViewId="0">
      <selection activeCell="H24" sqref="H24"/>
    </sheetView>
  </sheetViews>
  <sheetFormatPr baseColWidth="10" defaultRowHeight="16" x14ac:dyDescent="0.2"/>
  <cols>
    <col min="1" max="1" width="13.5" bestFit="1" customWidth="1"/>
    <col min="4" max="4" width="10.83203125" style="5"/>
    <col min="5" max="5" width="10.83203125" style="6"/>
    <col min="6" max="6" width="10.83203125" style="17"/>
    <col min="9" max="9" width="4.5" bestFit="1" customWidth="1"/>
  </cols>
  <sheetData>
    <row r="6" spans="1:12" ht="17" thickBot="1" x14ac:dyDescent="0.25"/>
    <row r="7" spans="1:12" ht="17" thickBot="1" x14ac:dyDescent="0.25">
      <c r="B7" s="1" t="s">
        <v>0</v>
      </c>
      <c r="C7" s="1" t="s">
        <v>1</v>
      </c>
      <c r="D7" s="22" t="s">
        <v>2</v>
      </c>
      <c r="E7" s="7" t="s">
        <v>3</v>
      </c>
      <c r="F7" s="8" t="s">
        <v>4</v>
      </c>
    </row>
    <row r="8" spans="1:12" ht="17" thickBot="1" x14ac:dyDescent="0.25">
      <c r="A8" s="84" t="s">
        <v>9</v>
      </c>
      <c r="B8" s="21">
        <v>-2</v>
      </c>
      <c r="C8" s="1">
        <v>-23</v>
      </c>
      <c r="D8" s="18"/>
      <c r="E8" s="7">
        <v>-16</v>
      </c>
      <c r="F8" s="20"/>
    </row>
    <row r="9" spans="1:12" ht="17" thickBot="1" x14ac:dyDescent="0.25">
      <c r="A9" s="85"/>
      <c r="B9" s="23"/>
      <c r="C9" s="24"/>
      <c r="D9" s="4">
        <v>12</v>
      </c>
      <c r="E9" s="19"/>
      <c r="F9" s="8">
        <v>6</v>
      </c>
    </row>
    <row r="10" spans="1:12" ht="17" thickBot="1" x14ac:dyDescent="0.25">
      <c r="A10" s="85"/>
      <c r="B10" s="2">
        <v>-1</v>
      </c>
      <c r="C10" s="3">
        <v>-11</v>
      </c>
      <c r="D10" s="6"/>
      <c r="E10" s="7">
        <v>-10</v>
      </c>
      <c r="F10" s="6"/>
    </row>
    <row r="11" spans="1:12" ht="17" thickBot="1" x14ac:dyDescent="0.25">
      <c r="B11" s="2"/>
      <c r="C11" s="3"/>
      <c r="D11" s="4">
        <f>C12-C10</f>
        <v>2</v>
      </c>
      <c r="F11" s="8">
        <v>6</v>
      </c>
      <c r="K11" s="13" t="s">
        <v>5</v>
      </c>
      <c r="L11" s="12">
        <v>-1.25</v>
      </c>
    </row>
    <row r="12" spans="1:12" ht="17" thickBot="1" x14ac:dyDescent="0.25">
      <c r="B12" s="2">
        <v>0</v>
      </c>
      <c r="C12" s="3">
        <v>-9</v>
      </c>
      <c r="D12" s="6"/>
      <c r="E12" s="7">
        <f>D13-D11</f>
        <v>-4</v>
      </c>
      <c r="F12" s="6"/>
      <c r="K12" s="13" t="s">
        <v>6</v>
      </c>
      <c r="L12" s="12">
        <v>1</v>
      </c>
    </row>
    <row r="13" spans="1:12" ht="17" thickBot="1" x14ac:dyDescent="0.25">
      <c r="B13" s="15"/>
      <c r="C13" s="16"/>
      <c r="D13" s="4">
        <f>C14-C12</f>
        <v>-2</v>
      </c>
      <c r="F13" s="8">
        <f>E14-E12</f>
        <v>6</v>
      </c>
      <c r="K13" s="13" t="s">
        <v>7</v>
      </c>
      <c r="L13" s="12">
        <v>1</v>
      </c>
    </row>
    <row r="14" spans="1:12" ht="17" thickBot="1" x14ac:dyDescent="0.25">
      <c r="B14" s="2">
        <v>1</v>
      </c>
      <c r="C14" s="3">
        <v>-11</v>
      </c>
      <c r="D14" s="6"/>
      <c r="E14" s="7">
        <f>D15-D13</f>
        <v>2</v>
      </c>
      <c r="F14" s="6"/>
      <c r="K14" s="14" t="s">
        <v>8</v>
      </c>
      <c r="L14" s="4">
        <f>(L11-L12)/L13</f>
        <v>-2.25</v>
      </c>
    </row>
    <row r="15" spans="1:12" ht="17" thickBot="1" x14ac:dyDescent="0.25">
      <c r="B15" s="9" t="s">
        <v>0</v>
      </c>
      <c r="C15" s="10" t="s">
        <v>16</v>
      </c>
      <c r="D15" s="4">
        <f>C16-C14</f>
        <v>0</v>
      </c>
      <c r="F15" s="8">
        <f>E16-E14</f>
        <v>6</v>
      </c>
      <c r="H15" t="s">
        <v>11</v>
      </c>
      <c r="K15" s="13" t="s">
        <v>10</v>
      </c>
      <c r="L15" s="12">
        <v>-11</v>
      </c>
    </row>
    <row r="16" spans="1:12" ht="17" thickBot="1" x14ac:dyDescent="0.25">
      <c r="B16" s="2">
        <v>2</v>
      </c>
      <c r="C16" s="3">
        <v>-11</v>
      </c>
      <c r="D16" s="6"/>
      <c r="E16" s="7">
        <f>D17-D15</f>
        <v>8</v>
      </c>
      <c r="F16" s="6"/>
      <c r="K16" s="13" t="s">
        <v>13</v>
      </c>
      <c r="L16" s="12">
        <v>12</v>
      </c>
    </row>
    <row r="17" spans="2:12" ht="17" thickBot="1" x14ac:dyDescent="0.25">
      <c r="B17" s="2"/>
      <c r="C17" s="3"/>
      <c r="D17" s="4">
        <f>C18-C16</f>
        <v>8</v>
      </c>
      <c r="F17" s="8">
        <f>E18-E16</f>
        <v>6</v>
      </c>
      <c r="K17" s="13" t="s">
        <v>12</v>
      </c>
      <c r="L17" s="12">
        <v>-10</v>
      </c>
    </row>
    <row r="18" spans="2:12" ht="17" thickBot="1" x14ac:dyDescent="0.25">
      <c r="B18" s="2">
        <v>3</v>
      </c>
      <c r="C18" s="3">
        <v>-3</v>
      </c>
      <c r="D18" s="6"/>
      <c r="E18" s="7">
        <f>D19-D17</f>
        <v>14</v>
      </c>
      <c r="F18" s="6"/>
      <c r="K18" s="13" t="s">
        <v>14</v>
      </c>
      <c r="L18" s="12">
        <v>6</v>
      </c>
    </row>
    <row r="19" spans="2:12" ht="17" thickBot="1" x14ac:dyDescent="0.25">
      <c r="B19" s="2"/>
      <c r="C19" s="3"/>
      <c r="D19" s="4">
        <f>C20-C18</f>
        <v>22</v>
      </c>
      <c r="F19" s="8">
        <f>E20-E18</f>
        <v>6</v>
      </c>
      <c r="K19" s="14" t="s">
        <v>15</v>
      </c>
      <c r="L19" s="4">
        <f>L15+(L14*L16)+(((L14*(L14-1))/2)*L17)+((L14*(L14-1)*(L14-2))/6)*L18</f>
        <v>-105.640625</v>
      </c>
    </row>
    <row r="20" spans="2:12" ht="17" thickBot="1" x14ac:dyDescent="0.25">
      <c r="B20" s="2">
        <v>4</v>
      </c>
      <c r="C20" s="3">
        <v>19</v>
      </c>
      <c r="D20" s="6"/>
      <c r="E20" s="7">
        <f>D21-D19</f>
        <v>20</v>
      </c>
      <c r="F20"/>
    </row>
    <row r="21" spans="2:12" ht="17" thickBot="1" x14ac:dyDescent="0.25">
      <c r="B21" s="15"/>
      <c r="C21" s="16"/>
      <c r="D21" s="4">
        <f>C22-C20</f>
        <v>42</v>
      </c>
      <c r="F21" s="8">
        <v>6</v>
      </c>
    </row>
    <row r="22" spans="2:12" ht="17" thickBot="1" x14ac:dyDescent="0.25">
      <c r="B22" s="2">
        <v>5</v>
      </c>
      <c r="C22" s="3">
        <v>61</v>
      </c>
      <c r="D22" s="6"/>
      <c r="E22" s="7">
        <v>26</v>
      </c>
      <c r="F22" s="6"/>
    </row>
    <row r="23" spans="2:12" x14ac:dyDescent="0.2">
      <c r="F23" s="8">
        <v>6</v>
      </c>
    </row>
  </sheetData>
  <mergeCells count="1">
    <mergeCell ref="A8:A1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1AEA-27A8-A24E-B92C-79968FE2E825}">
  <dimension ref="I6:Z17"/>
  <sheetViews>
    <sheetView topLeftCell="J3" workbookViewId="0">
      <selection activeCell="AB17" sqref="AB17"/>
    </sheetView>
  </sheetViews>
  <sheetFormatPr baseColWidth="10" defaultRowHeight="16" x14ac:dyDescent="0.2"/>
  <cols>
    <col min="9" max="9" width="2.1640625" bestFit="1" customWidth="1"/>
    <col min="10" max="10" width="3" bestFit="1" customWidth="1"/>
    <col min="13" max="13" width="3" bestFit="1" customWidth="1"/>
    <col min="18" max="18" width="2.1640625" bestFit="1" customWidth="1"/>
    <col min="19" max="20" width="3" bestFit="1" customWidth="1"/>
    <col min="22" max="22" width="7.1640625" bestFit="1" customWidth="1"/>
    <col min="23" max="23" width="3" bestFit="1" customWidth="1"/>
    <col min="26" max="26" width="11.5" bestFit="1" customWidth="1"/>
  </cols>
  <sheetData>
    <row r="6" spans="9:26" x14ac:dyDescent="0.2">
      <c r="I6" s="66" t="s">
        <v>102</v>
      </c>
      <c r="J6" s="68"/>
      <c r="K6" s="66" t="s">
        <v>0</v>
      </c>
      <c r="L6" s="66" t="s">
        <v>83</v>
      </c>
      <c r="M6" s="65"/>
    </row>
    <row r="7" spans="9:26" x14ac:dyDescent="0.2">
      <c r="I7" s="12">
        <v>0</v>
      </c>
      <c r="J7" s="65" t="s">
        <v>18</v>
      </c>
      <c r="K7" s="12">
        <v>0</v>
      </c>
      <c r="L7" s="12">
        <v>0</v>
      </c>
      <c r="M7" s="65" t="s">
        <v>23</v>
      </c>
      <c r="R7" s="89" t="s">
        <v>108</v>
      </c>
      <c r="S7" s="89"/>
      <c r="T7" s="89"/>
      <c r="U7" s="89"/>
      <c r="V7" s="89"/>
      <c r="W7" s="89"/>
      <c r="X7" s="89"/>
      <c r="Y7" s="73"/>
    </row>
    <row r="8" spans="9:26" x14ac:dyDescent="0.2">
      <c r="I8" s="12">
        <f>I7+1</f>
        <v>1</v>
      </c>
      <c r="J8" s="65" t="s">
        <v>19</v>
      </c>
      <c r="K8" s="12">
        <f>K7+60</f>
        <v>60</v>
      </c>
      <c r="L8" s="12">
        <v>8.2400000000000001E-2</v>
      </c>
      <c r="M8" s="65" t="s">
        <v>24</v>
      </c>
      <c r="O8" t="s">
        <v>103</v>
      </c>
      <c r="P8">
        <f>(60/2)*(L7+L8)</f>
        <v>2.472</v>
      </c>
    </row>
    <row r="9" spans="9:26" x14ac:dyDescent="0.2">
      <c r="I9" s="67">
        <f t="shared" ref="I9:I12" si="0">I8+1</f>
        <v>2</v>
      </c>
      <c r="J9" t="s">
        <v>20</v>
      </c>
      <c r="K9" s="69">
        <f t="shared" ref="K9:K12" si="1">K8+60</f>
        <v>120</v>
      </c>
      <c r="L9" s="69">
        <v>0.24740000000000001</v>
      </c>
      <c r="M9" s="70" t="s">
        <v>25</v>
      </c>
      <c r="O9" t="s">
        <v>104</v>
      </c>
      <c r="P9">
        <f>(60/3)*(L7+L9+(4*L8))</f>
        <v>11.54</v>
      </c>
      <c r="S9" s="66" t="s">
        <v>102</v>
      </c>
      <c r="T9" s="68"/>
      <c r="U9" s="66" t="s">
        <v>0</v>
      </c>
      <c r="V9" s="66" t="s">
        <v>83</v>
      </c>
      <c r="W9" s="65"/>
    </row>
    <row r="10" spans="9:26" x14ac:dyDescent="0.2">
      <c r="I10" s="12">
        <f t="shared" si="0"/>
        <v>3</v>
      </c>
      <c r="J10" s="65" t="s">
        <v>21</v>
      </c>
      <c r="K10" s="12">
        <f t="shared" si="1"/>
        <v>180</v>
      </c>
      <c r="L10" s="12">
        <v>0.6502</v>
      </c>
      <c r="M10" s="71" t="s">
        <v>26</v>
      </c>
      <c r="O10" t="s">
        <v>105</v>
      </c>
      <c r="P10">
        <f>((3*60)/8)*(L10+(3*(L8+L9)))</f>
        <v>36.890999999999998</v>
      </c>
      <c r="S10" s="12">
        <v>0</v>
      </c>
      <c r="T10" s="65" t="s">
        <v>18</v>
      </c>
      <c r="U10" s="12">
        <v>0</v>
      </c>
      <c r="V10" s="12">
        <v>0</v>
      </c>
      <c r="W10" s="65" t="s">
        <v>23</v>
      </c>
    </row>
    <row r="11" spans="9:26" x14ac:dyDescent="0.2">
      <c r="I11" s="12">
        <f t="shared" si="0"/>
        <v>4</v>
      </c>
      <c r="J11" s="72" t="s">
        <v>22</v>
      </c>
      <c r="K11" s="12">
        <f t="shared" si="1"/>
        <v>240</v>
      </c>
      <c r="L11" s="12">
        <v>1.3851</v>
      </c>
      <c r="M11" s="72" t="s">
        <v>27</v>
      </c>
      <c r="O11" t="s">
        <v>106</v>
      </c>
      <c r="P11">
        <f>(60/3)*(L11+(2*L9)+(4*(L10+L8)))</f>
        <v>96.205999999999989</v>
      </c>
      <c r="S11" s="12">
        <f>S10+1</f>
        <v>1</v>
      </c>
      <c r="T11" s="65" t="s">
        <v>19</v>
      </c>
      <c r="U11" s="12">
        <f>U10+60</f>
        <v>60</v>
      </c>
      <c r="V11" s="12">
        <v>8.2400000000000001E-2</v>
      </c>
      <c r="W11" s="65" t="s">
        <v>24</v>
      </c>
    </row>
    <row r="12" spans="9:26" x14ac:dyDescent="0.2">
      <c r="I12" s="12">
        <f t="shared" si="0"/>
        <v>5</v>
      </c>
      <c r="J12" s="65" t="s">
        <v>100</v>
      </c>
      <c r="K12" s="12">
        <f t="shared" si="1"/>
        <v>300</v>
      </c>
      <c r="L12" s="12">
        <v>3.2229000000000001</v>
      </c>
      <c r="M12" s="65" t="s">
        <v>101</v>
      </c>
      <c r="O12" t="s">
        <v>107</v>
      </c>
      <c r="P12">
        <f>(60/2)*(L7+L12+(2*(L8+L9+L10+L11)))</f>
        <v>238.59299999999999</v>
      </c>
      <c r="R12" s="75" t="s">
        <v>102</v>
      </c>
      <c r="S12" s="67">
        <f t="shared" ref="S12:S15" si="2">S11+1</f>
        <v>2</v>
      </c>
      <c r="T12" t="s">
        <v>20</v>
      </c>
      <c r="U12" s="69">
        <f t="shared" ref="U12:U15" si="3">U11+60</f>
        <v>120</v>
      </c>
      <c r="V12" s="69">
        <v>0.24740000000000001</v>
      </c>
      <c r="W12" s="70" t="s">
        <v>25</v>
      </c>
      <c r="Y12" t="s">
        <v>109</v>
      </c>
      <c r="Z12">
        <f>P10</f>
        <v>36.890999999999998</v>
      </c>
    </row>
    <row r="13" spans="9:26" x14ac:dyDescent="0.2">
      <c r="R13" s="74">
        <v>0</v>
      </c>
      <c r="S13" s="12">
        <f t="shared" si="2"/>
        <v>3</v>
      </c>
      <c r="T13" s="65" t="s">
        <v>21</v>
      </c>
      <c r="U13" s="59">
        <f t="shared" si="3"/>
        <v>180</v>
      </c>
      <c r="V13" s="59">
        <v>0.6502</v>
      </c>
      <c r="W13" s="71" t="s">
        <v>26</v>
      </c>
      <c r="Y13" t="s">
        <v>110</v>
      </c>
      <c r="Z13">
        <f>(60/3)*(V13+V15+(4*V14))</f>
        <v>188.26999999999998</v>
      </c>
    </row>
    <row r="14" spans="9:26" x14ac:dyDescent="0.2">
      <c r="R14" s="74">
        <v>1</v>
      </c>
      <c r="S14" s="12">
        <f t="shared" si="2"/>
        <v>4</v>
      </c>
      <c r="T14" s="72" t="s">
        <v>22</v>
      </c>
      <c r="U14" s="12">
        <f t="shared" si="3"/>
        <v>240</v>
      </c>
      <c r="V14" s="12">
        <v>1.3851</v>
      </c>
      <c r="W14" s="72" t="s">
        <v>27</v>
      </c>
      <c r="Y14" t="s">
        <v>111</v>
      </c>
      <c r="Z14">
        <f>SUM(Z12:Z13)</f>
        <v>225.16099999999997</v>
      </c>
    </row>
    <row r="15" spans="9:26" x14ac:dyDescent="0.2">
      <c r="R15" s="74">
        <v>2</v>
      </c>
      <c r="S15" s="12">
        <f t="shared" si="2"/>
        <v>5</v>
      </c>
      <c r="T15" s="65" t="s">
        <v>100</v>
      </c>
      <c r="U15" s="12">
        <f t="shared" si="3"/>
        <v>300</v>
      </c>
      <c r="V15" s="12">
        <v>3.2229000000000001</v>
      </c>
      <c r="W15" s="65" t="s">
        <v>101</v>
      </c>
    </row>
    <row r="17" spans="25:26" x14ac:dyDescent="0.2">
      <c r="Y17" t="s">
        <v>99</v>
      </c>
      <c r="Z17">
        <f>ABS(Z14-P12)</f>
        <v>13.432000000000016</v>
      </c>
    </row>
  </sheetData>
  <mergeCells count="1">
    <mergeCell ref="R7:X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5894-DB1F-D54B-B410-012C26763C74}">
  <dimension ref="B5:K14"/>
  <sheetViews>
    <sheetView workbookViewId="0">
      <selection activeCell="M14" sqref="M14"/>
    </sheetView>
  </sheetViews>
  <sheetFormatPr baseColWidth="10" defaultRowHeight="16" x14ac:dyDescent="0.2"/>
  <cols>
    <col min="2" max="3" width="2.1640625" bestFit="1" customWidth="1"/>
    <col min="6" max="7" width="3" bestFit="1" customWidth="1"/>
    <col min="11" max="11" width="11.5" bestFit="1" customWidth="1"/>
  </cols>
  <sheetData>
    <row r="5" spans="2:11" x14ac:dyDescent="0.2">
      <c r="C5" s="63" t="s">
        <v>102</v>
      </c>
      <c r="D5" s="63" t="s">
        <v>0</v>
      </c>
      <c r="E5" s="63" t="s">
        <v>1</v>
      </c>
      <c r="F5" s="12"/>
    </row>
    <row r="6" spans="2:11" x14ac:dyDescent="0.2">
      <c r="C6" s="12">
        <v>0</v>
      </c>
      <c r="D6" s="12">
        <v>0</v>
      </c>
      <c r="E6" s="12">
        <f>1/(SQRT(1+D6^3))</f>
        <v>1</v>
      </c>
      <c r="F6" s="12" t="s">
        <v>23</v>
      </c>
    </row>
    <row r="7" spans="2:11" x14ac:dyDescent="0.2">
      <c r="C7" s="12">
        <f>C6+1</f>
        <v>1</v>
      </c>
      <c r="D7" s="12">
        <f>D6+0.25</f>
        <v>0.25</v>
      </c>
      <c r="E7" s="12">
        <f t="shared" ref="E7:E14" si="0">1/(SQRT(1+D7^3))</f>
        <v>0.99227787671366774</v>
      </c>
      <c r="F7" s="12" t="s">
        <v>24</v>
      </c>
      <c r="I7" t="s">
        <v>114</v>
      </c>
      <c r="J7" t="s">
        <v>115</v>
      </c>
      <c r="K7">
        <f>(0.25/2)*(E6+E14+(2*(SUM(E7:E13))))</f>
        <v>1.4010098327250429</v>
      </c>
    </row>
    <row r="8" spans="2:11" x14ac:dyDescent="0.2">
      <c r="C8" s="12">
        <f t="shared" ref="C8:C14" si="1">C7+1</f>
        <v>2</v>
      </c>
      <c r="D8" s="12">
        <f t="shared" ref="D8:D13" si="2">D7+0.25</f>
        <v>0.5</v>
      </c>
      <c r="E8" s="12">
        <f t="shared" si="0"/>
        <v>0.94280904158206347</v>
      </c>
      <c r="F8" s="12" t="s">
        <v>25</v>
      </c>
    </row>
    <row r="9" spans="2:11" x14ac:dyDescent="0.2">
      <c r="C9" s="12">
        <f t="shared" si="1"/>
        <v>3</v>
      </c>
      <c r="D9" s="12">
        <f t="shared" si="2"/>
        <v>0.75</v>
      </c>
      <c r="E9" s="12">
        <f t="shared" si="0"/>
        <v>0.83862786937753464</v>
      </c>
      <c r="F9" s="12" t="s">
        <v>26</v>
      </c>
      <c r="J9" t="s">
        <v>116</v>
      </c>
      <c r="K9">
        <f>((3*0.25)/8)*(E6+E12+(2*E9)+(3*(E7+E8+E10+E11)))</f>
        <v>1.2025941940147127</v>
      </c>
    </row>
    <row r="10" spans="2:11" x14ac:dyDescent="0.2">
      <c r="C10" s="12">
        <f t="shared" si="1"/>
        <v>4</v>
      </c>
      <c r="D10" s="12">
        <f t="shared" si="2"/>
        <v>1</v>
      </c>
      <c r="E10" s="12">
        <f t="shared" si="0"/>
        <v>0.70710678118654746</v>
      </c>
      <c r="F10" s="12" t="s">
        <v>27</v>
      </c>
      <c r="J10" t="s">
        <v>110</v>
      </c>
      <c r="K10">
        <f>(0.25/3)*(E12+E14+(4*E13))</f>
        <v>0.19980049064802011</v>
      </c>
    </row>
    <row r="11" spans="2:11" x14ac:dyDescent="0.2">
      <c r="B11" s="76" t="s">
        <v>102</v>
      </c>
      <c r="C11" s="12">
        <f t="shared" si="1"/>
        <v>5</v>
      </c>
      <c r="D11" s="62">
        <f t="shared" si="2"/>
        <v>1.25</v>
      </c>
      <c r="E11" s="62">
        <f t="shared" si="0"/>
        <v>0.58191437396264634</v>
      </c>
      <c r="F11" s="12" t="s">
        <v>60</v>
      </c>
      <c r="G11" s="65"/>
      <c r="J11" t="s">
        <v>111</v>
      </c>
      <c r="K11">
        <f>SUM(K9:K10)</f>
        <v>1.4023946846627329</v>
      </c>
    </row>
    <row r="12" spans="2:11" x14ac:dyDescent="0.2">
      <c r="B12" s="65">
        <v>0</v>
      </c>
      <c r="C12" s="12">
        <f t="shared" si="1"/>
        <v>6</v>
      </c>
      <c r="D12" s="59">
        <f t="shared" si="2"/>
        <v>1.5</v>
      </c>
      <c r="E12" s="59">
        <f t="shared" si="0"/>
        <v>0.47809144373375745</v>
      </c>
      <c r="F12" s="12" t="s">
        <v>61</v>
      </c>
      <c r="G12" s="65" t="s">
        <v>23</v>
      </c>
    </row>
    <row r="13" spans="2:11" x14ac:dyDescent="0.2">
      <c r="B13" s="65">
        <v>1</v>
      </c>
      <c r="C13" s="12">
        <f t="shared" si="1"/>
        <v>7</v>
      </c>
      <c r="D13" s="12">
        <f t="shared" si="2"/>
        <v>1.75</v>
      </c>
      <c r="E13" s="12">
        <f t="shared" si="0"/>
        <v>0.3965452776772877</v>
      </c>
      <c r="F13" s="12" t="s">
        <v>112</v>
      </c>
      <c r="G13" s="65" t="s">
        <v>24</v>
      </c>
    </row>
    <row r="14" spans="2:11" x14ac:dyDescent="0.2">
      <c r="B14" s="65">
        <v>2</v>
      </c>
      <c r="C14" s="12">
        <f t="shared" si="1"/>
        <v>8</v>
      </c>
      <c r="D14" s="12">
        <f>D13+0.25</f>
        <v>2</v>
      </c>
      <c r="E14" s="12">
        <f t="shared" si="0"/>
        <v>0.33333333333333331</v>
      </c>
      <c r="F14" s="12" t="s">
        <v>113</v>
      </c>
      <c r="G14" s="65" t="s">
        <v>101</v>
      </c>
    </row>
  </sheetData>
  <phoneticPr fontId="1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C198-D066-C944-B5AE-A13D822B6EE9}">
  <dimension ref="C3:I17"/>
  <sheetViews>
    <sheetView workbookViewId="0">
      <selection activeCell="I6" sqref="I6"/>
    </sheetView>
  </sheetViews>
  <sheetFormatPr baseColWidth="10" defaultRowHeight="16" x14ac:dyDescent="0.2"/>
  <cols>
    <col min="3" max="3" width="2.1640625" style="78" bestFit="1" customWidth="1"/>
    <col min="4" max="5" width="10.83203125" style="78"/>
    <col min="6" max="6" width="3" style="78" bestFit="1" customWidth="1"/>
  </cols>
  <sheetData>
    <row r="3" spans="3:9" x14ac:dyDescent="0.2">
      <c r="C3" s="77" t="s">
        <v>102</v>
      </c>
      <c r="D3" s="77" t="s">
        <v>0</v>
      </c>
      <c r="E3" s="77" t="s">
        <v>1</v>
      </c>
      <c r="F3" s="12"/>
    </row>
    <row r="4" spans="3:9" x14ac:dyDescent="0.2">
      <c r="C4" s="12">
        <v>0</v>
      </c>
      <c r="D4" s="12">
        <v>-3</v>
      </c>
      <c r="E4" s="12">
        <f>(1/(SQRT(2*PI()))*EXP((-0.5)*(D4^2)))</f>
        <v>4.4318484119380075E-3</v>
      </c>
      <c r="F4" s="12" t="s">
        <v>23</v>
      </c>
    </row>
    <row r="5" spans="3:9" x14ac:dyDescent="0.2">
      <c r="C5" s="12">
        <f>C4+1</f>
        <v>1</v>
      </c>
      <c r="D5" s="12">
        <f>D4+0.75</f>
        <v>-2.25</v>
      </c>
      <c r="E5" s="79">
        <f t="shared" ref="E5:E12" si="0">(1/(SQRT(2*PI()))*EXP((-0.5)*(D5^2)))</f>
        <v>3.1739651835667418E-2</v>
      </c>
      <c r="F5" s="12" t="s">
        <v>24</v>
      </c>
    </row>
    <row r="6" spans="3:9" x14ac:dyDescent="0.2">
      <c r="C6" s="12">
        <f>C5+1</f>
        <v>2</v>
      </c>
      <c r="D6" s="79">
        <f t="shared" ref="D6:D12" si="1">D5+0.75</f>
        <v>-1.5</v>
      </c>
      <c r="E6" s="79">
        <f t="shared" si="0"/>
        <v>0.12951759566589174</v>
      </c>
      <c r="F6" s="12" t="s">
        <v>25</v>
      </c>
      <c r="H6" t="s">
        <v>117</v>
      </c>
      <c r="I6">
        <f>(0.75/3)*(E4+E12+(2*(E6+E8+E10))+(4*(E5+E7+E9+E11)))</f>
        <v>0.99695882805352076</v>
      </c>
    </row>
    <row r="7" spans="3:9" x14ac:dyDescent="0.2">
      <c r="C7" s="12">
        <f t="shared" ref="C7:C11" si="2">C6+1</f>
        <v>3</v>
      </c>
      <c r="D7" s="79">
        <f t="shared" si="1"/>
        <v>-0.75</v>
      </c>
      <c r="E7" s="79">
        <f t="shared" si="0"/>
        <v>0.30113743215480443</v>
      </c>
      <c r="F7" s="12" t="s">
        <v>26</v>
      </c>
    </row>
    <row r="8" spans="3:9" x14ac:dyDescent="0.2">
      <c r="C8" s="12">
        <f t="shared" si="2"/>
        <v>4</v>
      </c>
      <c r="D8" s="79">
        <f t="shared" si="1"/>
        <v>0</v>
      </c>
      <c r="E8" s="79">
        <f t="shared" si="0"/>
        <v>0.3989422804014327</v>
      </c>
      <c r="F8" s="12" t="s">
        <v>27</v>
      </c>
    </row>
    <row r="9" spans="3:9" x14ac:dyDescent="0.2">
      <c r="C9" s="12">
        <f t="shared" si="2"/>
        <v>5</v>
      </c>
      <c r="D9" s="79">
        <f t="shared" si="1"/>
        <v>0.75</v>
      </c>
      <c r="E9" s="79">
        <f t="shared" si="0"/>
        <v>0.30113743215480443</v>
      </c>
      <c r="F9" s="12" t="s">
        <v>60</v>
      </c>
    </row>
    <row r="10" spans="3:9" x14ac:dyDescent="0.2">
      <c r="C10" s="12">
        <f t="shared" si="2"/>
        <v>6</v>
      </c>
      <c r="D10" s="79">
        <f t="shared" si="1"/>
        <v>1.5</v>
      </c>
      <c r="E10" s="79">
        <f t="shared" si="0"/>
        <v>0.12951759566589174</v>
      </c>
      <c r="F10" s="12" t="s">
        <v>61</v>
      </c>
    </row>
    <row r="11" spans="3:9" x14ac:dyDescent="0.2">
      <c r="C11" s="12">
        <f t="shared" si="2"/>
        <v>7</v>
      </c>
      <c r="D11" s="79">
        <f t="shared" si="1"/>
        <v>2.25</v>
      </c>
      <c r="E11" s="79">
        <f t="shared" si="0"/>
        <v>3.1739651835667418E-2</v>
      </c>
      <c r="F11" s="12" t="s">
        <v>112</v>
      </c>
    </row>
    <row r="12" spans="3:9" x14ac:dyDescent="0.2">
      <c r="C12" s="12">
        <f>C11+1</f>
        <v>8</v>
      </c>
      <c r="D12" s="79">
        <f t="shared" si="1"/>
        <v>3</v>
      </c>
      <c r="E12" s="79">
        <f t="shared" si="0"/>
        <v>4.4318484119380075E-3</v>
      </c>
      <c r="F12" s="12" t="s">
        <v>113</v>
      </c>
    </row>
    <row r="17" spans="8:8" ht="17" customHeight="1" x14ac:dyDescent="0.2">
      <c r="H17" t="s">
        <v>135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44EA-B6D3-3F46-83B9-2FEF5ECF676C}">
  <dimension ref="B2:L5"/>
  <sheetViews>
    <sheetView workbookViewId="0">
      <selection activeCell="I5" sqref="I5"/>
    </sheetView>
  </sheetViews>
  <sheetFormatPr baseColWidth="10" defaultRowHeight="16" x14ac:dyDescent="0.2"/>
  <cols>
    <col min="2" max="5" width="10.83203125" style="78"/>
    <col min="6" max="6" width="12.83203125" style="78" bestFit="1" customWidth="1"/>
    <col min="7" max="7" width="12.1640625" style="78" bestFit="1" customWidth="1"/>
    <col min="8" max="8" width="12.1640625" style="78" customWidth="1"/>
    <col min="9" max="9" width="12.1640625" style="78" bestFit="1" customWidth="1"/>
    <col min="10" max="10" width="12.1640625" style="78" customWidth="1"/>
    <col min="11" max="11" width="12.1640625" style="78" bestFit="1" customWidth="1"/>
    <col min="12" max="12" width="19" style="78" bestFit="1" customWidth="1"/>
  </cols>
  <sheetData>
    <row r="2" spans="2:12" x14ac:dyDescent="0.2">
      <c r="B2" s="91" t="s">
        <v>124</v>
      </c>
      <c r="C2" s="91"/>
      <c r="D2" s="91"/>
      <c r="E2" s="91"/>
      <c r="F2" s="91"/>
      <c r="G2" s="91"/>
      <c r="H2" s="91" t="s">
        <v>129</v>
      </c>
      <c r="I2" s="91"/>
      <c r="J2" s="91"/>
      <c r="K2" s="91"/>
      <c r="L2" s="91"/>
    </row>
    <row r="3" spans="2:12" ht="46" customHeight="1" x14ac:dyDescent="0.2">
      <c r="B3" s="91"/>
      <c r="C3" s="91"/>
      <c r="D3" s="91"/>
      <c r="E3" s="91"/>
      <c r="F3" s="91"/>
      <c r="G3" s="91"/>
      <c r="H3" s="91"/>
      <c r="I3" s="91"/>
      <c r="J3" s="92"/>
      <c r="K3" s="93"/>
      <c r="L3" s="12"/>
    </row>
    <row r="4" spans="2:12" x14ac:dyDescent="0.2">
      <c r="B4" s="80" t="s">
        <v>118</v>
      </c>
      <c r="C4" s="80" t="s">
        <v>119</v>
      </c>
      <c r="D4" s="80" t="s">
        <v>120</v>
      </c>
      <c r="E4" s="80" t="s">
        <v>121</v>
      </c>
      <c r="F4" s="80" t="s">
        <v>122</v>
      </c>
      <c r="G4" s="80" t="s">
        <v>123</v>
      </c>
      <c r="H4" s="80" t="s">
        <v>128</v>
      </c>
      <c r="I4" s="80" t="s">
        <v>125</v>
      </c>
      <c r="J4" s="80" t="s">
        <v>130</v>
      </c>
      <c r="K4" s="80" t="s">
        <v>126</v>
      </c>
      <c r="L4" s="80" t="s">
        <v>127</v>
      </c>
    </row>
    <row r="5" spans="2:12" x14ac:dyDescent="0.2">
      <c r="B5" s="12">
        <v>2</v>
      </c>
      <c r="C5" s="12">
        <v>5</v>
      </c>
      <c r="D5" s="12">
        <v>1</v>
      </c>
      <c r="E5" s="12">
        <v>1</v>
      </c>
      <c r="F5" s="12">
        <v>-0.57735026899999997</v>
      </c>
      <c r="G5" s="12">
        <v>0.57735026899999997</v>
      </c>
      <c r="H5" s="12">
        <f>(($C$5+$B$5)/2)+(($C$5-$B$5)/2)*F5</f>
        <v>2.6339745964999999</v>
      </c>
      <c r="I5" s="12">
        <f>(($C$5+$B$5)/2)+(($C$5-$B$5)/2)*G5</f>
        <v>4.3660254035000001</v>
      </c>
      <c r="J5" s="12">
        <f>H5*(($C$5-$B$5)/2)</f>
        <v>3.9509618947499998</v>
      </c>
      <c r="K5" s="12">
        <f>I5*(($C$5-$B$5)/2)</f>
        <v>6.5490381052500002</v>
      </c>
      <c r="L5" s="12">
        <f>K5+J5</f>
        <v>10.5</v>
      </c>
    </row>
  </sheetData>
  <mergeCells count="4">
    <mergeCell ref="H3:I3"/>
    <mergeCell ref="J3:K3"/>
    <mergeCell ref="H2:L2"/>
    <mergeCell ref="B2:G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7FCA-6F95-3048-A18D-CB5A3B3F40D9}">
  <dimension ref="B2:P5"/>
  <sheetViews>
    <sheetView topLeftCell="A3" workbookViewId="0">
      <selection activeCell="M5" sqref="M5"/>
    </sheetView>
  </sheetViews>
  <sheetFormatPr baseColWidth="10" defaultRowHeight="16" x14ac:dyDescent="0.2"/>
  <cols>
    <col min="2" max="6" width="10.83203125" style="78"/>
    <col min="7" max="7" width="12.83203125" style="78" bestFit="1" customWidth="1"/>
    <col min="8" max="8" width="12.1640625" style="78" bestFit="1" customWidth="1"/>
    <col min="9" max="10" width="12.1640625" style="78" customWidth="1"/>
    <col min="11" max="11" width="12.1640625" style="78" bestFit="1" customWidth="1"/>
    <col min="12" max="13" width="12.1640625" style="78" customWidth="1"/>
    <col min="14" max="14" width="12.1640625" style="78" bestFit="1" customWidth="1"/>
    <col min="15" max="15" width="12.1640625" style="78" customWidth="1"/>
    <col min="16" max="16" width="19" style="78" bestFit="1" customWidth="1"/>
  </cols>
  <sheetData>
    <row r="2" spans="2:16" x14ac:dyDescent="0.2">
      <c r="B2" s="94" t="s">
        <v>124</v>
      </c>
      <c r="C2" s="95"/>
      <c r="D2" s="95"/>
      <c r="E2" s="95"/>
      <c r="F2" s="95"/>
      <c r="G2" s="95"/>
      <c r="H2" s="95"/>
      <c r="I2" s="96"/>
      <c r="J2" s="91" t="s">
        <v>129</v>
      </c>
      <c r="K2" s="91"/>
      <c r="L2" s="91"/>
      <c r="M2" s="91"/>
      <c r="N2" s="91"/>
      <c r="O2" s="91"/>
      <c r="P2" s="91"/>
    </row>
    <row r="3" spans="2:16" ht="46" customHeight="1" x14ac:dyDescent="0.2">
      <c r="B3" s="97"/>
      <c r="C3" s="98"/>
      <c r="D3" s="98"/>
      <c r="E3" s="98"/>
      <c r="F3" s="98"/>
      <c r="G3" s="98"/>
      <c r="H3" s="98"/>
      <c r="I3" s="99"/>
      <c r="J3" s="92"/>
      <c r="K3" s="100"/>
      <c r="L3" s="93"/>
      <c r="M3" s="92"/>
      <c r="N3" s="100"/>
      <c r="O3" s="93"/>
      <c r="P3" s="12"/>
    </row>
    <row r="4" spans="2:16" x14ac:dyDescent="0.2">
      <c r="B4" s="80" t="s">
        <v>118</v>
      </c>
      <c r="C4" s="80" t="s">
        <v>119</v>
      </c>
      <c r="D4" s="80" t="s">
        <v>120</v>
      </c>
      <c r="E4" s="80" t="s">
        <v>121</v>
      </c>
      <c r="F4" s="80" t="s">
        <v>131</v>
      </c>
      <c r="G4" s="80" t="s">
        <v>122</v>
      </c>
      <c r="H4" s="80" t="s">
        <v>123</v>
      </c>
      <c r="I4" s="80" t="s">
        <v>132</v>
      </c>
      <c r="J4" s="80" t="s">
        <v>128</v>
      </c>
      <c r="K4" s="80" t="s">
        <v>125</v>
      </c>
      <c r="L4" s="80" t="s">
        <v>133</v>
      </c>
      <c r="M4" s="80" t="s">
        <v>130</v>
      </c>
      <c r="N4" s="80" t="s">
        <v>126</v>
      </c>
      <c r="O4" s="80" t="s">
        <v>134</v>
      </c>
      <c r="P4" s="80" t="s">
        <v>127</v>
      </c>
    </row>
    <row r="5" spans="2:16" x14ac:dyDescent="0.2">
      <c r="B5" s="12">
        <v>3</v>
      </c>
      <c r="C5" s="12">
        <v>8</v>
      </c>
      <c r="D5" s="12">
        <v>0.55555560000000004</v>
      </c>
      <c r="E5" s="12">
        <v>0.88888889999999998</v>
      </c>
      <c r="F5" s="12">
        <v>0.55555560000000004</v>
      </c>
      <c r="G5" s="12">
        <v>-0.77459666900000002</v>
      </c>
      <c r="H5" s="12">
        <v>0</v>
      </c>
      <c r="I5" s="12">
        <v>0.77459666900000002</v>
      </c>
      <c r="J5" s="12">
        <f>(($C$5+$B$5)/2)+(($C$5-$B$5)/2)*G5</f>
        <v>3.5635083275000001</v>
      </c>
      <c r="K5" s="12">
        <f>(($C$5+$B$5)/2)+(($C$5-$B$5)/2)*H5</f>
        <v>5.5</v>
      </c>
      <c r="L5" s="12">
        <f>(($C$5+$B$5)/2)+(($C$5-$B$5)/2)*I5</f>
        <v>7.4364916724999999</v>
      </c>
      <c r="M5" s="12">
        <f>LN(J5)*(($C$5-$B$5)/2)</f>
        <v>3.1768638621123726</v>
      </c>
      <c r="N5" s="12">
        <f t="shared" ref="N5:O5" si="0">LN(K5)*(($C$5-$B$5)/2)</f>
        <v>4.2618702305960632</v>
      </c>
      <c r="O5" s="12">
        <f t="shared" si="0"/>
        <v>5.015997970588649</v>
      </c>
      <c r="P5" s="12">
        <f>(D5*M5)+(E5*N5)+(F5*O5)</f>
        <v>8.3399194124005973</v>
      </c>
    </row>
  </sheetData>
  <mergeCells count="4">
    <mergeCell ref="J2:P2"/>
    <mergeCell ref="B2:I3"/>
    <mergeCell ref="J3:L3"/>
    <mergeCell ref="M3:O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55C0B-9BBC-7A4B-84A8-DF188519ED3A}">
  <dimension ref="B2:L5"/>
  <sheetViews>
    <sheetView workbookViewId="0">
      <selection activeCell="I7" sqref="I7"/>
    </sheetView>
  </sheetViews>
  <sheetFormatPr baseColWidth="10" defaultRowHeight="16" x14ac:dyDescent="0.2"/>
  <cols>
    <col min="2" max="5" width="10.83203125" style="78"/>
    <col min="6" max="6" width="12.83203125" style="78" bestFit="1" customWidth="1"/>
    <col min="7" max="7" width="12.1640625" style="78" bestFit="1" customWidth="1"/>
    <col min="8" max="8" width="12.1640625" style="78" customWidth="1"/>
    <col min="9" max="9" width="12.1640625" style="78" bestFit="1" customWidth="1"/>
    <col min="10" max="10" width="12.1640625" style="78" customWidth="1"/>
    <col min="11" max="11" width="12.1640625" style="78" bestFit="1" customWidth="1"/>
    <col min="12" max="12" width="19" style="78" bestFit="1" customWidth="1"/>
  </cols>
  <sheetData>
    <row r="2" spans="2:12" x14ac:dyDescent="0.2">
      <c r="B2" s="91" t="s">
        <v>124</v>
      </c>
      <c r="C2" s="91"/>
      <c r="D2" s="91"/>
      <c r="E2" s="91"/>
      <c r="F2" s="91"/>
      <c r="G2" s="91"/>
      <c r="H2" s="91" t="s">
        <v>129</v>
      </c>
      <c r="I2" s="91"/>
      <c r="J2" s="91"/>
      <c r="K2" s="91"/>
      <c r="L2" s="91"/>
    </row>
    <row r="3" spans="2:12" ht="46" customHeight="1" x14ac:dyDescent="0.2">
      <c r="B3" s="91"/>
      <c r="C3" s="91"/>
      <c r="D3" s="91"/>
      <c r="E3" s="91"/>
      <c r="F3" s="91"/>
      <c r="G3" s="91"/>
      <c r="H3" s="91"/>
      <c r="I3" s="91"/>
      <c r="J3" s="92"/>
      <c r="K3" s="93"/>
      <c r="L3" s="82"/>
    </row>
    <row r="4" spans="2:12" x14ac:dyDescent="0.2">
      <c r="B4" s="80" t="s">
        <v>118</v>
      </c>
      <c r="C4" s="80" t="s">
        <v>119</v>
      </c>
      <c r="D4" s="80" t="s">
        <v>120</v>
      </c>
      <c r="E4" s="80" t="s">
        <v>121</v>
      </c>
      <c r="F4" s="80" t="s">
        <v>122</v>
      </c>
      <c r="G4" s="80" t="s">
        <v>123</v>
      </c>
      <c r="H4" s="80" t="s">
        <v>128</v>
      </c>
      <c r="I4" s="80" t="s">
        <v>125</v>
      </c>
      <c r="J4" s="80" t="s">
        <v>130</v>
      </c>
      <c r="K4" s="80" t="s">
        <v>126</v>
      </c>
      <c r="L4" s="80" t="s">
        <v>127</v>
      </c>
    </row>
    <row r="5" spans="2:12" x14ac:dyDescent="0.2">
      <c r="B5" s="82">
        <v>0.5</v>
      </c>
      <c r="C5" s="82">
        <v>1</v>
      </c>
      <c r="D5" s="82">
        <v>1</v>
      </c>
      <c r="E5" s="82">
        <v>1</v>
      </c>
      <c r="F5" s="82">
        <v>-0.57735026899999997</v>
      </c>
      <c r="G5" s="82">
        <v>0.57735026899999997</v>
      </c>
      <c r="H5" s="82">
        <f>(($C$5+$B$5)/2)+(($C$5-$B$5)/2)*F5</f>
        <v>0.60566243274999998</v>
      </c>
      <c r="I5" s="82">
        <f>(($C$5+$B$5)/2)+(($C$5-$B$5)/2)*G5</f>
        <v>0.89433756725000002</v>
      </c>
      <c r="J5" s="82">
        <f>(EXP(((0.75+0.25*(F5))^3)+1)/(SIN((0.75+0.25*(F5))^2))*(($C$5-$B$5)/2))</f>
        <v>2.3661695149390805</v>
      </c>
      <c r="K5" s="82">
        <f>(EXP(((0.75+0.25*(G5))^3)+1)/(SIN((0.75+0.25*(G5))^2))*(($C$5-$B$5)/2))</f>
        <v>1.9374466839362301</v>
      </c>
      <c r="L5" s="82">
        <f>K5+J5</f>
        <v>4.3036161988753108</v>
      </c>
    </row>
  </sheetData>
  <mergeCells count="4">
    <mergeCell ref="B2:G3"/>
    <mergeCell ref="H2:L2"/>
    <mergeCell ref="H3:I3"/>
    <mergeCell ref="J3:K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B22AF-1E07-564F-80B7-CAD7C2B04366}">
  <dimension ref="B2:L16"/>
  <sheetViews>
    <sheetView tabSelected="1" workbookViewId="0">
      <selection activeCell="L5" sqref="L5"/>
    </sheetView>
  </sheetViews>
  <sheetFormatPr baseColWidth="10" defaultRowHeight="16" x14ac:dyDescent="0.2"/>
  <cols>
    <col min="2" max="2" width="11.5" style="78" bestFit="1" customWidth="1"/>
    <col min="3" max="5" width="10.83203125" style="78"/>
    <col min="6" max="6" width="12.83203125" style="78" bestFit="1" customWidth="1"/>
    <col min="7" max="7" width="12.1640625" style="78" bestFit="1" customWidth="1"/>
    <col min="8" max="9" width="12.83203125" style="78" bestFit="1" customWidth="1"/>
    <col min="10" max="10" width="19" style="78" bestFit="1" customWidth="1"/>
    <col min="11" max="11" width="12.83203125" style="78" bestFit="1" customWidth="1"/>
    <col min="12" max="12" width="19" style="78" bestFit="1" customWidth="1"/>
  </cols>
  <sheetData>
    <row r="2" spans="2:12" x14ac:dyDescent="0.2">
      <c r="B2" s="91" t="s">
        <v>124</v>
      </c>
      <c r="C2" s="91"/>
      <c r="D2" s="91"/>
      <c r="E2" s="91"/>
      <c r="F2" s="91"/>
      <c r="G2" s="91"/>
      <c r="H2" s="91" t="s">
        <v>129</v>
      </c>
      <c r="I2" s="91"/>
      <c r="J2" s="91"/>
      <c r="K2" s="91"/>
      <c r="L2" s="91"/>
    </row>
    <row r="3" spans="2:12" ht="46" customHeight="1" x14ac:dyDescent="0.2">
      <c r="B3" s="91"/>
      <c r="C3" s="91"/>
      <c r="D3" s="91"/>
      <c r="E3" s="91"/>
      <c r="F3" s="91"/>
      <c r="G3" s="91"/>
      <c r="H3" s="91"/>
      <c r="I3" s="91"/>
      <c r="J3" s="92"/>
      <c r="K3" s="93"/>
      <c r="L3" s="79"/>
    </row>
    <row r="4" spans="2:12" x14ac:dyDescent="0.2">
      <c r="B4" s="80" t="s">
        <v>118</v>
      </c>
      <c r="C4" s="80" t="s">
        <v>119</v>
      </c>
      <c r="D4" s="80" t="s">
        <v>120</v>
      </c>
      <c r="E4" s="80" t="s">
        <v>121</v>
      </c>
      <c r="F4" s="80" t="s">
        <v>122</v>
      </c>
      <c r="G4" s="80" t="s">
        <v>123</v>
      </c>
      <c r="H4" s="80" t="s">
        <v>128</v>
      </c>
      <c r="I4" s="80" t="s">
        <v>125</v>
      </c>
      <c r="J4" s="80" t="s">
        <v>130</v>
      </c>
      <c r="K4" s="80" t="s">
        <v>126</v>
      </c>
      <c r="L4" s="80" t="s">
        <v>127</v>
      </c>
    </row>
    <row r="5" spans="2:12" x14ac:dyDescent="0.2">
      <c r="B5" s="79">
        <v>1</v>
      </c>
      <c r="C5" s="79">
        <v>5</v>
      </c>
      <c r="D5" s="79">
        <v>1</v>
      </c>
      <c r="E5" s="79">
        <v>1</v>
      </c>
      <c r="F5" s="79">
        <v>-0.57735026899999997</v>
      </c>
      <c r="G5" s="79">
        <v>0.57735026899999997</v>
      </c>
      <c r="H5" s="79">
        <f>(($C$5+$B$5)/2)+(($C$5-$B$5)/2)*F5</f>
        <v>1.8452994620000001</v>
      </c>
      <c r="I5" s="79">
        <f>(($C$5+$B$5)/2)+(($C$5-$B$5)/2)*G5</f>
        <v>4.1547005380000002</v>
      </c>
      <c r="J5" s="79">
        <f>((2*H5*EXP(H5))/(6*(H5^3)-4))*(($C$5-$B$5)/2)</f>
        <v>1.3864001977476292</v>
      </c>
      <c r="K5" s="83">
        <f>((2*I5*EXP(I5))/(6*(I5^3)-4))*(($C$5-$B$5)/2)</f>
        <v>2.484556219068796</v>
      </c>
      <c r="L5" s="79">
        <f>K5+J5</f>
        <v>3.8709564168164254</v>
      </c>
    </row>
    <row r="8" spans="2:12" x14ac:dyDescent="0.2">
      <c r="B8" s="91" t="s">
        <v>124</v>
      </c>
      <c r="C8" s="91"/>
      <c r="D8" s="91"/>
      <c r="E8" s="91"/>
      <c r="F8" s="91"/>
      <c r="G8" s="91"/>
      <c r="H8" s="91" t="s">
        <v>129</v>
      </c>
      <c r="I8" s="91"/>
      <c r="J8" s="91"/>
      <c r="K8" s="91"/>
      <c r="L8" s="91"/>
    </row>
    <row r="9" spans="2:12" ht="46" customHeight="1" x14ac:dyDescent="0.2">
      <c r="B9" s="91"/>
      <c r="C9" s="91"/>
      <c r="D9" s="91"/>
      <c r="E9" s="91"/>
      <c r="F9" s="91"/>
      <c r="G9" s="91"/>
      <c r="H9" s="91"/>
      <c r="I9" s="91"/>
      <c r="J9" s="92"/>
      <c r="K9" s="93"/>
      <c r="L9" s="81"/>
    </row>
    <row r="10" spans="2:12" x14ac:dyDescent="0.2">
      <c r="B10" s="80" t="s">
        <v>118</v>
      </c>
      <c r="C10" s="80" t="s">
        <v>119</v>
      </c>
      <c r="D10" s="80" t="s">
        <v>120</v>
      </c>
      <c r="E10" s="80" t="s">
        <v>121</v>
      </c>
      <c r="F10" s="80" t="s">
        <v>122</v>
      </c>
      <c r="G10" s="80" t="s">
        <v>123</v>
      </c>
      <c r="H10" s="80" t="s">
        <v>128</v>
      </c>
      <c r="I10" s="80" t="s">
        <v>125</v>
      </c>
      <c r="J10" s="80" t="s">
        <v>130</v>
      </c>
      <c r="K10" s="80" t="s">
        <v>126</v>
      </c>
      <c r="L10" s="80" t="s">
        <v>127</v>
      </c>
    </row>
    <row r="11" spans="2:12" x14ac:dyDescent="0.2">
      <c r="B11" s="81">
        <f>-SQRT(3)</f>
        <v>-1.7320508075688772</v>
      </c>
      <c r="C11" s="81">
        <f>SQRT(3)</f>
        <v>1.7320508075688772</v>
      </c>
      <c r="D11" s="81">
        <v>1</v>
      </c>
      <c r="E11" s="81">
        <v>1</v>
      </c>
      <c r="F11" s="81">
        <v>-0.57735026899999997</v>
      </c>
      <c r="G11" s="81">
        <v>0.57735026899999997</v>
      </c>
      <c r="H11" s="81">
        <f>(($C11+$B$11)/2)+(($C$11-$B$11)/2)*F11</f>
        <v>-0.99999999967155839</v>
      </c>
      <c r="I11" s="81">
        <f>(($C11+$B$11)/2)+(($C$11-$B$11)/2)*G11</f>
        <v>0.99999999967155839</v>
      </c>
      <c r="J11" s="81">
        <f>((4*SQRT(3)*H11)/(SQRT((SQRT(3)*H11)^2+1)))*(($C$5-$B$5)/2)</f>
        <v>-6.9282032297066314</v>
      </c>
      <c r="K11" s="81">
        <f>((4*SQRT(3)*I11)/(SQRT((SQRT(3)*I11)^2+1)))*(($C$5-$B$5)/2)</f>
        <v>6.9282032297066314</v>
      </c>
      <c r="L11" s="81">
        <f>K11+J11</f>
        <v>0</v>
      </c>
    </row>
    <row r="13" spans="2:12" x14ac:dyDescent="0.2">
      <c r="B13" s="91" t="s">
        <v>124</v>
      </c>
      <c r="C13" s="91"/>
      <c r="D13" s="91"/>
      <c r="E13" s="91"/>
      <c r="F13" s="91"/>
      <c r="G13" s="91"/>
      <c r="H13" s="91" t="s">
        <v>129</v>
      </c>
      <c r="I13" s="91"/>
      <c r="J13" s="91"/>
    </row>
    <row r="14" spans="2:12" x14ac:dyDescent="0.2">
      <c r="B14" s="91"/>
      <c r="C14" s="91"/>
      <c r="D14" s="91"/>
      <c r="E14" s="91"/>
      <c r="F14" s="91"/>
      <c r="G14" s="91"/>
      <c r="H14" s="91"/>
      <c r="I14" s="91"/>
      <c r="J14" s="91"/>
    </row>
    <row r="15" spans="2:12" x14ac:dyDescent="0.2">
      <c r="B15" s="80" t="s">
        <v>118</v>
      </c>
      <c r="C15" s="80" t="s">
        <v>119</v>
      </c>
      <c r="D15" s="80" t="s">
        <v>120</v>
      </c>
      <c r="E15" s="80" t="s">
        <v>121</v>
      </c>
      <c r="F15" s="80" t="s">
        <v>122</v>
      </c>
      <c r="G15" s="80" t="s">
        <v>123</v>
      </c>
      <c r="H15" s="80" t="s">
        <v>130</v>
      </c>
      <c r="I15" s="80" t="s">
        <v>126</v>
      </c>
      <c r="J15" s="80" t="s">
        <v>127</v>
      </c>
    </row>
    <row r="16" spans="2:12" x14ac:dyDescent="0.2">
      <c r="B16" s="81">
        <v>-1</v>
      </c>
      <c r="C16" s="81">
        <v>1</v>
      </c>
      <c r="D16" s="81">
        <v>1</v>
      </c>
      <c r="E16" s="81">
        <v>1</v>
      </c>
      <c r="F16" s="81">
        <v>-0.57735026899999997</v>
      </c>
      <c r="G16" s="81">
        <v>0.57735026899999997</v>
      </c>
      <c r="H16" s="81">
        <f>COS(F16+PI())</f>
        <v>-0.83791182779849183</v>
      </c>
      <c r="I16" s="81">
        <f>COS(G16+PI())</f>
        <v>-0.83791182779849194</v>
      </c>
      <c r="J16" s="81">
        <f>H16+I16</f>
        <v>-1.6758236555969837</v>
      </c>
    </row>
  </sheetData>
  <mergeCells count="10">
    <mergeCell ref="B13:G14"/>
    <mergeCell ref="H13:J14"/>
    <mergeCell ref="B2:G3"/>
    <mergeCell ref="H2:L2"/>
    <mergeCell ref="H3:I3"/>
    <mergeCell ref="J3:K3"/>
    <mergeCell ref="B8:G9"/>
    <mergeCell ref="H8:L8"/>
    <mergeCell ref="H9:I9"/>
    <mergeCell ref="J9:K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C590-2AF0-8B4A-9B49-F11474EF653F}">
  <dimension ref="C6:O23"/>
  <sheetViews>
    <sheetView workbookViewId="0">
      <selection activeCell="L19" sqref="L19"/>
    </sheetView>
  </sheetViews>
  <sheetFormatPr baseColWidth="10" defaultRowHeight="16" x14ac:dyDescent="0.2"/>
  <cols>
    <col min="3" max="3" width="3" bestFit="1" customWidth="1"/>
    <col min="6" max="6" width="3" bestFit="1" customWidth="1"/>
    <col min="9" max="9" width="14.1640625" bestFit="1" customWidth="1"/>
    <col min="11" max="11" width="9.5" bestFit="1" customWidth="1"/>
    <col min="14" max="14" width="20" bestFit="1" customWidth="1"/>
    <col min="15" max="15" width="21.83203125" bestFit="1" customWidth="1"/>
    <col min="17" max="17" width="20" bestFit="1" customWidth="1"/>
    <col min="18" max="18" width="21.83203125" bestFit="1" customWidth="1"/>
  </cols>
  <sheetData>
    <row r="6" spans="3:15" ht="17" thickBot="1" x14ac:dyDescent="0.25"/>
    <row r="7" spans="3:15" ht="24" thickBot="1" x14ac:dyDescent="0.25">
      <c r="D7" s="25" t="s">
        <v>0</v>
      </c>
      <c r="E7" s="26" t="s">
        <v>17</v>
      </c>
    </row>
    <row r="8" spans="3:15" ht="23" thickBot="1" x14ac:dyDescent="0.25">
      <c r="C8" t="s">
        <v>18</v>
      </c>
      <c r="D8" s="30">
        <v>0</v>
      </c>
      <c r="E8" s="31">
        <v>5</v>
      </c>
      <c r="F8" t="s">
        <v>23</v>
      </c>
      <c r="I8" s="86" t="s">
        <v>28</v>
      </c>
      <c r="J8" s="86"/>
      <c r="O8" s="40">
        <v>0.602678571</v>
      </c>
    </row>
    <row r="9" spans="3:15" ht="23" thickBot="1" x14ac:dyDescent="0.25">
      <c r="C9" t="s">
        <v>19</v>
      </c>
      <c r="D9" s="32">
        <v>1</v>
      </c>
      <c r="E9" s="33">
        <v>7</v>
      </c>
      <c r="F9" t="s">
        <v>24</v>
      </c>
      <c r="I9" s="12" t="s">
        <v>29</v>
      </c>
      <c r="J9" s="12">
        <v>2.5</v>
      </c>
      <c r="K9" s="11"/>
      <c r="O9" s="32">
        <v>-4.1015625</v>
      </c>
    </row>
    <row r="10" spans="3:15" ht="23" thickBot="1" x14ac:dyDescent="0.25">
      <c r="C10" t="s">
        <v>20</v>
      </c>
      <c r="D10" s="34">
        <v>2</v>
      </c>
      <c r="E10" s="35">
        <v>9</v>
      </c>
      <c r="F10" t="s">
        <v>25</v>
      </c>
      <c r="I10" s="12" t="s">
        <v>30</v>
      </c>
      <c r="J10" s="12">
        <v>0</v>
      </c>
      <c r="K10" s="11"/>
      <c r="O10" s="34">
        <v>12.65625</v>
      </c>
    </row>
    <row r="11" spans="3:15" ht="23" thickBot="1" x14ac:dyDescent="0.25">
      <c r="C11" t="s">
        <v>21</v>
      </c>
      <c r="D11" s="36">
        <v>5</v>
      </c>
      <c r="E11" s="37">
        <v>15</v>
      </c>
      <c r="F11" t="s">
        <v>26</v>
      </c>
      <c r="I11" s="12" t="s">
        <v>31</v>
      </c>
      <c r="J11" s="12">
        <v>1</v>
      </c>
      <c r="K11" s="11"/>
      <c r="O11" s="36">
        <v>1.0546875</v>
      </c>
    </row>
    <row r="12" spans="3:15" ht="23" thickBot="1" x14ac:dyDescent="0.25">
      <c r="C12" t="s">
        <v>22</v>
      </c>
      <c r="D12" s="38">
        <v>7</v>
      </c>
      <c r="E12" s="39">
        <v>19</v>
      </c>
      <c r="F12" t="s">
        <v>27</v>
      </c>
      <c r="I12" s="12" t="s">
        <v>32</v>
      </c>
      <c r="J12" s="12">
        <v>2</v>
      </c>
      <c r="K12" s="11"/>
      <c r="O12" s="41">
        <v>-0.212053571</v>
      </c>
    </row>
    <row r="13" spans="3:15" ht="23" thickBot="1" x14ac:dyDescent="0.35">
      <c r="I13" s="12" t="s">
        <v>33</v>
      </c>
      <c r="J13" s="12">
        <v>7</v>
      </c>
      <c r="K13" s="11"/>
      <c r="N13" s="42" t="s">
        <v>38</v>
      </c>
      <c r="O13" s="43">
        <f>SUM(O8:O12)</f>
        <v>10</v>
      </c>
    </row>
    <row r="14" spans="3:15" x14ac:dyDescent="0.2">
      <c r="I14" s="27" t="s">
        <v>34</v>
      </c>
      <c r="J14" s="28">
        <f>((J9-J10)*(J9-J11)*(J9-J12)*(J9-J13))</f>
        <v>-8.4375</v>
      </c>
      <c r="K14" s="11"/>
    </row>
    <row r="15" spans="3:15" x14ac:dyDescent="0.2">
      <c r="K15" s="87" t="s">
        <v>37</v>
      </c>
      <c r="L15" s="87"/>
    </row>
    <row r="16" spans="3:15" x14ac:dyDescent="0.2">
      <c r="K16" s="88">
        <f>((J14/J23)*L18)</f>
        <v>1.0546875</v>
      </c>
      <c r="L16" s="88"/>
    </row>
    <row r="17" spans="9:12" x14ac:dyDescent="0.2">
      <c r="I17" s="86" t="s">
        <v>36</v>
      </c>
      <c r="J17" s="86"/>
    </row>
    <row r="18" spans="9:12" x14ac:dyDescent="0.2">
      <c r="I18" s="12" t="s">
        <v>35</v>
      </c>
      <c r="J18" s="12">
        <v>5</v>
      </c>
      <c r="K18" s="12" t="s">
        <v>10</v>
      </c>
      <c r="L18" s="12">
        <v>15</v>
      </c>
    </row>
    <row r="19" spans="9:12" x14ac:dyDescent="0.2">
      <c r="I19" s="12" t="s">
        <v>30</v>
      </c>
      <c r="J19" s="12">
        <v>0</v>
      </c>
    </row>
    <row r="20" spans="9:12" x14ac:dyDescent="0.2">
      <c r="I20" s="12" t="s">
        <v>31</v>
      </c>
      <c r="J20" s="12">
        <f>J11</f>
        <v>1</v>
      </c>
    </row>
    <row r="21" spans="9:12" x14ac:dyDescent="0.2">
      <c r="I21" s="12" t="s">
        <v>32</v>
      </c>
      <c r="J21" s="12">
        <f>J12</f>
        <v>2</v>
      </c>
    </row>
    <row r="22" spans="9:12" x14ac:dyDescent="0.2">
      <c r="I22" s="12" t="s">
        <v>33</v>
      </c>
      <c r="J22" s="12">
        <f>J13</f>
        <v>7</v>
      </c>
    </row>
    <row r="23" spans="9:12" x14ac:dyDescent="0.2">
      <c r="I23" s="27" t="s">
        <v>34</v>
      </c>
      <c r="J23" s="28">
        <f>((J18-J19)*(J18-J20)*(J18-J21)*(J18-J22))</f>
        <v>-120</v>
      </c>
    </row>
  </sheetData>
  <mergeCells count="4">
    <mergeCell ref="I8:J8"/>
    <mergeCell ref="I17:J17"/>
    <mergeCell ref="K15:L15"/>
    <mergeCell ref="K16:L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25E73-7B7F-0346-8983-B55E2E5DF781}">
  <dimension ref="C6:O23"/>
  <sheetViews>
    <sheetView workbookViewId="0">
      <selection activeCell="J23" sqref="J23"/>
    </sheetView>
  </sheetViews>
  <sheetFormatPr baseColWidth="10" defaultRowHeight="16" x14ac:dyDescent="0.2"/>
  <cols>
    <col min="2" max="2" width="10.83203125" customWidth="1"/>
    <col min="3" max="3" width="3" customWidth="1"/>
    <col min="6" max="6" width="3" bestFit="1" customWidth="1"/>
    <col min="9" max="9" width="14.1640625" bestFit="1" customWidth="1"/>
    <col min="11" max="11" width="9.5" bestFit="1" customWidth="1"/>
    <col min="14" max="14" width="20" bestFit="1" customWidth="1"/>
    <col min="15" max="15" width="21.83203125" bestFit="1" customWidth="1"/>
    <col min="17" max="17" width="20" bestFit="1" customWidth="1"/>
    <col min="18" max="18" width="21.83203125" bestFit="1" customWidth="1"/>
  </cols>
  <sheetData>
    <row r="6" spans="3:15" ht="17" thickBot="1" x14ac:dyDescent="0.25"/>
    <row r="7" spans="3:15" ht="24" thickBot="1" x14ac:dyDescent="0.25">
      <c r="D7" s="25" t="s">
        <v>17</v>
      </c>
      <c r="E7" s="26" t="s">
        <v>39</v>
      </c>
    </row>
    <row r="8" spans="3:15" ht="23" thickBot="1" x14ac:dyDescent="0.25">
      <c r="C8" t="s">
        <v>18</v>
      </c>
      <c r="D8" s="40">
        <v>5</v>
      </c>
      <c r="E8" s="40">
        <v>0</v>
      </c>
      <c r="F8" t="s">
        <v>23</v>
      </c>
      <c r="I8" s="86" t="s">
        <v>28</v>
      </c>
      <c r="J8" s="86"/>
      <c r="O8" s="40">
        <v>0</v>
      </c>
    </row>
    <row r="9" spans="3:15" ht="23" thickBot="1" x14ac:dyDescent="0.25">
      <c r="C9" t="s">
        <v>19</v>
      </c>
      <c r="D9" s="32">
        <v>7</v>
      </c>
      <c r="E9" s="32">
        <v>1</v>
      </c>
      <c r="F9" t="s">
        <v>24</v>
      </c>
      <c r="I9" s="12" t="s">
        <v>40</v>
      </c>
      <c r="J9" s="12">
        <v>7.2</v>
      </c>
      <c r="K9" s="11"/>
      <c r="O9" s="32">
        <v>0.94916250000000002</v>
      </c>
    </row>
    <row r="10" spans="3:15" ht="23" thickBot="1" x14ac:dyDescent="0.25">
      <c r="C10" t="s">
        <v>20</v>
      </c>
      <c r="D10" s="34">
        <v>9</v>
      </c>
      <c r="E10" s="34">
        <v>2</v>
      </c>
      <c r="F10" t="s">
        <v>25</v>
      </c>
      <c r="I10" s="12" t="s">
        <v>41</v>
      </c>
      <c r="J10" s="12">
        <v>5</v>
      </c>
      <c r="K10" s="11"/>
      <c r="O10" s="34">
        <v>0.16874</v>
      </c>
    </row>
    <row r="11" spans="3:15" ht="23" thickBot="1" x14ac:dyDescent="0.25">
      <c r="C11" t="s">
        <v>21</v>
      </c>
      <c r="D11" s="36">
        <v>15</v>
      </c>
      <c r="E11" s="36">
        <v>5</v>
      </c>
      <c r="F11" t="s">
        <v>26</v>
      </c>
      <c r="I11" s="12" t="s">
        <v>42</v>
      </c>
      <c r="J11" s="12">
        <v>7</v>
      </c>
      <c r="K11" s="11"/>
      <c r="O11" s="36">
        <v>-2.4337500000000001E-2</v>
      </c>
    </row>
    <row r="12" spans="3:15" ht="23" thickBot="1" x14ac:dyDescent="0.25">
      <c r="C12" t="s">
        <v>22</v>
      </c>
      <c r="D12" s="44">
        <v>19</v>
      </c>
      <c r="E12" s="44">
        <v>7</v>
      </c>
      <c r="F12" t="s">
        <v>27</v>
      </c>
      <c r="I12" s="12" t="s">
        <v>43</v>
      </c>
      <c r="J12" s="12">
        <v>9</v>
      </c>
      <c r="K12" s="11"/>
      <c r="O12" s="41">
        <v>6.4349999999999997E-3</v>
      </c>
    </row>
    <row r="13" spans="3:15" ht="23" thickBot="1" x14ac:dyDescent="0.35">
      <c r="I13" s="12" t="s">
        <v>44</v>
      </c>
      <c r="J13" s="12">
        <v>15</v>
      </c>
      <c r="K13" s="11"/>
      <c r="N13" s="42" t="s">
        <v>38</v>
      </c>
      <c r="O13" s="43">
        <f>SUM(O8:O12)</f>
        <v>1.1000000000000001</v>
      </c>
    </row>
    <row r="14" spans="3:15" x14ac:dyDescent="0.2">
      <c r="I14" s="29" t="s">
        <v>34</v>
      </c>
      <c r="J14" s="28">
        <f>((J9-J10)*(J9-J11)*(J9-J12)*(J9-J13))</f>
        <v>6.1776000000000053</v>
      </c>
      <c r="K14" s="11"/>
    </row>
    <row r="15" spans="3:15" x14ac:dyDescent="0.2">
      <c r="K15" s="87" t="s">
        <v>37</v>
      </c>
      <c r="L15" s="87"/>
    </row>
    <row r="16" spans="3:15" x14ac:dyDescent="0.2">
      <c r="K16" s="88" t="e">
        <f>((J14/J23)*L18)</f>
        <v>#DIV/0!</v>
      </c>
      <c r="L16" s="88"/>
    </row>
    <row r="17" spans="9:12" x14ac:dyDescent="0.2">
      <c r="I17" s="86" t="s">
        <v>36</v>
      </c>
      <c r="J17" s="86"/>
    </row>
    <row r="18" spans="9:12" x14ac:dyDescent="0.2">
      <c r="I18" s="12" t="s">
        <v>45</v>
      </c>
      <c r="J18" s="12">
        <v>15</v>
      </c>
      <c r="K18" s="12" t="s">
        <v>6</v>
      </c>
      <c r="L18" s="12">
        <v>7</v>
      </c>
    </row>
    <row r="19" spans="9:12" x14ac:dyDescent="0.2">
      <c r="I19" s="12" t="s">
        <v>41</v>
      </c>
      <c r="J19" s="12">
        <v>5</v>
      </c>
    </row>
    <row r="20" spans="9:12" x14ac:dyDescent="0.2">
      <c r="I20" s="12" t="s">
        <v>42</v>
      </c>
      <c r="J20" s="12">
        <f>J11</f>
        <v>7</v>
      </c>
    </row>
    <row r="21" spans="9:12" x14ac:dyDescent="0.2">
      <c r="I21" s="12" t="s">
        <v>43</v>
      </c>
      <c r="J21" s="12">
        <f>J12</f>
        <v>9</v>
      </c>
    </row>
    <row r="22" spans="9:12" x14ac:dyDescent="0.2">
      <c r="I22" s="12" t="s">
        <v>44</v>
      </c>
      <c r="J22" s="12">
        <f>J13</f>
        <v>15</v>
      </c>
    </row>
    <row r="23" spans="9:12" x14ac:dyDescent="0.2">
      <c r="I23" s="29" t="s">
        <v>34</v>
      </c>
      <c r="J23" s="28">
        <f>((J18-J19)*(J18-J20)*(J18-J21)*(J18-J22))</f>
        <v>0</v>
      </c>
    </row>
  </sheetData>
  <mergeCells count="4">
    <mergeCell ref="I8:J8"/>
    <mergeCell ref="K15:L15"/>
    <mergeCell ref="K16:L16"/>
    <mergeCell ref="I17:J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A85AD-50AA-C243-A17B-894EB95038A5}">
  <dimension ref="A4:N26"/>
  <sheetViews>
    <sheetView topLeftCell="A5" workbookViewId="0">
      <selection activeCell="J20" sqref="J20"/>
    </sheetView>
  </sheetViews>
  <sheetFormatPr baseColWidth="10" defaultRowHeight="16" x14ac:dyDescent="0.2"/>
  <cols>
    <col min="1" max="1" width="13.5" bestFit="1" customWidth="1"/>
    <col min="4" max="4" width="10.83203125" style="5"/>
    <col min="5" max="5" width="10.83203125" style="6"/>
    <col min="6" max="6" width="10.83203125" style="17"/>
    <col min="9" max="9" width="8" customWidth="1"/>
    <col min="14" max="14" width="13.6640625" bestFit="1" customWidth="1"/>
  </cols>
  <sheetData>
    <row r="4" spans="1:12" x14ac:dyDescent="0.2">
      <c r="E4"/>
    </row>
    <row r="6" spans="1:12" ht="17" thickBot="1" x14ac:dyDescent="0.25"/>
    <row r="7" spans="1:12" ht="17" thickBot="1" x14ac:dyDescent="0.25">
      <c r="B7" s="1" t="s">
        <v>46</v>
      </c>
      <c r="C7" s="1" t="s">
        <v>47</v>
      </c>
      <c r="D7" s="22" t="s">
        <v>2</v>
      </c>
      <c r="E7" s="7" t="s">
        <v>3</v>
      </c>
      <c r="F7" s="8" t="s">
        <v>4</v>
      </c>
      <c r="G7" s="47" t="s">
        <v>48</v>
      </c>
      <c r="H7" s="48" t="s">
        <v>49</v>
      </c>
      <c r="I7" s="49" t="s">
        <v>3</v>
      </c>
    </row>
    <row r="8" spans="1:12" ht="17" thickBot="1" x14ac:dyDescent="0.25">
      <c r="A8" s="84" t="s">
        <v>9</v>
      </c>
      <c r="B8" s="21">
        <v>0</v>
      </c>
      <c r="C8" s="1">
        <v>0</v>
      </c>
      <c r="D8" s="18"/>
      <c r="E8"/>
      <c r="F8"/>
    </row>
    <row r="9" spans="1:12" ht="17" thickBot="1" x14ac:dyDescent="0.25">
      <c r="A9" s="85"/>
      <c r="B9" s="23"/>
      <c r="C9" s="24"/>
      <c r="D9" s="4">
        <f>C10-C8</f>
        <v>0.5</v>
      </c>
      <c r="E9"/>
      <c r="F9"/>
    </row>
    <row r="10" spans="1:12" ht="17" thickBot="1" x14ac:dyDescent="0.25">
      <c r="A10" s="85"/>
      <c r="B10" s="2">
        <v>5</v>
      </c>
      <c r="C10" s="3">
        <v>0.5</v>
      </c>
      <c r="D10" s="6"/>
      <c r="E10" s="7">
        <f>D11-D9</f>
        <v>6</v>
      </c>
      <c r="F10" s="6"/>
    </row>
    <row r="11" spans="1:12" ht="17" thickBot="1" x14ac:dyDescent="0.25">
      <c r="B11" s="15"/>
      <c r="C11" s="16"/>
      <c r="D11" s="4">
        <f>C12-C10</f>
        <v>6.5</v>
      </c>
      <c r="F11" s="8">
        <f>E12-E10</f>
        <v>7.6999999999999993</v>
      </c>
      <c r="K11" s="13" t="s">
        <v>57</v>
      </c>
      <c r="L11" s="12">
        <v>7.5</v>
      </c>
    </row>
    <row r="12" spans="1:12" ht="17" thickBot="1" x14ac:dyDescent="0.25">
      <c r="B12" s="2">
        <v>10</v>
      </c>
      <c r="C12" s="3">
        <v>7</v>
      </c>
      <c r="D12" s="6"/>
      <c r="E12" s="7">
        <f>D13-D11</f>
        <v>13.7</v>
      </c>
      <c r="F12" s="6"/>
      <c r="G12" s="47">
        <f>F13-F11</f>
        <v>-0.80000000000000071</v>
      </c>
      <c r="K12" s="13" t="s">
        <v>58</v>
      </c>
      <c r="L12" s="12">
        <v>5</v>
      </c>
    </row>
    <row r="13" spans="1:12" ht="17" thickBot="1" x14ac:dyDescent="0.25">
      <c r="B13" s="9" t="s">
        <v>46</v>
      </c>
      <c r="C13" s="10" t="s">
        <v>62</v>
      </c>
      <c r="D13" s="4">
        <f>C14-C12</f>
        <v>20.2</v>
      </c>
      <c r="F13" s="8">
        <f>E14-E12</f>
        <v>6.8999999999999986</v>
      </c>
      <c r="H13" s="48">
        <f>G14-G12</f>
        <v>2.0000000000000071</v>
      </c>
      <c r="K13" s="13" t="s">
        <v>7</v>
      </c>
      <c r="L13" s="12">
        <v>5</v>
      </c>
    </row>
    <row r="14" spans="1:12" ht="17" thickBot="1" x14ac:dyDescent="0.25">
      <c r="B14" s="2">
        <v>15</v>
      </c>
      <c r="C14" s="3">
        <v>27.2</v>
      </c>
      <c r="D14" s="6"/>
      <c r="E14" s="7">
        <f>D15-D13</f>
        <v>20.599999999999998</v>
      </c>
      <c r="F14" s="6"/>
      <c r="G14" s="47">
        <f>F15-F13</f>
        <v>1.2000000000000064</v>
      </c>
      <c r="I14" s="49">
        <f>H15-H13</f>
        <v>-4.0000000000000213</v>
      </c>
      <c r="K14" s="14" t="s">
        <v>8</v>
      </c>
      <c r="L14" s="4">
        <f>(L11-L12)/L13</f>
        <v>0.5</v>
      </c>
    </row>
    <row r="15" spans="1:12" ht="17" thickBot="1" x14ac:dyDescent="0.25">
      <c r="B15" s="15"/>
      <c r="C15" s="16"/>
      <c r="D15" s="4">
        <f>C16-C14</f>
        <v>40.799999999999997</v>
      </c>
      <c r="F15" s="8">
        <f>E16-E14</f>
        <v>8.100000000000005</v>
      </c>
      <c r="H15" s="48">
        <f>G16-G14</f>
        <v>-2.0000000000000142</v>
      </c>
      <c r="K15" s="13" t="s">
        <v>59</v>
      </c>
      <c r="L15" s="12">
        <v>0.5</v>
      </c>
    </row>
    <row r="16" spans="1:12" ht="17" thickBot="1" x14ac:dyDescent="0.25">
      <c r="B16" s="2">
        <v>20</v>
      </c>
      <c r="C16" s="3">
        <v>68</v>
      </c>
      <c r="D16" s="6"/>
      <c r="E16" s="7">
        <f>D17-D15</f>
        <v>28.700000000000003</v>
      </c>
      <c r="F16" s="6"/>
      <c r="G16" s="47">
        <f>F17-F15</f>
        <v>-0.80000000000000782</v>
      </c>
      <c r="I16" s="49">
        <v>-4</v>
      </c>
      <c r="K16" s="13" t="s">
        <v>13</v>
      </c>
      <c r="L16" s="12">
        <v>6.5</v>
      </c>
    </row>
    <row r="17" spans="2:14" ht="17" thickBot="1" x14ac:dyDescent="0.25">
      <c r="B17" s="2"/>
      <c r="C17" s="3"/>
      <c r="D17" s="4">
        <f>C18-C16</f>
        <v>69.5</v>
      </c>
      <c r="F17" s="8">
        <f>E18-E16</f>
        <v>7.2999999999999972</v>
      </c>
      <c r="H17" s="48">
        <v>-6</v>
      </c>
      <c r="K17" s="13" t="s">
        <v>12</v>
      </c>
      <c r="L17" s="12">
        <v>13.7</v>
      </c>
    </row>
    <row r="18" spans="2:14" ht="17" thickBot="1" x14ac:dyDescent="0.25">
      <c r="B18" s="2">
        <v>25</v>
      </c>
      <c r="C18" s="3">
        <v>137.5</v>
      </c>
      <c r="D18" s="6"/>
      <c r="E18" s="7">
        <f>D19-D17</f>
        <v>36</v>
      </c>
      <c r="F18" s="6"/>
      <c r="I18" s="49">
        <v>-4</v>
      </c>
      <c r="K18" s="13" t="s">
        <v>14</v>
      </c>
      <c r="L18" s="12">
        <v>6.9</v>
      </c>
    </row>
    <row r="19" spans="2:14" ht="17" thickBot="1" x14ac:dyDescent="0.25">
      <c r="B19" s="2"/>
      <c r="C19" s="3"/>
      <c r="D19" s="4">
        <f>C20-C18</f>
        <v>105.5</v>
      </c>
      <c r="E19"/>
      <c r="F19"/>
      <c r="K19" s="13" t="s">
        <v>50</v>
      </c>
      <c r="L19" s="12">
        <v>1.2</v>
      </c>
      <c r="M19" s="12">
        <f>((L14*(L14-1)*(L14-2)*(L14-3))/24)*L19</f>
        <v>-4.6875E-2</v>
      </c>
      <c r="N19" s="13" t="s">
        <v>53</v>
      </c>
    </row>
    <row r="20" spans="2:14" ht="17" thickBot="1" x14ac:dyDescent="0.25">
      <c r="B20" s="2">
        <v>30</v>
      </c>
      <c r="C20" s="3">
        <v>243</v>
      </c>
      <c r="D20" s="6"/>
      <c r="E20"/>
      <c r="F20"/>
      <c r="K20" s="13" t="s">
        <v>51</v>
      </c>
      <c r="L20" s="12">
        <v>-2</v>
      </c>
      <c r="M20" s="12">
        <f>((L14*(L14-1)*(L14-2)*(L14-3)*(L14-4))/120)*L20</f>
        <v>-5.46875E-2</v>
      </c>
      <c r="N20" s="13" t="s">
        <v>54</v>
      </c>
    </row>
    <row r="21" spans="2:14" x14ac:dyDescent="0.2">
      <c r="D21"/>
      <c r="E21"/>
      <c r="F21"/>
      <c r="K21" s="13" t="s">
        <v>52</v>
      </c>
      <c r="L21" s="12">
        <v>-4</v>
      </c>
      <c r="M21" s="12">
        <f>((L14*(L14-1)*(L14-2)*(L14-3)*(L14-4)*(L14-5))/720)*L21</f>
        <v>8.203125E-2</v>
      </c>
      <c r="N21" s="13" t="s">
        <v>55</v>
      </c>
    </row>
    <row r="22" spans="2:14" x14ac:dyDescent="0.2">
      <c r="D22"/>
      <c r="E22"/>
      <c r="F22"/>
      <c r="K22" s="14" t="s">
        <v>56</v>
      </c>
      <c r="L22" s="4">
        <f>L15+(L14*L16)+(((L14*(L14-1))/2)*L17)+((L14*(L14-1)*(L14-2))/6)*L18+M19+M20+M21</f>
        <v>2.44921875</v>
      </c>
    </row>
    <row r="23" spans="2:14" x14ac:dyDescent="0.2">
      <c r="F23"/>
    </row>
    <row r="24" spans="2:14" x14ac:dyDescent="0.2">
      <c r="F24"/>
    </row>
    <row r="25" spans="2:14" x14ac:dyDescent="0.2">
      <c r="F25"/>
      <c r="G25" s="50"/>
    </row>
    <row r="26" spans="2:14" x14ac:dyDescent="0.2">
      <c r="F26"/>
    </row>
  </sheetData>
  <mergeCells count="1">
    <mergeCell ref="A8:A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4FB2-3238-7E42-B965-2BD662C268A9}">
  <dimension ref="C6:O27"/>
  <sheetViews>
    <sheetView topLeftCell="A9" workbookViewId="0">
      <selection activeCell="L5" sqref="L5"/>
    </sheetView>
  </sheetViews>
  <sheetFormatPr baseColWidth="10" defaultRowHeight="16" x14ac:dyDescent="0.2"/>
  <cols>
    <col min="3" max="3" width="3" bestFit="1" customWidth="1"/>
    <col min="6" max="6" width="3" bestFit="1" customWidth="1"/>
    <col min="9" max="9" width="14.1640625" bestFit="1" customWidth="1"/>
    <col min="11" max="11" width="9.5" bestFit="1" customWidth="1"/>
    <col min="14" max="14" width="20" bestFit="1" customWidth="1"/>
    <col min="15" max="15" width="21.83203125" bestFit="1" customWidth="1"/>
    <col min="17" max="17" width="20" bestFit="1" customWidth="1"/>
    <col min="18" max="18" width="21.83203125" bestFit="1" customWidth="1"/>
  </cols>
  <sheetData>
    <row r="6" spans="3:15" ht="17" thickBot="1" x14ac:dyDescent="0.25"/>
    <row r="7" spans="3:15" ht="24" thickBot="1" x14ac:dyDescent="0.25">
      <c r="D7" s="25" t="s">
        <v>47</v>
      </c>
      <c r="E7" s="25" t="s">
        <v>46</v>
      </c>
    </row>
    <row r="8" spans="3:15" ht="23" thickBot="1" x14ac:dyDescent="0.25">
      <c r="C8" t="s">
        <v>70</v>
      </c>
      <c r="D8" s="40">
        <v>0</v>
      </c>
      <c r="E8" s="30">
        <v>0</v>
      </c>
      <c r="F8" t="s">
        <v>63</v>
      </c>
      <c r="I8" s="86" t="s">
        <v>28</v>
      </c>
      <c r="J8" s="86"/>
      <c r="O8" s="40">
        <v>0</v>
      </c>
    </row>
    <row r="9" spans="3:15" ht="23" thickBot="1" x14ac:dyDescent="0.25">
      <c r="C9" t="s">
        <v>71</v>
      </c>
      <c r="D9" s="32">
        <v>0.5</v>
      </c>
      <c r="E9" s="32">
        <v>5</v>
      </c>
      <c r="F9" t="s">
        <v>64</v>
      </c>
      <c r="I9" s="12" t="s">
        <v>75</v>
      </c>
      <c r="J9" s="12">
        <v>27.3</v>
      </c>
      <c r="K9" s="11"/>
      <c r="O9" s="32">
        <v>1.377603168</v>
      </c>
    </row>
    <row r="10" spans="3:15" ht="23" thickBot="1" x14ac:dyDescent="0.25">
      <c r="C10" t="s">
        <v>72</v>
      </c>
      <c r="D10" s="34">
        <v>7</v>
      </c>
      <c r="E10" s="34">
        <v>10</v>
      </c>
      <c r="F10" t="s">
        <v>65</v>
      </c>
      <c r="I10" s="12" t="s">
        <v>76</v>
      </c>
      <c r="J10" s="12">
        <v>0</v>
      </c>
      <c r="K10" s="11"/>
      <c r="O10" s="34">
        <v>-0.40992884099999999</v>
      </c>
    </row>
    <row r="11" spans="3:15" ht="23" thickBot="1" x14ac:dyDescent="0.25">
      <c r="C11" t="s">
        <v>73</v>
      </c>
      <c r="D11" s="36">
        <v>27.2</v>
      </c>
      <c r="E11" s="36">
        <v>15</v>
      </c>
      <c r="F11" t="s">
        <v>66</v>
      </c>
      <c r="I11" s="12" t="s">
        <v>77</v>
      </c>
      <c r="J11" s="12">
        <v>0.5</v>
      </c>
      <c r="K11" s="11"/>
      <c r="O11" s="36">
        <v>15.12837343</v>
      </c>
    </row>
    <row r="12" spans="3:15" ht="23" thickBot="1" x14ac:dyDescent="0.25">
      <c r="C12" t="s">
        <v>74</v>
      </c>
      <c r="D12" s="38">
        <v>68</v>
      </c>
      <c r="E12" s="38">
        <v>20</v>
      </c>
      <c r="F12" t="s">
        <v>67</v>
      </c>
      <c r="I12" s="12" t="s">
        <v>78</v>
      </c>
      <c r="J12" s="12">
        <v>7</v>
      </c>
      <c r="K12" s="11"/>
      <c r="O12" s="41">
        <v>5.0819419999999999E-3</v>
      </c>
    </row>
    <row r="13" spans="3:15" ht="23" thickBot="1" x14ac:dyDescent="0.25">
      <c r="C13" t="s">
        <v>60</v>
      </c>
      <c r="D13" s="51">
        <v>137.5</v>
      </c>
      <c r="E13" s="51">
        <v>25</v>
      </c>
      <c r="F13" t="s">
        <v>68</v>
      </c>
      <c r="I13" s="12" t="s">
        <v>79</v>
      </c>
      <c r="J13" s="12">
        <v>27.2</v>
      </c>
      <c r="K13" s="11"/>
      <c r="O13" s="53">
        <v>-1.6395799999999999E-4</v>
      </c>
    </row>
    <row r="14" spans="3:15" ht="23" thickBot="1" x14ac:dyDescent="0.25">
      <c r="C14" t="s">
        <v>61</v>
      </c>
      <c r="D14" s="52">
        <v>243</v>
      </c>
      <c r="E14" s="52">
        <v>30</v>
      </c>
      <c r="F14" t="s">
        <v>69</v>
      </c>
      <c r="I14" s="12" t="s">
        <v>80</v>
      </c>
      <c r="J14" s="12">
        <v>68</v>
      </c>
      <c r="K14" s="11"/>
      <c r="O14" s="52">
        <v>3.6067699999999999E-6</v>
      </c>
    </row>
    <row r="15" spans="3:15" ht="23" thickBot="1" x14ac:dyDescent="0.35">
      <c r="I15" s="12" t="s">
        <v>81</v>
      </c>
      <c r="J15" s="12">
        <v>137.5</v>
      </c>
      <c r="K15" s="11"/>
      <c r="N15" s="54" t="s">
        <v>38</v>
      </c>
      <c r="O15" s="55">
        <f>SUM(O8:O14)</f>
        <v>16.10096934777</v>
      </c>
    </row>
    <row r="16" spans="3:15" x14ac:dyDescent="0.2">
      <c r="I16" s="45" t="s">
        <v>34</v>
      </c>
      <c r="J16" s="28">
        <f>((J9-J10)*(J9-J11)*(J9-J12)*(J9-J13)*(J9-J14)*(J9-J15))</f>
        <v>6661460.8940880951</v>
      </c>
      <c r="K16" s="11"/>
    </row>
    <row r="17" spans="9:12" x14ac:dyDescent="0.2">
      <c r="K17" s="87" t="s">
        <v>37</v>
      </c>
      <c r="L17" s="87"/>
    </row>
    <row r="18" spans="9:12" x14ac:dyDescent="0.2">
      <c r="K18" s="88">
        <f>((J16/J27)*L20)</f>
        <v>3.6067726623783235E-6</v>
      </c>
      <c r="L18" s="88"/>
    </row>
    <row r="19" spans="9:12" x14ac:dyDescent="0.2">
      <c r="I19" s="86" t="s">
        <v>36</v>
      </c>
      <c r="J19" s="86"/>
    </row>
    <row r="20" spans="9:12" x14ac:dyDescent="0.2">
      <c r="I20" s="12" t="s">
        <v>82</v>
      </c>
      <c r="J20" s="12">
        <v>243</v>
      </c>
      <c r="K20" s="12" t="s">
        <v>58</v>
      </c>
      <c r="L20" s="12">
        <v>30</v>
      </c>
    </row>
    <row r="21" spans="9:12" x14ac:dyDescent="0.2">
      <c r="I21" s="12" t="s">
        <v>76</v>
      </c>
      <c r="J21" s="12">
        <v>0</v>
      </c>
    </row>
    <row r="22" spans="9:12" x14ac:dyDescent="0.2">
      <c r="I22" s="12" t="s">
        <v>77</v>
      </c>
      <c r="J22" s="12">
        <f>J11</f>
        <v>0.5</v>
      </c>
    </row>
    <row r="23" spans="9:12" x14ac:dyDescent="0.2">
      <c r="I23" s="12" t="s">
        <v>78</v>
      </c>
      <c r="J23" s="12">
        <f t="shared" ref="J23:J26" si="0">J12</f>
        <v>7</v>
      </c>
    </row>
    <row r="24" spans="9:12" x14ac:dyDescent="0.2">
      <c r="I24" s="12" t="s">
        <v>79</v>
      </c>
      <c r="J24" s="12">
        <f t="shared" si="0"/>
        <v>27.2</v>
      </c>
    </row>
    <row r="25" spans="9:12" x14ac:dyDescent="0.2">
      <c r="I25" s="12" t="s">
        <v>80</v>
      </c>
      <c r="J25" s="12">
        <f t="shared" si="0"/>
        <v>68</v>
      </c>
    </row>
    <row r="26" spans="9:12" x14ac:dyDescent="0.2">
      <c r="I26" s="12" t="s">
        <v>81</v>
      </c>
      <c r="J26" s="12">
        <f t="shared" si="0"/>
        <v>137.5</v>
      </c>
    </row>
    <row r="27" spans="9:12" x14ac:dyDescent="0.2">
      <c r="I27" s="45" t="s">
        <v>34</v>
      </c>
      <c r="J27" s="28">
        <f>((J20-J21)*(J20-J22)*(J20-J23)*(J20-J24)*(J20-J25)*(J20-J26))</f>
        <v>55407935439675</v>
      </c>
    </row>
  </sheetData>
  <mergeCells count="4">
    <mergeCell ref="I8:J8"/>
    <mergeCell ref="K17:L17"/>
    <mergeCell ref="K18:L18"/>
    <mergeCell ref="I19:J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C465F-155B-2944-A956-4CA5904EAA87}">
  <dimension ref="I4:L26"/>
  <sheetViews>
    <sheetView topLeftCell="A2" workbookViewId="0">
      <selection activeCell="M21" sqref="M21"/>
    </sheetView>
  </sheetViews>
  <sheetFormatPr baseColWidth="10" defaultRowHeight="16" x14ac:dyDescent="0.2"/>
  <sheetData>
    <row r="4" spans="9:12" x14ac:dyDescent="0.2">
      <c r="I4" s="56" t="s">
        <v>0</v>
      </c>
      <c r="J4" s="56" t="s">
        <v>83</v>
      </c>
    </row>
    <row r="5" spans="9:12" x14ac:dyDescent="0.2">
      <c r="I5" s="12">
        <v>1.8</v>
      </c>
      <c r="J5" s="12">
        <v>10.894</v>
      </c>
      <c r="L5" t="s">
        <v>84</v>
      </c>
    </row>
    <row r="6" spans="9:12" x14ac:dyDescent="0.2">
      <c r="I6" s="12">
        <f>I5+0.1</f>
        <v>1.9000000000000001</v>
      </c>
      <c r="J6" s="12">
        <v>12.703200000000001</v>
      </c>
      <c r="L6">
        <f>(1/0.1)*(-J7+J8)</f>
        <v>23.709000000000007</v>
      </c>
    </row>
    <row r="7" spans="9:12" x14ac:dyDescent="0.2">
      <c r="I7" s="46">
        <f t="shared" ref="I7:I9" si="0">I6+0.1</f>
        <v>2</v>
      </c>
      <c r="J7" s="46">
        <v>14.7781</v>
      </c>
    </row>
    <row r="8" spans="9:12" x14ac:dyDescent="0.2">
      <c r="I8" s="12">
        <f t="shared" si="0"/>
        <v>2.1</v>
      </c>
      <c r="J8" s="46">
        <v>17.149000000000001</v>
      </c>
    </row>
    <row r="9" spans="9:12" x14ac:dyDescent="0.2">
      <c r="I9" s="12">
        <f t="shared" si="0"/>
        <v>2.2000000000000002</v>
      </c>
      <c r="J9" s="12">
        <v>19.855</v>
      </c>
    </row>
    <row r="13" spans="9:12" x14ac:dyDescent="0.2">
      <c r="I13" s="56" t="s">
        <v>0</v>
      </c>
      <c r="J13" s="56" t="s">
        <v>83</v>
      </c>
    </row>
    <row r="14" spans="9:12" x14ac:dyDescent="0.2">
      <c r="I14" s="12">
        <v>1.8</v>
      </c>
      <c r="J14" s="12">
        <v>10.894</v>
      </c>
      <c r="L14" t="s">
        <v>86</v>
      </c>
    </row>
    <row r="15" spans="9:12" x14ac:dyDescent="0.2">
      <c r="I15" s="12">
        <f>I14+0.1</f>
        <v>1.9000000000000001</v>
      </c>
      <c r="J15" s="46">
        <v>12.703200000000001</v>
      </c>
      <c r="L15">
        <f>(1/(6*0.1))*(((-2)*J15)+((-3)*J16)+(6*J17)-J18)</f>
        <v>22.163833333333333</v>
      </c>
    </row>
    <row r="16" spans="9:12" x14ac:dyDescent="0.2">
      <c r="I16" s="46">
        <f t="shared" ref="I16:I18" si="1">I15+0.1</f>
        <v>2</v>
      </c>
      <c r="J16" s="46">
        <v>14.7781</v>
      </c>
    </row>
    <row r="17" spans="9:12" x14ac:dyDescent="0.2">
      <c r="I17" s="12">
        <f t="shared" si="1"/>
        <v>2.1</v>
      </c>
      <c r="J17" s="46">
        <v>17.149000000000001</v>
      </c>
    </row>
    <row r="18" spans="9:12" x14ac:dyDescent="0.2">
      <c r="I18" s="12">
        <f t="shared" si="1"/>
        <v>2.2000000000000002</v>
      </c>
      <c r="J18" s="46">
        <v>19.855</v>
      </c>
    </row>
    <row r="21" spans="9:12" x14ac:dyDescent="0.2">
      <c r="I21" s="56" t="s">
        <v>0</v>
      </c>
      <c r="J21" s="56" t="s">
        <v>83</v>
      </c>
    </row>
    <row r="22" spans="9:12" x14ac:dyDescent="0.2">
      <c r="I22" s="57">
        <v>1.8</v>
      </c>
      <c r="J22" s="57">
        <v>10.894</v>
      </c>
      <c r="L22" t="s">
        <v>85</v>
      </c>
    </row>
    <row r="23" spans="9:12" x14ac:dyDescent="0.2">
      <c r="I23" s="57">
        <f>I22+0.1</f>
        <v>1.9000000000000001</v>
      </c>
      <c r="J23" s="46">
        <v>12.703200000000001</v>
      </c>
      <c r="L23">
        <f>(1/(0.1^2))*(-J23+(4*J24)-(5*J25)+(2*J26))</f>
        <v>37.419999999999469</v>
      </c>
    </row>
    <row r="24" spans="9:12" x14ac:dyDescent="0.2">
      <c r="I24" s="57">
        <f t="shared" ref="I24:I26" si="2">I23+0.1</f>
        <v>2</v>
      </c>
      <c r="J24" s="46">
        <v>14.7781</v>
      </c>
    </row>
    <row r="25" spans="9:12" x14ac:dyDescent="0.2">
      <c r="I25" s="57">
        <f t="shared" si="2"/>
        <v>2.1</v>
      </c>
      <c r="J25" s="46">
        <v>17.149000000000001</v>
      </c>
    </row>
    <row r="26" spans="9:12" x14ac:dyDescent="0.2">
      <c r="I26" s="46">
        <f t="shared" si="2"/>
        <v>2.2000000000000002</v>
      </c>
      <c r="J26" s="46">
        <v>19.855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6A90-906B-0949-8931-60CDC8BAF50A}">
  <dimension ref="I3:M27"/>
  <sheetViews>
    <sheetView topLeftCell="C1" workbookViewId="0">
      <selection activeCell="O20" sqref="O20"/>
    </sheetView>
  </sheetViews>
  <sheetFormatPr baseColWidth="10" defaultRowHeight="16" x14ac:dyDescent="0.2"/>
  <cols>
    <col min="12" max="12" width="5.1640625" bestFit="1" customWidth="1"/>
    <col min="13" max="13" width="2.83203125" bestFit="1" customWidth="1"/>
  </cols>
  <sheetData>
    <row r="3" spans="9:13" x14ac:dyDescent="0.2">
      <c r="I3" t="s">
        <v>90</v>
      </c>
    </row>
    <row r="4" spans="9:13" x14ac:dyDescent="0.2">
      <c r="I4" s="89" t="s">
        <v>87</v>
      </c>
      <c r="J4" s="89"/>
      <c r="K4" s="89"/>
      <c r="L4" s="89"/>
    </row>
    <row r="12" spans="9:13" x14ac:dyDescent="0.2">
      <c r="I12" s="58" t="s">
        <v>46</v>
      </c>
      <c r="J12" s="58" t="s">
        <v>47</v>
      </c>
    </row>
    <row r="13" spans="9:13" x14ac:dyDescent="0.2">
      <c r="I13" s="12">
        <v>-3</v>
      </c>
      <c r="J13" s="59">
        <v>13</v>
      </c>
      <c r="L13" t="s">
        <v>88</v>
      </c>
    </row>
    <row r="14" spans="9:13" x14ac:dyDescent="0.2">
      <c r="I14" s="59">
        <f>I13+1</f>
        <v>-2</v>
      </c>
      <c r="J14" s="59">
        <v>3</v>
      </c>
      <c r="L14" s="60" t="s">
        <v>89</v>
      </c>
      <c r="M14" s="60">
        <f>(1/(6*1))*(-(2*J13)-(3*J14)+(6*J15)-J16)</f>
        <v>-7</v>
      </c>
    </row>
    <row r="15" spans="9:13" x14ac:dyDescent="0.2">
      <c r="I15" s="12">
        <f t="shared" ref="I15:I17" si="0">I14+1</f>
        <v>-1</v>
      </c>
      <c r="J15" s="59">
        <v>-1</v>
      </c>
    </row>
    <row r="16" spans="9:13" x14ac:dyDescent="0.2">
      <c r="I16" s="12">
        <f t="shared" si="0"/>
        <v>0</v>
      </c>
      <c r="J16" s="59">
        <v>1</v>
      </c>
    </row>
    <row r="17" spans="9:13" x14ac:dyDescent="0.2">
      <c r="I17" s="12">
        <f t="shared" si="0"/>
        <v>1</v>
      </c>
      <c r="J17" s="12">
        <v>9</v>
      </c>
    </row>
    <row r="18" spans="9:13" x14ac:dyDescent="0.2">
      <c r="I18" s="12">
        <f>I17+1</f>
        <v>2</v>
      </c>
      <c r="J18" s="12">
        <v>23</v>
      </c>
    </row>
    <row r="20" spans="9:13" x14ac:dyDescent="0.2">
      <c r="I20" t="s">
        <v>91</v>
      </c>
    </row>
    <row r="21" spans="9:13" x14ac:dyDescent="0.2">
      <c r="I21" s="58" t="s">
        <v>46</v>
      </c>
      <c r="J21" s="58" t="s">
        <v>47</v>
      </c>
    </row>
    <row r="22" spans="9:13" x14ac:dyDescent="0.2">
      <c r="I22" s="12">
        <v>-3</v>
      </c>
      <c r="J22" s="12">
        <v>13</v>
      </c>
    </row>
    <row r="23" spans="9:13" x14ac:dyDescent="0.2">
      <c r="I23" s="12">
        <f>I22+1</f>
        <v>-2</v>
      </c>
      <c r="J23" s="59">
        <v>3</v>
      </c>
      <c r="L23" s="60" t="s">
        <v>89</v>
      </c>
      <c r="M23" s="60">
        <f>(1/6)*(J23-(6*J24)+(3*J25)+(2*J26))</f>
        <v>5</v>
      </c>
    </row>
    <row r="24" spans="9:13" x14ac:dyDescent="0.2">
      <c r="I24" s="12">
        <f t="shared" ref="I24:I26" si="1">I23+1</f>
        <v>-1</v>
      </c>
      <c r="J24" s="59">
        <v>-1</v>
      </c>
    </row>
    <row r="25" spans="9:13" x14ac:dyDescent="0.2">
      <c r="I25" s="59">
        <f t="shared" si="1"/>
        <v>0</v>
      </c>
      <c r="J25" s="59">
        <v>1</v>
      </c>
    </row>
    <row r="26" spans="9:13" x14ac:dyDescent="0.2">
      <c r="I26" s="12">
        <f t="shared" si="1"/>
        <v>1</v>
      </c>
      <c r="J26" s="59">
        <v>9</v>
      </c>
    </row>
    <row r="27" spans="9:13" x14ac:dyDescent="0.2">
      <c r="I27" s="12">
        <f>I26+1</f>
        <v>2</v>
      </c>
      <c r="J27" s="12">
        <v>23</v>
      </c>
    </row>
  </sheetData>
  <mergeCells count="1">
    <mergeCell ref="I4:L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7A9EE-06B6-CB4A-A609-35A327C8AE76}">
  <dimension ref="B4:F13"/>
  <sheetViews>
    <sheetView workbookViewId="0">
      <selection activeCell="L6" sqref="L6"/>
    </sheetView>
  </sheetViews>
  <sheetFormatPr baseColWidth="10" defaultRowHeight="16" x14ac:dyDescent="0.2"/>
  <cols>
    <col min="3" max="3" width="12.1640625" bestFit="1" customWidth="1"/>
  </cols>
  <sheetData>
    <row r="4" spans="2:6" x14ac:dyDescent="0.2">
      <c r="B4" s="61" t="s">
        <v>0</v>
      </c>
      <c r="C4" s="61" t="s">
        <v>1</v>
      </c>
    </row>
    <row r="5" spans="2:6" x14ac:dyDescent="0.2">
      <c r="B5" s="12">
        <v>0.1</v>
      </c>
      <c r="C5" s="12">
        <f>B5^(B5^2)</f>
        <v>0.97723722095581067</v>
      </c>
    </row>
    <row r="6" spans="2:6" x14ac:dyDescent="0.2">
      <c r="B6" s="12">
        <f>B5+0.1</f>
        <v>0.2</v>
      </c>
      <c r="C6" s="12">
        <f t="shared" ref="C6:C12" si="0">B6^(B6^2)</f>
        <v>0.93765095400201548</v>
      </c>
      <c r="E6" t="s">
        <v>97</v>
      </c>
      <c r="F6">
        <f>(1/(6*0.1))*(C7-(6*C8)+(3*C9)+(2*C10))</f>
        <v>-0.16293973631741673</v>
      </c>
    </row>
    <row r="7" spans="2:6" x14ac:dyDescent="0.2">
      <c r="B7" s="12">
        <f t="shared" ref="B7:B12" si="1">B6+0.1</f>
        <v>0.30000000000000004</v>
      </c>
      <c r="C7" s="12">
        <f t="shared" si="0"/>
        <v>0.89730670490978248</v>
      </c>
    </row>
    <row r="8" spans="2:6" x14ac:dyDescent="0.2">
      <c r="B8" s="12">
        <f t="shared" si="1"/>
        <v>0.4</v>
      </c>
      <c r="C8" s="12">
        <f t="shared" si="0"/>
        <v>0.86363373567437107</v>
      </c>
    </row>
    <row r="9" spans="2:6" x14ac:dyDescent="0.2">
      <c r="B9" s="59">
        <f t="shared" si="1"/>
        <v>0.5</v>
      </c>
      <c r="C9" s="64">
        <f t="shared" si="0"/>
        <v>0.8408964152537145</v>
      </c>
    </row>
    <row r="10" spans="2:6" x14ac:dyDescent="0.2">
      <c r="B10" s="12">
        <f>B9+0.1</f>
        <v>0.6</v>
      </c>
      <c r="C10" s="12">
        <f t="shared" si="0"/>
        <v>0.83202131079242492</v>
      </c>
      <c r="E10" t="s">
        <v>98</v>
      </c>
      <c r="F10">
        <f>(B9^(B9^2))*(2*B9*LN(B9)+B9)</f>
        <v>-0.16241677174921992</v>
      </c>
    </row>
    <row r="11" spans="2:6" x14ac:dyDescent="0.2">
      <c r="B11" s="12">
        <f t="shared" si="1"/>
        <v>0.7</v>
      </c>
      <c r="C11" s="12">
        <f t="shared" si="0"/>
        <v>0.83964951141716193</v>
      </c>
      <c r="E11" t="s">
        <v>99</v>
      </c>
      <c r="F11">
        <f>ABS(F10-F6)</f>
        <v>5.2296456819680981E-4</v>
      </c>
    </row>
    <row r="12" spans="2:6" x14ac:dyDescent="0.2">
      <c r="B12" s="12">
        <f t="shared" si="1"/>
        <v>0.79999999999999993</v>
      </c>
      <c r="C12" s="12">
        <f t="shared" si="0"/>
        <v>0.86691714421490751</v>
      </c>
    </row>
    <row r="13" spans="2:6" x14ac:dyDescent="0.2">
      <c r="D13" t="s">
        <v>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818E1-32FB-C54C-BA89-D07C3C0CB061}">
  <dimension ref="I6:M13"/>
  <sheetViews>
    <sheetView workbookViewId="0">
      <selection activeCell="L20" sqref="L20"/>
    </sheetView>
  </sheetViews>
  <sheetFormatPr baseColWidth="10" defaultRowHeight="16" x14ac:dyDescent="0.2"/>
  <sheetData>
    <row r="6" spans="9:13" x14ac:dyDescent="0.2">
      <c r="I6" s="90" t="s">
        <v>94</v>
      </c>
      <c r="J6" s="90"/>
    </row>
    <row r="7" spans="9:13" x14ac:dyDescent="0.2">
      <c r="I7" s="13" t="s">
        <v>92</v>
      </c>
      <c r="J7" s="13" t="s">
        <v>93</v>
      </c>
    </row>
    <row r="8" spans="9:13" x14ac:dyDescent="0.2">
      <c r="I8" s="12">
        <v>5</v>
      </c>
      <c r="J8" s="12">
        <v>6.6327999999999996</v>
      </c>
    </row>
    <row r="9" spans="9:13" x14ac:dyDescent="0.2">
      <c r="I9" s="12">
        <f>I8+5</f>
        <v>10</v>
      </c>
      <c r="J9" s="12">
        <v>4.7590000000000003</v>
      </c>
      <c r="L9" t="s">
        <v>95</v>
      </c>
    </row>
    <row r="10" spans="9:13" x14ac:dyDescent="0.2">
      <c r="I10" s="62">
        <f>I9+5</f>
        <v>15</v>
      </c>
      <c r="J10" s="62">
        <v>3.6741000000000001</v>
      </c>
      <c r="L10" t="s">
        <v>96</v>
      </c>
      <c r="M10">
        <f>(1/(6*5))*(-(2*J9)-(3*J10)+(6*J11)-(J12))</f>
        <v>-0.17943666666666674</v>
      </c>
    </row>
    <row r="11" spans="9:13" x14ac:dyDescent="0.2">
      <c r="I11" s="59">
        <f>I10+5</f>
        <v>20</v>
      </c>
      <c r="J11" s="59">
        <v>2.9163999999999999</v>
      </c>
    </row>
    <row r="12" spans="9:13" x14ac:dyDescent="0.2">
      <c r="I12" s="12">
        <f>I11+5</f>
        <v>25</v>
      </c>
      <c r="J12" s="12">
        <v>2.3412000000000002</v>
      </c>
      <c r="L12" t="s">
        <v>97</v>
      </c>
      <c r="M12">
        <f>(1/(6*5))*((J9)-(6*J10)+(3*J11)+(2*J12))</f>
        <v>-0.12846666666666673</v>
      </c>
    </row>
    <row r="13" spans="9:13" x14ac:dyDescent="0.2">
      <c r="I13" s="12">
        <f>I12+5</f>
        <v>30</v>
      </c>
      <c r="J13" s="12">
        <v>1.8842000000000001</v>
      </c>
    </row>
  </sheetData>
  <mergeCells count="1">
    <mergeCell ref="I6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Interpolacion Newton</vt:lpstr>
      <vt:lpstr>Interpolacion Lagrange</vt:lpstr>
      <vt:lpstr>Interpolacion Inversa Lagrange</vt:lpstr>
      <vt:lpstr>Interpolacion Newton Ej</vt:lpstr>
      <vt:lpstr>Interpolacion Lagrange Ej</vt:lpstr>
      <vt:lpstr>Derivada_1</vt:lpstr>
      <vt:lpstr>Derivada_2</vt:lpstr>
      <vt:lpstr>Derivada_3</vt:lpstr>
      <vt:lpstr>Derivada Ej</vt:lpstr>
      <vt:lpstr>Integral_1</vt:lpstr>
      <vt:lpstr>Integral_2</vt:lpstr>
      <vt:lpstr>Integral Ej</vt:lpstr>
      <vt:lpstr>Cuadratura_1</vt:lpstr>
      <vt:lpstr>Cuadratura_2</vt:lpstr>
      <vt:lpstr>Cuadratura_3</vt:lpstr>
      <vt:lpstr>Cuadratura Ej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2020-03-31T16:59:55Z</dcterms:created>
  <dcterms:modified xsi:type="dcterms:W3CDTF">2020-05-07T00:18:40Z</dcterms:modified>
</cp:coreProperties>
</file>