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AD5872EB-6595-B045-8598-242DD3D19E2B}" xr6:coauthVersionLast="45" xr6:coauthVersionMax="45" xr10:uidLastSave="{00000000-0000-0000-0000-000000000000}"/>
  <bookViews>
    <workbookView xWindow="3120" yWindow="460" windowWidth="22480" windowHeight="13140" activeTab="2" xr2:uid="{00000000-000D-0000-FFFF-FFFF00000000}"/>
  </bookViews>
  <sheets>
    <sheet name="Euler" sheetId="1" r:id="rId1"/>
    <sheet name="Euler_Ej" sheetId="17" r:id="rId2"/>
    <sheet name="Euler_Ej6" sheetId="19" r:id="rId3"/>
    <sheet name="Euler-Gauss_1" sheetId="3" r:id="rId4"/>
    <sheet name="Euler-Gauss_2" sheetId="10" r:id="rId5"/>
    <sheet name="Euler-Gauss_Ej" sheetId="12" r:id="rId6"/>
    <sheet name="taylor_1" sheetId="5" r:id="rId7"/>
    <sheet name="taylor_2" sheetId="11" r:id="rId8"/>
    <sheet name="taylor_3" sheetId="13" r:id="rId9"/>
    <sheet name="taylor_Ej" sheetId="20" r:id="rId10"/>
    <sheet name="RK_2" sheetId="7" r:id="rId11"/>
    <sheet name="RK_2 _2" sheetId="14" r:id="rId12"/>
    <sheet name="RK_2 _2_Ej" sheetId="18" r:id="rId13"/>
    <sheet name="RK_4" sheetId="8" r:id="rId14"/>
    <sheet name="Sistemas E.D" sheetId="9" r:id="rId15"/>
    <sheet name="Sistemas E.D Ej" sheetId="16" r:id="rId16"/>
    <sheet name="Sistemas E.D_2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9" l="1"/>
  <c r="Q7" i="19"/>
  <c r="P8" i="19"/>
  <c r="Q8" i="19"/>
  <c r="P9" i="19"/>
  <c r="Q9" i="19"/>
  <c r="P10" i="19"/>
  <c r="Q10" i="19"/>
  <c r="Q6" i="19"/>
  <c r="P6" i="19"/>
  <c r="F6" i="20"/>
  <c r="F7" i="20"/>
  <c r="F8" i="20"/>
  <c r="F9" i="20"/>
  <c r="F5" i="20"/>
  <c r="G5" i="20"/>
  <c r="G6" i="20"/>
  <c r="G7" i="20"/>
  <c r="G8" i="20"/>
  <c r="G9" i="20"/>
  <c r="G4" i="20"/>
  <c r="D5" i="20"/>
  <c r="D6" i="20" s="1"/>
  <c r="D7" i="20" s="1"/>
  <c r="D8" i="20" s="1"/>
  <c r="D9" i="20" s="1"/>
  <c r="E4" i="20"/>
  <c r="M10" i="19"/>
  <c r="N10" i="19"/>
  <c r="O10" i="19"/>
  <c r="M7" i="19"/>
  <c r="N7" i="19"/>
  <c r="N8" i="19" s="1"/>
  <c r="O7" i="19"/>
  <c r="O6" i="19"/>
  <c r="N6" i="19"/>
  <c r="M6" i="19"/>
  <c r="P5" i="19"/>
  <c r="E5" i="20" l="1"/>
  <c r="M8" i="19"/>
  <c r="O8" i="19"/>
  <c r="O9" i="19" s="1"/>
  <c r="G10" i="19"/>
  <c r="G9" i="19"/>
  <c r="G8" i="19"/>
  <c r="G7" i="19"/>
  <c r="G6" i="19"/>
  <c r="F6" i="19"/>
  <c r="F7" i="19" s="1"/>
  <c r="F8" i="19" s="1"/>
  <c r="F9" i="19" s="1"/>
  <c r="F10" i="19" s="1"/>
  <c r="G5" i="19"/>
  <c r="E6" i="20" l="1"/>
  <c r="M9" i="19"/>
  <c r="N9" i="19"/>
  <c r="C7" i="18"/>
  <c r="D7" i="18"/>
  <c r="E7" i="18"/>
  <c r="G7" i="18" s="1"/>
  <c r="H7" i="18" s="1"/>
  <c r="F7" i="18"/>
  <c r="I7" i="18"/>
  <c r="K7" i="18" s="1"/>
  <c r="J7" i="18"/>
  <c r="C8" i="18"/>
  <c r="E9" i="18" s="1"/>
  <c r="E8" i="18"/>
  <c r="J8" i="18"/>
  <c r="L6" i="18"/>
  <c r="K6" i="18"/>
  <c r="J6" i="18"/>
  <c r="I6" i="18"/>
  <c r="G6" i="18"/>
  <c r="D6" i="18"/>
  <c r="M5" i="18"/>
  <c r="H5" i="18"/>
  <c r="C5" i="18"/>
  <c r="M15" i="17"/>
  <c r="N15" i="17"/>
  <c r="O15" i="17"/>
  <c r="M7" i="17"/>
  <c r="M8" i="17" s="1"/>
  <c r="N7" i="17"/>
  <c r="O7" i="17"/>
  <c r="N8" i="17"/>
  <c r="N9" i="17" s="1"/>
  <c r="O8" i="17"/>
  <c r="O6" i="17"/>
  <c r="N6" i="17"/>
  <c r="O5" i="17"/>
  <c r="N5" i="17"/>
  <c r="M6" i="17"/>
  <c r="G10" i="17"/>
  <c r="G9" i="17"/>
  <c r="G8" i="17"/>
  <c r="G7" i="17"/>
  <c r="G6" i="17"/>
  <c r="F6" i="17"/>
  <c r="F7" i="17" s="1"/>
  <c r="F8" i="17" s="1"/>
  <c r="F9" i="17" s="1"/>
  <c r="F10" i="17" s="1"/>
  <c r="G5" i="17"/>
  <c r="N7" i="16"/>
  <c r="N8" i="16"/>
  <c r="N9" i="16"/>
  <c r="N10" i="16"/>
  <c r="N11" i="16"/>
  <c r="N12" i="16"/>
  <c r="N13" i="16"/>
  <c r="N14" i="16"/>
  <c r="N15" i="16"/>
  <c r="N16" i="16"/>
  <c r="N6" i="16"/>
  <c r="M7" i="16"/>
  <c r="M8" i="16"/>
  <c r="M9" i="16"/>
  <c r="M10" i="16"/>
  <c r="M11" i="16"/>
  <c r="M12" i="16"/>
  <c r="M13" i="16"/>
  <c r="M14" i="16"/>
  <c r="M15" i="16"/>
  <c r="M16" i="16"/>
  <c r="M6" i="16"/>
  <c r="L12" i="16"/>
  <c r="L13" i="16" s="1"/>
  <c r="L14" i="16" s="1"/>
  <c r="L15" i="16" s="1"/>
  <c r="L16" i="16" s="1"/>
  <c r="L7" i="16"/>
  <c r="E7" i="20" l="1"/>
  <c r="D8" i="18"/>
  <c r="F8" i="18" s="1"/>
  <c r="G8" i="18" s="1"/>
  <c r="H8" i="18" s="1"/>
  <c r="L7" i="18"/>
  <c r="M7" i="18" s="1"/>
  <c r="C9" i="18"/>
  <c r="J9" i="18"/>
  <c r="M6" i="18"/>
  <c r="C6" i="18"/>
  <c r="E6" i="18"/>
  <c r="M9" i="17"/>
  <c r="M10" i="17" s="1"/>
  <c r="M11" i="17" s="1"/>
  <c r="M12" i="17" s="1"/>
  <c r="M13" i="17" s="1"/>
  <c r="M14" i="17" s="1"/>
  <c r="O9" i="17"/>
  <c r="O10" i="17" s="1"/>
  <c r="O11" i="17" s="1"/>
  <c r="O12" i="17" s="1"/>
  <c r="O13" i="17" s="1"/>
  <c r="O14" i="17" s="1"/>
  <c r="L8" i="16"/>
  <c r="N8" i="15"/>
  <c r="O8" i="15" s="1"/>
  <c r="N9" i="15" s="1"/>
  <c r="L8" i="15"/>
  <c r="M8" i="15"/>
  <c r="P7" i="15"/>
  <c r="Q7" i="15"/>
  <c r="P8" i="15"/>
  <c r="Q8" i="15"/>
  <c r="P9" i="15"/>
  <c r="Q9" i="15"/>
  <c r="P10" i="15"/>
  <c r="Q10" i="15"/>
  <c r="P11" i="15"/>
  <c r="Q11" i="15"/>
  <c r="O7" i="15"/>
  <c r="N7" i="15"/>
  <c r="L7" i="15"/>
  <c r="M7" i="15" s="1"/>
  <c r="Q6" i="15"/>
  <c r="P6" i="15"/>
  <c r="K7" i="15"/>
  <c r="G8" i="9"/>
  <c r="H8" i="9"/>
  <c r="I8" i="9"/>
  <c r="J8" i="9"/>
  <c r="G9" i="9"/>
  <c r="H9" i="9"/>
  <c r="I9" i="9"/>
  <c r="J9" i="9"/>
  <c r="G10" i="9"/>
  <c r="H10" i="9"/>
  <c r="I10" i="9"/>
  <c r="J10" i="9"/>
  <c r="G11" i="9"/>
  <c r="H11" i="9"/>
  <c r="I11" i="9"/>
  <c r="J11" i="9"/>
  <c r="I7" i="9"/>
  <c r="J7" i="9"/>
  <c r="H7" i="9"/>
  <c r="G7" i="9"/>
  <c r="F11" i="9"/>
  <c r="F8" i="9"/>
  <c r="F9" i="9" s="1"/>
  <c r="F10" i="9" s="1"/>
  <c r="F7" i="9"/>
  <c r="J6" i="9"/>
  <c r="I6" i="9"/>
  <c r="E8" i="20" l="1"/>
  <c r="I8" i="18"/>
  <c r="K8" i="18" s="1"/>
  <c r="L8" i="18" s="1"/>
  <c r="M8" i="18" s="1"/>
  <c r="D9" i="18"/>
  <c r="F9" i="18" s="1"/>
  <c r="G9" i="18" s="1"/>
  <c r="J10" i="18"/>
  <c r="E10" i="18"/>
  <c r="C10" i="18"/>
  <c r="F6" i="18"/>
  <c r="H6" i="18" s="1"/>
  <c r="N10" i="17"/>
  <c r="N11" i="17" s="1"/>
  <c r="N12" i="17" s="1"/>
  <c r="N13" i="17" s="1"/>
  <c r="N14" i="17" s="1"/>
  <c r="L9" i="16"/>
  <c r="L9" i="15"/>
  <c r="O9" i="15"/>
  <c r="M9" i="15"/>
  <c r="N10" i="15" s="1"/>
  <c r="K8" i="15"/>
  <c r="O8" i="8"/>
  <c r="O9" i="8"/>
  <c r="O10" i="8"/>
  <c r="O11" i="8"/>
  <c r="O7" i="8"/>
  <c r="C8" i="8"/>
  <c r="E8" i="8" s="1"/>
  <c r="D8" i="8"/>
  <c r="F8" i="8" s="1"/>
  <c r="H8" i="8" s="1"/>
  <c r="G8" i="8"/>
  <c r="J8" i="8"/>
  <c r="D9" i="8"/>
  <c r="G9" i="8"/>
  <c r="J9" i="8"/>
  <c r="D10" i="8"/>
  <c r="G10" i="8"/>
  <c r="J10" i="8"/>
  <c r="D11" i="8"/>
  <c r="G11" i="8"/>
  <c r="J11" i="8"/>
  <c r="N7" i="8"/>
  <c r="N8" i="8"/>
  <c r="N9" i="8"/>
  <c r="N10" i="8"/>
  <c r="N11" i="8"/>
  <c r="M7" i="8"/>
  <c r="L7" i="8"/>
  <c r="K7" i="8"/>
  <c r="J7" i="8"/>
  <c r="I7" i="8"/>
  <c r="H7" i="8"/>
  <c r="G7" i="8"/>
  <c r="F7" i="8"/>
  <c r="E7" i="8"/>
  <c r="D7" i="8"/>
  <c r="C7" i="8"/>
  <c r="B8" i="8"/>
  <c r="B9" i="8" s="1"/>
  <c r="B10" i="8" s="1"/>
  <c r="B11" i="8" s="1"/>
  <c r="B7" i="8"/>
  <c r="N6" i="8"/>
  <c r="B6" i="8"/>
  <c r="D7" i="14"/>
  <c r="F7" i="14" s="1"/>
  <c r="G7" i="14" s="1"/>
  <c r="H7" i="14" s="1"/>
  <c r="E7" i="14"/>
  <c r="E8" i="14"/>
  <c r="E9" i="14"/>
  <c r="E10" i="14"/>
  <c r="J6" i="14"/>
  <c r="I6" i="14"/>
  <c r="I7" i="14"/>
  <c r="I8" i="14"/>
  <c r="I9" i="14"/>
  <c r="I10" i="14"/>
  <c r="H6" i="14"/>
  <c r="G6" i="14"/>
  <c r="F6" i="14"/>
  <c r="E6" i="14"/>
  <c r="D6" i="14"/>
  <c r="I5" i="14"/>
  <c r="C7" i="14"/>
  <c r="C8" i="14" s="1"/>
  <c r="C6" i="14"/>
  <c r="C5" i="14"/>
  <c r="E9" i="20" l="1"/>
  <c r="K9" i="18"/>
  <c r="L9" i="18" s="1"/>
  <c r="I9" i="18"/>
  <c r="M9" i="18" s="1"/>
  <c r="H9" i="18"/>
  <c r="C11" i="18"/>
  <c r="E11" i="18"/>
  <c r="J11" i="18"/>
  <c r="L10" i="16"/>
  <c r="L10" i="15"/>
  <c r="M10" i="15"/>
  <c r="O10" i="15"/>
  <c r="K9" i="15"/>
  <c r="K10" i="15"/>
  <c r="I8" i="8"/>
  <c r="K8" i="8" s="1"/>
  <c r="L8" i="8" s="1"/>
  <c r="M8" i="8"/>
  <c r="J7" i="14"/>
  <c r="D8" i="14"/>
  <c r="F8" i="14"/>
  <c r="G8" i="14" s="1"/>
  <c r="H8" i="14" s="1"/>
  <c r="C9" i="14"/>
  <c r="E7" i="7"/>
  <c r="E8" i="7"/>
  <c r="E9" i="7"/>
  <c r="E10" i="7"/>
  <c r="E6" i="7"/>
  <c r="I6" i="7"/>
  <c r="I7" i="7"/>
  <c r="I8" i="7"/>
  <c r="I9" i="7"/>
  <c r="I10" i="7"/>
  <c r="D6" i="7"/>
  <c r="C5" i="7"/>
  <c r="C6" i="7" s="1"/>
  <c r="C7" i="7" s="1"/>
  <c r="C8" i="7" s="1"/>
  <c r="C9" i="7" s="1"/>
  <c r="C10" i="7" s="1"/>
  <c r="I5" i="7"/>
  <c r="F5" i="13"/>
  <c r="F6" i="13"/>
  <c r="F7" i="13"/>
  <c r="F8" i="13"/>
  <c r="F9" i="13"/>
  <c r="G5" i="13"/>
  <c r="G6" i="13"/>
  <c r="G7" i="13"/>
  <c r="G8" i="13"/>
  <c r="G9" i="13"/>
  <c r="G4" i="13"/>
  <c r="D5" i="13"/>
  <c r="D6" i="13" s="1"/>
  <c r="D7" i="13" s="1"/>
  <c r="D8" i="13" s="1"/>
  <c r="D9" i="13" s="1"/>
  <c r="E4" i="13"/>
  <c r="K10" i="18" l="1"/>
  <c r="L10" i="18" s="1"/>
  <c r="I10" i="18"/>
  <c r="M10" i="18" s="1"/>
  <c r="C12" i="18"/>
  <c r="E12" i="18"/>
  <c r="J12" i="18"/>
  <c r="D10" i="18"/>
  <c r="F10" i="18" s="1"/>
  <c r="G10" i="18" s="1"/>
  <c r="H10" i="18" s="1"/>
  <c r="L11" i="16"/>
  <c r="N11" i="15"/>
  <c r="L11" i="15"/>
  <c r="M11" i="15"/>
  <c r="O11" i="15"/>
  <c r="K11" i="15"/>
  <c r="C9" i="8"/>
  <c r="E9" i="8" s="1"/>
  <c r="F9" i="8" s="1"/>
  <c r="H9" i="8" s="1"/>
  <c r="I9" i="8" s="1"/>
  <c r="K9" i="8" s="1"/>
  <c r="L9" i="8" s="1"/>
  <c r="J8" i="14"/>
  <c r="D9" i="14"/>
  <c r="F9" i="14" s="1"/>
  <c r="G9" i="14" s="1"/>
  <c r="H9" i="14" s="1"/>
  <c r="C10" i="14"/>
  <c r="F6" i="7"/>
  <c r="G6" i="7" s="1"/>
  <c r="H6" i="7" s="1"/>
  <c r="D7" i="7" s="1"/>
  <c r="E5" i="13"/>
  <c r="F6" i="12"/>
  <c r="F5" i="12"/>
  <c r="H5" i="12"/>
  <c r="H6" i="12"/>
  <c r="H7" i="12"/>
  <c r="H8" i="12"/>
  <c r="H9" i="12"/>
  <c r="H4" i="12"/>
  <c r="D5" i="12"/>
  <c r="C6" i="12"/>
  <c r="C7" i="12"/>
  <c r="C8" i="12" s="1"/>
  <c r="C5" i="12"/>
  <c r="D11" i="18" l="1"/>
  <c r="F11" i="18" s="1"/>
  <c r="G11" i="18" s="1"/>
  <c r="K11" i="18"/>
  <c r="L11" i="18" s="1"/>
  <c r="I11" i="18"/>
  <c r="M11" i="18" s="1"/>
  <c r="E13" i="18"/>
  <c r="C13" i="18"/>
  <c r="J13" i="18"/>
  <c r="M9" i="8"/>
  <c r="D10" i="14"/>
  <c r="J9" i="14"/>
  <c r="F7" i="7"/>
  <c r="G7" i="7" s="1"/>
  <c r="H7" i="7" s="1"/>
  <c r="F8" i="7" s="1"/>
  <c r="D8" i="7"/>
  <c r="E6" i="13"/>
  <c r="C9" i="12"/>
  <c r="E5" i="12"/>
  <c r="G5" i="12" s="1"/>
  <c r="G5" i="11"/>
  <c r="G6" i="11"/>
  <c r="G7" i="11"/>
  <c r="G8" i="11"/>
  <c r="G9" i="11"/>
  <c r="F5" i="11"/>
  <c r="F6" i="11"/>
  <c r="F7" i="11"/>
  <c r="F8" i="11"/>
  <c r="F9" i="11"/>
  <c r="G4" i="11"/>
  <c r="F4" i="11"/>
  <c r="D5" i="11"/>
  <c r="D6" i="11" s="1"/>
  <c r="D7" i="11" s="1"/>
  <c r="D8" i="11" s="1"/>
  <c r="D9" i="11" s="1"/>
  <c r="E4" i="11"/>
  <c r="G5" i="5"/>
  <c r="G6" i="5"/>
  <c r="G7" i="5"/>
  <c r="G8" i="5"/>
  <c r="G9" i="5"/>
  <c r="F5" i="5"/>
  <c r="F6" i="5"/>
  <c r="F7" i="5"/>
  <c r="F8" i="5"/>
  <c r="F9" i="5"/>
  <c r="G4" i="5"/>
  <c r="F4" i="5"/>
  <c r="D6" i="5"/>
  <c r="D7" i="5"/>
  <c r="D8" i="5" s="1"/>
  <c r="D9" i="5" s="1"/>
  <c r="D5" i="5"/>
  <c r="E6" i="5"/>
  <c r="E7" i="5"/>
  <c r="E8" i="5"/>
  <c r="E9" i="5"/>
  <c r="E5" i="5"/>
  <c r="E4" i="5"/>
  <c r="D6" i="10"/>
  <c r="E6" i="10" s="1"/>
  <c r="F6" i="10" s="1"/>
  <c r="G6" i="10" s="1"/>
  <c r="H6" i="10"/>
  <c r="H7" i="10"/>
  <c r="H8" i="10"/>
  <c r="H9" i="10"/>
  <c r="H5" i="10"/>
  <c r="G5" i="10"/>
  <c r="F5" i="10"/>
  <c r="E5" i="10"/>
  <c r="D5" i="10"/>
  <c r="C9" i="10"/>
  <c r="C6" i="10"/>
  <c r="C7" i="10" s="1"/>
  <c r="C8" i="10" s="1"/>
  <c r="C5" i="10"/>
  <c r="H4" i="10"/>
  <c r="I12" i="18" l="1"/>
  <c r="K12" i="18" s="1"/>
  <c r="L12" i="18" s="1"/>
  <c r="M12" i="18" s="1"/>
  <c r="J14" i="18"/>
  <c r="E14" i="18"/>
  <c r="C14" i="18"/>
  <c r="H11" i="18"/>
  <c r="C10" i="8"/>
  <c r="E10" i="8" s="1"/>
  <c r="F10" i="8" s="1"/>
  <c r="H10" i="8" s="1"/>
  <c r="I10" i="8" s="1"/>
  <c r="K10" i="8" s="1"/>
  <c r="L10" i="8" s="1"/>
  <c r="F10" i="14"/>
  <c r="G10" i="14" s="1"/>
  <c r="H10" i="14" s="1"/>
  <c r="J10" i="14" s="1"/>
  <c r="G8" i="7"/>
  <c r="H8" i="7" s="1"/>
  <c r="E7" i="13"/>
  <c r="D6" i="12"/>
  <c r="G6" i="12"/>
  <c r="E6" i="12"/>
  <c r="E5" i="11"/>
  <c r="D7" i="10"/>
  <c r="G7" i="10" s="1"/>
  <c r="E7" i="10"/>
  <c r="F7" i="10" s="1"/>
  <c r="D6" i="3"/>
  <c r="D5" i="3"/>
  <c r="H5" i="3"/>
  <c r="H6" i="3"/>
  <c r="H7" i="3"/>
  <c r="H8" i="3"/>
  <c r="E5" i="3"/>
  <c r="F5" i="3" s="1"/>
  <c r="G5" i="3" s="1"/>
  <c r="H4" i="3"/>
  <c r="C6" i="3"/>
  <c r="C7" i="3" s="1"/>
  <c r="C8" i="3" s="1"/>
  <c r="C5" i="3"/>
  <c r="O8" i="1"/>
  <c r="O9" i="1"/>
  <c r="N8" i="1"/>
  <c r="N9" i="1" s="1"/>
  <c r="O7" i="1"/>
  <c r="N7" i="1"/>
  <c r="O6" i="1"/>
  <c r="N6" i="1"/>
  <c r="O5" i="1"/>
  <c r="M7" i="1"/>
  <c r="M8" i="1" s="1"/>
  <c r="M6" i="1"/>
  <c r="I13" i="18" l="1"/>
  <c r="C15" i="18"/>
  <c r="E15" i="18"/>
  <c r="J15" i="18"/>
  <c r="D12" i="18"/>
  <c r="M10" i="8"/>
  <c r="D9" i="7"/>
  <c r="E8" i="13"/>
  <c r="D7" i="12"/>
  <c r="E7" i="12"/>
  <c r="F7" i="12" s="1"/>
  <c r="G7" i="12" s="1"/>
  <c r="E6" i="11"/>
  <c r="D8" i="10"/>
  <c r="E8" i="10" s="1"/>
  <c r="F8" i="10" s="1"/>
  <c r="E6" i="3"/>
  <c r="F6" i="3" s="1"/>
  <c r="G6" i="3" s="1"/>
  <c r="D7" i="3" s="1"/>
  <c r="M9" i="1"/>
  <c r="F7" i="1"/>
  <c r="G7" i="1"/>
  <c r="F8" i="1"/>
  <c r="F9" i="1" s="1"/>
  <c r="F10" i="1" s="1"/>
  <c r="G8" i="1"/>
  <c r="G9" i="1"/>
  <c r="G10" i="1"/>
  <c r="G6" i="1"/>
  <c r="F6" i="1"/>
  <c r="G5" i="1"/>
  <c r="F12" i="18" l="1"/>
  <c r="G12" i="18" s="1"/>
  <c r="H12" i="18" s="1"/>
  <c r="K13" i="18"/>
  <c r="L13" i="18" s="1"/>
  <c r="M13" i="18" s="1"/>
  <c r="C11" i="8"/>
  <c r="E11" i="8"/>
  <c r="F11" i="8" s="1"/>
  <c r="F9" i="7"/>
  <c r="G9" i="7" s="1"/>
  <c r="H9" i="7" s="1"/>
  <c r="E9" i="13"/>
  <c r="D8" i="12"/>
  <c r="G8" i="12" s="1"/>
  <c r="E8" i="12"/>
  <c r="F8" i="12" s="1"/>
  <c r="E7" i="11"/>
  <c r="G8" i="10"/>
  <c r="E7" i="3"/>
  <c r="F7" i="3" s="1"/>
  <c r="G7" i="3" s="1"/>
  <c r="D8" i="3" s="1"/>
  <c r="I14" i="18" l="1"/>
  <c r="D13" i="18"/>
  <c r="F13" i="18" s="1"/>
  <c r="G13" i="18" s="1"/>
  <c r="H11" i="8"/>
  <c r="I11" i="8" s="1"/>
  <c r="K11" i="8" s="1"/>
  <c r="L11" i="8" s="1"/>
  <c r="D10" i="7"/>
  <c r="D9" i="12"/>
  <c r="E8" i="11"/>
  <c r="D9" i="10"/>
  <c r="E9" i="10" s="1"/>
  <c r="F9" i="10" s="1"/>
  <c r="G9" i="10" s="1"/>
  <c r="E8" i="3"/>
  <c r="F8" i="3" s="1"/>
  <c r="H13" i="18" l="1"/>
  <c r="K14" i="18"/>
  <c r="L14" i="18" s="1"/>
  <c r="M14" i="18" s="1"/>
  <c r="M11" i="8"/>
  <c r="F10" i="7"/>
  <c r="G10" i="7" s="1"/>
  <c r="H10" i="7" s="1"/>
  <c r="G9" i="12"/>
  <c r="E9" i="12"/>
  <c r="F9" i="12" s="1"/>
  <c r="E9" i="11"/>
  <c r="G8" i="3"/>
  <c r="I15" i="18" l="1"/>
  <c r="K15" i="18" s="1"/>
  <c r="L15" i="18" s="1"/>
  <c r="F14" i="18"/>
  <c r="G14" i="18" s="1"/>
  <c r="D14" i="18"/>
  <c r="H14" i="18" s="1"/>
  <c r="D15" i="18" l="1"/>
  <c r="F15" i="18" s="1"/>
  <c r="G15" i="18" s="1"/>
  <c r="M15" i="18"/>
  <c r="H15" i="18" l="1"/>
</calcChain>
</file>

<file path=xl/sharedStrings.xml><?xml version="1.0" encoding="utf-8"?>
<sst xmlns="http://schemas.openxmlformats.org/spreadsheetml/2006/main" count="153" uniqueCount="54">
  <si>
    <t>x</t>
  </si>
  <si>
    <t>yaprox</t>
  </si>
  <si>
    <t>yreal</t>
  </si>
  <si>
    <t>i</t>
  </si>
  <si>
    <t>X</t>
  </si>
  <si>
    <t>Xi+h</t>
  </si>
  <si>
    <t>Yi+hk1</t>
  </si>
  <si>
    <t>K2=F(xi+h,yi+hk1)</t>
  </si>
  <si>
    <t>Y=yi+(h/2)(k1+k2)</t>
  </si>
  <si>
    <t>K1=f(xi,yi)</t>
  </si>
  <si>
    <t>yi+(hk1/2)</t>
  </si>
  <si>
    <t>xi+(h/2)</t>
  </si>
  <si>
    <t>yi+(hk2/2)</t>
  </si>
  <si>
    <t>xi+h</t>
  </si>
  <si>
    <t>yi+hk3</t>
  </si>
  <si>
    <t>f(x0,y0)</t>
  </si>
  <si>
    <t>f(xi+1,yi+1,p)</t>
  </si>
  <si>
    <t>Determinar la solución del sistema de ecuaciones diferenciales por el método taylor</t>
  </si>
  <si>
    <t>Taylor</t>
  </si>
  <si>
    <t>Solución exacta</t>
  </si>
  <si>
    <t>t</t>
  </si>
  <si>
    <t>x(t)</t>
  </si>
  <si>
    <t>y(t)</t>
  </si>
  <si>
    <t>Solución exacta  del sistema de ecuaciones diferenciales es:</t>
  </si>
  <si>
    <t>h=</t>
  </si>
  <si>
    <t>a =</t>
  </si>
  <si>
    <t>b =</t>
  </si>
  <si>
    <t>h =</t>
  </si>
  <si>
    <t xml:space="preserve">b = </t>
  </si>
  <si>
    <t>Intervalo</t>
  </si>
  <si>
    <t>Componentes para K2</t>
  </si>
  <si>
    <t xml:space="preserve">K2 </t>
  </si>
  <si>
    <t xml:space="preserve">K1 </t>
  </si>
  <si>
    <t>y_aprox</t>
  </si>
  <si>
    <t>y_real</t>
  </si>
  <si>
    <t>Error</t>
  </si>
  <si>
    <t xml:space="preserve">h = </t>
  </si>
  <si>
    <t>k1</t>
  </si>
  <si>
    <t>k2</t>
  </si>
  <si>
    <t>Componentes para k2</t>
  </si>
  <si>
    <t>k3</t>
  </si>
  <si>
    <t>k4</t>
  </si>
  <si>
    <t>Componentes para k4</t>
  </si>
  <si>
    <t>f(x,y)</t>
  </si>
  <si>
    <t>y</t>
  </si>
  <si>
    <t>z(t)</t>
  </si>
  <si>
    <t>K1=f(ti,yi)</t>
  </si>
  <si>
    <t>ti+h</t>
  </si>
  <si>
    <t>K2=F(ti+h,ti+hk1)</t>
  </si>
  <si>
    <t>K1=f(ti,zi)</t>
  </si>
  <si>
    <t>zi+hk1</t>
  </si>
  <si>
    <t>K2=F(ti+h,zi+hk1)</t>
  </si>
  <si>
    <t>z=zi+(h/2)(k1+k2)</t>
  </si>
  <si>
    <t>yi+hk1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</si>
</sst>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1" fillId="0" borderId="1" xfId="0" applyFont="1" applyBorder="1"/>
    <xf numFmtId="0" fontId="0" fillId="8" borderId="1" xfId="0" applyFill="1" applyBorder="1"/>
    <xf numFmtId="0" fontId="0" fillId="9" borderId="1" xfId="0" applyFill="1" applyBorder="1"/>
    <xf numFmtId="0" fontId="1" fillId="0" borderId="1" xfId="0" applyFont="1" applyFill="1" applyBorder="1"/>
    <xf numFmtId="0" fontId="0" fillId="10" borderId="1" xfId="0" applyFill="1" applyBorder="1"/>
    <xf numFmtId="0" fontId="2" fillId="9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" xfId="0" applyFill="1" applyBorder="1"/>
    <xf numFmtId="0" fontId="0" fillId="14" borderId="1" xfId="0" applyFill="1" applyBorder="1"/>
    <xf numFmtId="0" fontId="0" fillId="0" borderId="0" xfId="0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Euler!$F$4</c:f>
              <c:strCache>
                <c:ptCount val="1"/>
                <c:pt idx="0">
                  <c:v>yaprox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Euler!$D$5:$E$10</c:f>
              <c:multiLvlStrCache>
                <c:ptCount val="6"/>
                <c:lvl>
                  <c:pt idx="0">
                    <c:v>0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0.5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Euler!$F$5:$F$10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1.0101</c:v>
                </c:pt>
                <c:pt idx="3">
                  <c:v>1.031102</c:v>
                </c:pt>
                <c:pt idx="4">
                  <c:v>1.0647350600000001</c:v>
                </c:pt>
                <c:pt idx="5">
                  <c:v>1.1137244624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0-254C-954A-BFF35A332172}"/>
            </c:ext>
          </c:extLst>
        </c:ser>
        <c:ser>
          <c:idx val="1"/>
          <c:order val="1"/>
          <c:tx>
            <c:strRef>
              <c:f>Euler!$G$4</c:f>
              <c:strCache>
                <c:ptCount val="1"/>
                <c:pt idx="0">
                  <c:v>yreal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Euler!$D$5:$E$10</c:f>
              <c:multiLvlStrCache>
                <c:ptCount val="6"/>
                <c:lvl>
                  <c:pt idx="0">
                    <c:v>0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0.5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Euler!$G$5:$G$10</c:f>
              <c:numCache>
                <c:formatCode>General</c:formatCode>
                <c:ptCount val="6"/>
                <c:pt idx="0">
                  <c:v>1</c:v>
                </c:pt>
                <c:pt idx="1">
                  <c:v>1.0250375625782029</c:v>
                </c:pt>
                <c:pt idx="2">
                  <c:v>1.1006040200802674</c:v>
                </c:pt>
                <c:pt idx="3">
                  <c:v>1.2280835797261505</c:v>
                </c:pt>
                <c:pt idx="4">
                  <c:v>1.4098612030248763</c:v>
                </c:pt>
                <c:pt idx="5">
                  <c:v>1.6494453592004792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0-254C-954A-BFF35A332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020752"/>
        <c:axId val="1722022384"/>
      </c:lineChart>
      <c:catAx>
        <c:axId val="172202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2022384"/>
        <c:crosses val="autoZero"/>
        <c:auto val="1"/>
        <c:lblAlgn val="ctr"/>
        <c:lblOffset val="100"/>
        <c:noMultiLvlLbl val="0"/>
      </c:catAx>
      <c:valAx>
        <c:axId val="17220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202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Polinomio Taylor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taylor_2!$E$4:$E$9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taylor_2!$F$4:$F$9</c:f>
              <c:numCache>
                <c:formatCode>General</c:formatCode>
                <c:ptCount val="6"/>
                <c:pt idx="0">
                  <c:v>1</c:v>
                </c:pt>
                <c:pt idx="1">
                  <c:v>1.1103333333333334</c:v>
                </c:pt>
                <c:pt idx="2">
                  <c:v>1.2426666666666666</c:v>
                </c:pt>
                <c:pt idx="3">
                  <c:v>1.399</c:v>
                </c:pt>
                <c:pt idx="4">
                  <c:v>1.5813333333333335</c:v>
                </c:pt>
                <c:pt idx="5">
                  <c:v>1.7916666666666667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7-AE4F-B590-39AF81028A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taylor_2!$E$4:$E$9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taylor_2!$G$4:$G$9</c:f>
              <c:numCache>
                <c:formatCode>General</c:formatCode>
                <c:ptCount val="6"/>
                <c:pt idx="0">
                  <c:v>1</c:v>
                </c:pt>
                <c:pt idx="1">
                  <c:v>1.1103418361512953</c:v>
                </c:pt>
                <c:pt idx="2">
                  <c:v>1.2428055163203395</c:v>
                </c:pt>
                <c:pt idx="3">
                  <c:v>1.3997176151520065</c:v>
                </c:pt>
                <c:pt idx="4">
                  <c:v>1.5836493952825408</c:v>
                </c:pt>
                <c:pt idx="5">
                  <c:v>1.7974425414002564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7-AE4F-B590-39AF8102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07120"/>
        <c:axId val="520508752"/>
      </c:lineChart>
      <c:catAx>
        <c:axId val="5205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0508752"/>
        <c:crosses val="autoZero"/>
        <c:auto val="1"/>
        <c:lblAlgn val="ctr"/>
        <c:lblOffset val="100"/>
        <c:noMultiLvlLbl val="0"/>
      </c:catAx>
      <c:valAx>
        <c:axId val="5205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05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Polinomio Taylor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taylor_3!$E$4:$E$9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taylor_3!$F$4:$F$9</c:f>
              <c:numCache>
                <c:formatCode>General</c:formatCode>
                <c:ptCount val="6"/>
                <c:pt idx="0">
                  <c:v>1</c:v>
                </c:pt>
                <c:pt idx="1">
                  <c:v>1.0050374999999998</c:v>
                </c:pt>
                <c:pt idx="2">
                  <c:v>1.0206</c:v>
                </c:pt>
                <c:pt idx="3">
                  <c:v>1.0480375</c:v>
                </c:pt>
                <c:pt idx="4">
                  <c:v>1.0896000000000001</c:v>
                </c:pt>
                <c:pt idx="5">
                  <c:v>1.1484375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E-5249-B0DE-2C9B88BAB0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taylor_3!$E$4:$E$9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taylor_3!$G$4:$G$9</c:f>
              <c:numCache>
                <c:formatCode>General</c:formatCode>
                <c:ptCount val="6"/>
                <c:pt idx="0">
                  <c:v>1</c:v>
                </c:pt>
                <c:pt idx="1">
                  <c:v>1.0050375625782033</c:v>
                </c:pt>
                <c:pt idx="2">
                  <c:v>1.0206040200802673</c:v>
                </c:pt>
                <c:pt idx="3">
                  <c:v>1.0480835797261507</c:v>
                </c:pt>
                <c:pt idx="4">
                  <c:v>1.089861203024876</c:v>
                </c:pt>
                <c:pt idx="5">
                  <c:v>1.1494453592004792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E-5249-B0DE-2C9B88BAB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07120"/>
        <c:axId val="520508752"/>
      </c:lineChart>
      <c:catAx>
        <c:axId val="5205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0508752"/>
        <c:crosses val="autoZero"/>
        <c:auto val="1"/>
        <c:lblAlgn val="ctr"/>
        <c:lblOffset val="100"/>
        <c:noMultiLvlLbl val="0"/>
      </c:catAx>
      <c:valAx>
        <c:axId val="5205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05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Polinomio Taylor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taylor_Ej!$E$4:$E$9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cat>
          <c:val>
            <c:numRef>
              <c:f>taylor_Ej!$F$4:$F$9</c:f>
              <c:numCache>
                <c:formatCode>General</c:formatCode>
                <c:ptCount val="6"/>
                <c:pt idx="0">
                  <c:v>0</c:v>
                </c:pt>
                <c:pt idx="1">
                  <c:v>0.52109530009920635</c:v>
                </c:pt>
                <c:pt idx="2">
                  <c:v>1.1751984126984127</c:v>
                </c:pt>
                <c:pt idx="3">
                  <c:v>2.1291713169642859</c:v>
                </c:pt>
                <c:pt idx="4">
                  <c:v>3.625396825396825</c:v>
                </c:pt>
                <c:pt idx="5">
                  <c:v>6.0390702504960307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1-614E-9460-B42383846C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taylor_Ej!$E$4:$E$9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cat>
          <c:val>
            <c:numRef>
              <c:f>taylor_Ej!$G$4:$G$9</c:f>
              <c:numCache>
                <c:formatCode>General</c:formatCode>
                <c:ptCount val="6"/>
                <c:pt idx="0">
                  <c:v>0</c:v>
                </c:pt>
                <c:pt idx="1">
                  <c:v>0.52109530549374738</c:v>
                </c:pt>
                <c:pt idx="2">
                  <c:v>1.1752011936438014</c:v>
                </c:pt>
                <c:pt idx="3">
                  <c:v>2.1292794550948173</c:v>
                </c:pt>
                <c:pt idx="4">
                  <c:v>3.626860407847019</c:v>
                </c:pt>
                <c:pt idx="5">
                  <c:v>6.0502044810397875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1-614E-9460-B42383846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07120"/>
        <c:axId val="520508752"/>
      </c:lineChart>
      <c:catAx>
        <c:axId val="5205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0508752"/>
        <c:crosses val="autoZero"/>
        <c:auto val="1"/>
        <c:lblAlgn val="ctr"/>
        <c:lblOffset val="100"/>
        <c:noMultiLvlLbl val="0"/>
      </c:catAx>
      <c:valAx>
        <c:axId val="5205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05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Runge Kutta de</a:t>
            </a:r>
            <a:r>
              <a:rPr lang="es-MX" baseline="0"/>
              <a:t> Segundo Orden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RK_2!$H$5:$H$10</c:f>
              <c:numCache>
                <c:formatCode>General</c:formatCode>
                <c:ptCount val="6"/>
                <c:pt idx="0">
                  <c:v>1</c:v>
                </c:pt>
                <c:pt idx="1">
                  <c:v>1.00505</c:v>
                </c:pt>
                <c:pt idx="2">
                  <c:v>1.0206772550000001</c:v>
                </c:pt>
                <c:pt idx="3">
                  <c:v>1.0482623895515</c:v>
                </c:pt>
                <c:pt idx="4">
                  <c:v>1.0901845306195335</c:v>
                </c:pt>
                <c:pt idx="5">
                  <c:v>1.149943019028032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5-1C42-83EA-C085BC5E4B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RK_2!$I$5:$I$10</c:f>
              <c:numCache>
                <c:formatCode>General</c:formatCode>
                <c:ptCount val="6"/>
                <c:pt idx="0">
                  <c:v>1</c:v>
                </c:pt>
                <c:pt idx="1">
                  <c:v>1.0050375625782033</c:v>
                </c:pt>
                <c:pt idx="2">
                  <c:v>1.0206040200802673</c:v>
                </c:pt>
                <c:pt idx="3">
                  <c:v>1.0480835797261507</c:v>
                </c:pt>
                <c:pt idx="4">
                  <c:v>1.089861203024876</c:v>
                </c:pt>
                <c:pt idx="5">
                  <c:v>1.1494453592004792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5-1C42-83EA-C085BC5E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892240"/>
        <c:axId val="486156096"/>
      </c:lineChart>
      <c:catAx>
        <c:axId val="47889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6156096"/>
        <c:crosses val="autoZero"/>
        <c:auto val="1"/>
        <c:lblAlgn val="ctr"/>
        <c:lblOffset val="100"/>
        <c:noMultiLvlLbl val="0"/>
      </c:catAx>
      <c:valAx>
        <c:axId val="4861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88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Runge Kutta de</a:t>
            </a:r>
            <a:r>
              <a:rPr lang="es-MX" baseline="0"/>
              <a:t> Segundo Orden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'RK_2 _2'!$H$5:$H$10</c:f>
              <c:numCache>
                <c:formatCode>General</c:formatCode>
                <c:ptCount val="6"/>
                <c:pt idx="0">
                  <c:v>1</c:v>
                </c:pt>
                <c:pt idx="1">
                  <c:v>1.1100000000000001</c:v>
                </c:pt>
                <c:pt idx="2">
                  <c:v>1.2420500000000001</c:v>
                </c:pt>
                <c:pt idx="3">
                  <c:v>1.3984652500000001</c:v>
                </c:pt>
                <c:pt idx="4">
                  <c:v>1.5818041012500001</c:v>
                </c:pt>
                <c:pt idx="5">
                  <c:v>1.7948935318812502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A-BB46-A5E6-EC319F23BA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'RK_2 _2'!$I$5:$I$10</c:f>
              <c:numCache>
                <c:formatCode>General</c:formatCode>
                <c:ptCount val="6"/>
                <c:pt idx="0">
                  <c:v>1</c:v>
                </c:pt>
                <c:pt idx="1">
                  <c:v>1.1103418361512953</c:v>
                </c:pt>
                <c:pt idx="2">
                  <c:v>1.2428055163203395</c:v>
                </c:pt>
                <c:pt idx="3">
                  <c:v>1.3997176151520065</c:v>
                </c:pt>
                <c:pt idx="4">
                  <c:v>1.5836493952825408</c:v>
                </c:pt>
                <c:pt idx="5">
                  <c:v>1.7974425414002564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A-BB46-A5E6-EC319F23B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892240"/>
        <c:axId val="486156096"/>
      </c:lineChart>
      <c:catAx>
        <c:axId val="47889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6156096"/>
        <c:crosses val="autoZero"/>
        <c:auto val="1"/>
        <c:lblAlgn val="ctr"/>
        <c:lblOffset val="100"/>
        <c:noMultiLvlLbl val="0"/>
      </c:catAx>
      <c:valAx>
        <c:axId val="4861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88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Runge</a:t>
            </a:r>
            <a:r>
              <a:rPr lang="es-MX" baseline="0"/>
              <a:t> </a:t>
            </a:r>
            <a:r>
              <a:rPr lang="es-MX"/>
              <a:t>Kutta de Cuarto Orden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RK_4!$M$6:$M$11</c:f>
              <c:numCache>
                <c:formatCode>General</c:formatCode>
                <c:ptCount val="6"/>
                <c:pt idx="0">
                  <c:v>1</c:v>
                </c:pt>
                <c:pt idx="1">
                  <c:v>1.1103416666666666</c:v>
                </c:pt>
                <c:pt idx="2">
                  <c:v>1.2428051417013888</c:v>
                </c:pt>
                <c:pt idx="3">
                  <c:v>1.3997169941250753</c:v>
                </c:pt>
                <c:pt idx="4">
                  <c:v>1.5836484801613713</c:v>
                </c:pt>
                <c:pt idx="5">
                  <c:v>1.7974412771936761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5-764B-B8D7-FFC91A6C1A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RK_4!$N$6:$N$11</c:f>
              <c:numCache>
                <c:formatCode>General</c:formatCode>
                <c:ptCount val="6"/>
                <c:pt idx="0">
                  <c:v>1</c:v>
                </c:pt>
                <c:pt idx="1">
                  <c:v>1.1103418361512953</c:v>
                </c:pt>
                <c:pt idx="2">
                  <c:v>1.2428055163203395</c:v>
                </c:pt>
                <c:pt idx="3">
                  <c:v>1.3997176151520065</c:v>
                </c:pt>
                <c:pt idx="4">
                  <c:v>1.5836493952825408</c:v>
                </c:pt>
                <c:pt idx="5">
                  <c:v>1.7974425414002564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5-764B-B8D7-FFC91A6C1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625231"/>
        <c:axId val="1166241983"/>
      </c:lineChart>
      <c:catAx>
        <c:axId val="111962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6241983"/>
        <c:crosses val="autoZero"/>
        <c:auto val="1"/>
        <c:lblAlgn val="ctr"/>
        <c:lblOffset val="100"/>
        <c:noMultiLvlLbl val="0"/>
      </c:catAx>
      <c:valAx>
        <c:axId val="11662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96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Sistemas con</a:t>
            </a:r>
            <a:r>
              <a:rPr lang="es-MX" baseline="0"/>
              <a:t> Taylor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'Sistemas E.D'!$G$5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'Sistemas E.D'!$F$6:$F$11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'Sistemas E.D'!$G$6:$G$11</c:f>
              <c:numCache>
                <c:formatCode>General</c:formatCode>
                <c:ptCount val="6"/>
                <c:pt idx="0">
                  <c:v>1</c:v>
                </c:pt>
                <c:pt idx="1">
                  <c:v>1.4935</c:v>
                </c:pt>
                <c:pt idx="2">
                  <c:v>1.968</c:v>
                </c:pt>
                <c:pt idx="3">
                  <c:v>2.4144999999999999</c:v>
                </c:pt>
                <c:pt idx="4">
                  <c:v>2.8239999999999998</c:v>
                </c:pt>
                <c:pt idx="5">
                  <c:v>3.1875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5-0B40-BAD8-88B7DE381B16}"/>
            </c:ext>
          </c:extLst>
        </c:ser>
        <c:ser>
          <c:idx val="1"/>
          <c:order val="1"/>
          <c:tx>
            <c:strRef>
              <c:f>'Sistemas E.D'!$H$5</c:f>
              <c:strCache>
                <c:ptCount val="1"/>
                <c:pt idx="0">
                  <c:v>y(t)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'Sistemas E.D'!$F$6:$F$11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'Sistemas E.D'!$H$6:$H$11</c:f>
              <c:numCache>
                <c:formatCode>General</c:formatCode>
                <c:ptCount val="6"/>
                <c:pt idx="0">
                  <c:v>4</c:v>
                </c:pt>
                <c:pt idx="1">
                  <c:v>3.8751666666666669</c:v>
                </c:pt>
                <c:pt idx="2">
                  <c:v>3.7013333333333329</c:v>
                </c:pt>
                <c:pt idx="3">
                  <c:v>3.4795000000000003</c:v>
                </c:pt>
                <c:pt idx="4">
                  <c:v>3.210666666666667</c:v>
                </c:pt>
                <c:pt idx="5">
                  <c:v>2.8958333333333335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5-0B40-BAD8-88B7DE381B16}"/>
            </c:ext>
          </c:extLst>
        </c:ser>
        <c:ser>
          <c:idx val="2"/>
          <c:order val="2"/>
          <c:tx>
            <c:strRef>
              <c:f>'Sistemas E.D'!$I$5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'Sistemas E.D'!$F$6:$F$11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'Sistemas E.D'!$I$6:$I$11</c:f>
              <c:numCache>
                <c:formatCode>General</c:formatCode>
                <c:ptCount val="6"/>
                <c:pt idx="0">
                  <c:v>1</c:v>
                </c:pt>
                <c:pt idx="1">
                  <c:v>1.4935062468464366</c:v>
                </c:pt>
                <c:pt idx="2">
                  <c:v>1.968133018962233</c:v>
                </c:pt>
                <c:pt idx="3">
                  <c:v>2.4153388958138748</c:v>
                </c:pt>
                <c:pt idx="4">
                  <c:v>2.8271656430676186</c:v>
                </c:pt>
                <c:pt idx="5">
                  <c:v>3.1964568599777148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5-0B40-BAD8-88B7DE381B16}"/>
            </c:ext>
          </c:extLst>
        </c:ser>
        <c:ser>
          <c:idx val="3"/>
          <c:order val="3"/>
          <c:tx>
            <c:strRef>
              <c:f>'Sistemas E.D'!$J$5</c:f>
              <c:strCache>
                <c:ptCount val="1"/>
                <c:pt idx="0">
                  <c:v>y(t)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'Sistemas E.D'!$F$6:$F$11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'Sistemas E.D'!$J$6:$J$11</c:f>
              <c:numCache>
                <c:formatCode>General</c:formatCode>
                <c:ptCount val="6"/>
                <c:pt idx="0">
                  <c:v>4</c:v>
                </c:pt>
                <c:pt idx="1">
                  <c:v>3.8752040486530137</c:v>
                </c:pt>
                <c:pt idx="2">
                  <c:v>3.7019284526237866</c:v>
                </c:pt>
                <c:pt idx="3">
                  <c:v>3.4824921251024419</c:v>
                </c:pt>
                <c:pt idx="4">
                  <c:v>3.2200408721509834</c:v>
                </c:pt>
                <c:pt idx="5">
                  <c:v>2.9184779569498769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5-0B40-BAD8-88B7DE381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079200"/>
        <c:axId val="1935487968"/>
      </c:lineChart>
      <c:catAx>
        <c:axId val="19350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5487968"/>
        <c:crosses val="autoZero"/>
        <c:auto val="1"/>
        <c:lblAlgn val="ctr"/>
        <c:lblOffset val="100"/>
        <c:noMultiLvlLbl val="0"/>
      </c:catAx>
      <c:valAx>
        <c:axId val="19354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50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Sistemas</a:t>
            </a:r>
            <a:r>
              <a:rPr lang="es-MX" baseline="0"/>
              <a:t> con Euler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'Sistemas E.D_2'!$K$6:$K$11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'Sistemas E.D_2'!$M$6:$M$11</c:f>
              <c:numCache>
                <c:formatCode>General</c:formatCode>
                <c:ptCount val="6"/>
                <c:pt idx="0">
                  <c:v>1</c:v>
                </c:pt>
                <c:pt idx="1">
                  <c:v>1.6</c:v>
                </c:pt>
                <c:pt idx="2">
                  <c:v>2.5100000000000002</c:v>
                </c:pt>
                <c:pt idx="3">
                  <c:v>3.8760000000000003</c:v>
                </c:pt>
                <c:pt idx="4">
                  <c:v>5.908100000000001</c:v>
                </c:pt>
                <c:pt idx="5">
                  <c:v>8.9069600000000015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C-BA45-8964-864F641262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'Sistemas E.D_2'!$K$6:$K$11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'Sistemas E.D_2'!$O$6:$O$11</c:f>
              <c:numCache>
                <c:formatCode>General</c:formatCode>
                <c:ptCount val="6"/>
                <c:pt idx="0">
                  <c:v>1</c:v>
                </c:pt>
                <c:pt idx="1">
                  <c:v>1.1000000000000001</c:v>
                </c:pt>
                <c:pt idx="2">
                  <c:v>1.1100000000000001</c:v>
                </c:pt>
                <c:pt idx="3">
                  <c:v>0.94100000000000006</c:v>
                </c:pt>
                <c:pt idx="4">
                  <c:v>0.4481</c:v>
                </c:pt>
                <c:pt idx="5">
                  <c:v>-0.59909000000000034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C-BA45-8964-864F641262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'Sistemas E.D_2'!$K$6:$K$11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'Sistemas E.D_2'!$P$6:$P$11</c:f>
              <c:numCache>
                <c:formatCode>General</c:formatCode>
                <c:ptCount val="6"/>
                <c:pt idx="0">
                  <c:v>1</c:v>
                </c:pt>
                <c:pt idx="1">
                  <c:v>1.7822397012249942</c:v>
                </c:pt>
                <c:pt idx="2">
                  <c:v>3.0654717354744681</c:v>
                </c:pt>
                <c:pt idx="3">
                  <c:v>5.1341521227474756</c:v>
                </c:pt>
                <c:pt idx="4">
                  <c:v>8.4196483203597694</c:v>
                </c:pt>
                <c:pt idx="5">
                  <c:v>13.569511181264239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C-BA45-8964-864F6412621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'Sistemas E.D_2'!$K$6:$K$11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'Sistemas E.D_2'!$Q$6:$Q$11</c:f>
              <c:numCache>
                <c:formatCode>General</c:formatCode>
                <c:ptCount val="6"/>
                <c:pt idx="0">
                  <c:v>1</c:v>
                </c:pt>
                <c:pt idx="1">
                  <c:v>1.0375699182067473</c:v>
                </c:pt>
                <c:pt idx="2">
                  <c:v>0.85473810087137914</c:v>
                </c:pt>
                <c:pt idx="3">
                  <c:v>0.22834392701289793</c:v>
                </c:pt>
                <c:pt idx="4">
                  <c:v>-1.2243600601849414</c:v>
                </c:pt>
                <c:pt idx="5">
                  <c:v>-4.1429998187682511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5C-BA45-8964-864F64126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804064"/>
        <c:axId val="1979484640"/>
      </c:lineChart>
      <c:catAx>
        <c:axId val="198980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9484640"/>
        <c:crosses val="autoZero"/>
        <c:auto val="1"/>
        <c:lblAlgn val="ctr"/>
        <c:lblOffset val="100"/>
        <c:noMultiLvlLbl val="0"/>
      </c:catAx>
      <c:valAx>
        <c:axId val="19794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98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Euler!$N$4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Euler!$L$5:$M$9</c:f>
              <c:multiLvlStrCache>
                <c:ptCount val="5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Euler!$N$5:$N$9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3.15</c:v>
                </c:pt>
                <c:pt idx="3">
                  <c:v>4.0004999999999997</c:v>
                </c:pt>
                <c:pt idx="4">
                  <c:v>5.1206399999999999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7249-820D-9BA2FDABDAA6}"/>
            </c:ext>
          </c:extLst>
        </c:ser>
        <c:ser>
          <c:idx val="1"/>
          <c:order val="1"/>
          <c:tx>
            <c:strRef>
              <c:f>Euler!$O$4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Euler!$L$5:$M$9</c:f>
              <c:multiLvlStrCache>
                <c:ptCount val="5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Euler!$O$5:$O$9</c:f>
              <c:numCache>
                <c:formatCode>General</c:formatCode>
                <c:ptCount val="5"/>
                <c:pt idx="0">
                  <c:v>2</c:v>
                </c:pt>
                <c:pt idx="1">
                  <c:v>2.5809232417457797</c:v>
                </c:pt>
                <c:pt idx="2">
                  <c:v>3.3640552993977728</c:v>
                </c:pt>
                <c:pt idx="3">
                  <c:v>4.4288819936081492</c:v>
                </c:pt>
                <c:pt idx="4">
                  <c:v>5.8893591021310483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4-7249-820D-9BA2FDAB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086463"/>
        <c:axId val="1058088095"/>
      </c:lineChart>
      <c:catAx>
        <c:axId val="105808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8088095"/>
        <c:crosses val="autoZero"/>
        <c:auto val="1"/>
        <c:lblAlgn val="ctr"/>
        <c:lblOffset val="100"/>
        <c:noMultiLvlLbl val="0"/>
      </c:catAx>
      <c:valAx>
        <c:axId val="10580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808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Euler_Ej!$F$4</c:f>
              <c:strCache>
                <c:ptCount val="1"/>
                <c:pt idx="0">
                  <c:v>yaprox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Euler_Ej!$D$5:$E$10</c:f>
              <c:multiLvlStrCache>
                <c:ptCount val="6"/>
                <c:lvl>
                  <c:pt idx="0">
                    <c:v>0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0.5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Euler_Ej!$F$5:$F$10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1.0101</c:v>
                </c:pt>
                <c:pt idx="3">
                  <c:v>1.031102</c:v>
                </c:pt>
                <c:pt idx="4">
                  <c:v>1.0647350600000001</c:v>
                </c:pt>
                <c:pt idx="5">
                  <c:v>1.1137244624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E-6E4C-842E-ABF3B757A934}"/>
            </c:ext>
          </c:extLst>
        </c:ser>
        <c:ser>
          <c:idx val="1"/>
          <c:order val="1"/>
          <c:tx>
            <c:strRef>
              <c:f>Euler_Ej!$G$4</c:f>
              <c:strCache>
                <c:ptCount val="1"/>
                <c:pt idx="0">
                  <c:v>yreal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Euler_Ej!$D$5:$E$10</c:f>
              <c:multiLvlStrCache>
                <c:ptCount val="6"/>
                <c:lvl>
                  <c:pt idx="0">
                    <c:v>0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0.5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Euler_Ej!$G$5:$G$10</c:f>
              <c:numCache>
                <c:formatCode>General</c:formatCode>
                <c:ptCount val="6"/>
                <c:pt idx="0">
                  <c:v>1</c:v>
                </c:pt>
                <c:pt idx="1">
                  <c:v>1.0250375625782029</c:v>
                </c:pt>
                <c:pt idx="2">
                  <c:v>1.1006040200802674</c:v>
                </c:pt>
                <c:pt idx="3">
                  <c:v>1.2280835797261505</c:v>
                </c:pt>
                <c:pt idx="4">
                  <c:v>1.4098612030248763</c:v>
                </c:pt>
                <c:pt idx="5">
                  <c:v>1.6494453592004792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E-6E4C-842E-ABF3B757A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020752"/>
        <c:axId val="1722022384"/>
      </c:lineChart>
      <c:catAx>
        <c:axId val="172202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2022384"/>
        <c:crosses val="autoZero"/>
        <c:auto val="1"/>
        <c:lblAlgn val="ctr"/>
        <c:lblOffset val="100"/>
        <c:noMultiLvlLbl val="0"/>
      </c:catAx>
      <c:valAx>
        <c:axId val="17220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202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Euler_Ej6!$F$4</c:f>
              <c:strCache>
                <c:ptCount val="1"/>
                <c:pt idx="0">
                  <c:v>yaprox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Euler_Ej6!$D$5:$E$10</c:f>
              <c:multiLvlStrCache>
                <c:ptCount val="6"/>
                <c:lvl>
                  <c:pt idx="0">
                    <c:v>0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0.5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Euler_Ej6!$F$5:$F$10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1.0101</c:v>
                </c:pt>
                <c:pt idx="3">
                  <c:v>1.031102</c:v>
                </c:pt>
                <c:pt idx="4">
                  <c:v>1.0647350600000001</c:v>
                </c:pt>
                <c:pt idx="5">
                  <c:v>1.1137244624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4-5145-B894-25A41DD57E4C}"/>
            </c:ext>
          </c:extLst>
        </c:ser>
        <c:ser>
          <c:idx val="1"/>
          <c:order val="1"/>
          <c:tx>
            <c:strRef>
              <c:f>Euler_Ej6!$G$4</c:f>
              <c:strCache>
                <c:ptCount val="1"/>
                <c:pt idx="0">
                  <c:v>yreal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Euler_Ej6!$D$5:$E$10</c:f>
              <c:multiLvlStrCache>
                <c:ptCount val="6"/>
                <c:lvl>
                  <c:pt idx="0">
                    <c:v>0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0.5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Euler_Ej6!$G$5:$G$10</c:f>
              <c:numCache>
                <c:formatCode>General</c:formatCode>
                <c:ptCount val="6"/>
                <c:pt idx="0">
                  <c:v>1</c:v>
                </c:pt>
                <c:pt idx="1">
                  <c:v>1.0250375625782029</c:v>
                </c:pt>
                <c:pt idx="2">
                  <c:v>1.1006040200802674</c:v>
                </c:pt>
                <c:pt idx="3">
                  <c:v>1.2280835797261505</c:v>
                </c:pt>
                <c:pt idx="4">
                  <c:v>1.4098612030248763</c:v>
                </c:pt>
                <c:pt idx="5">
                  <c:v>1.6494453592004792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4-5145-B894-25A41DD57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020752"/>
        <c:axId val="1722022384"/>
      </c:lineChart>
      <c:catAx>
        <c:axId val="172202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2022384"/>
        <c:crosses val="autoZero"/>
        <c:auto val="1"/>
        <c:lblAlgn val="ctr"/>
        <c:lblOffset val="100"/>
        <c:noMultiLvlLbl val="0"/>
      </c:catAx>
      <c:valAx>
        <c:axId val="17220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202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Euler_Ej6!$M$5:$M$10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Euler_Ej6!$N$5:$N$10</c:f>
              <c:numCache>
                <c:formatCode>General</c:formatCode>
                <c:ptCount val="6"/>
                <c:pt idx="0">
                  <c:v>0.1</c:v>
                </c:pt>
                <c:pt idx="1">
                  <c:v>0.12000000000000001</c:v>
                </c:pt>
                <c:pt idx="2">
                  <c:v>0.14400000000000002</c:v>
                </c:pt>
                <c:pt idx="3">
                  <c:v>0.17280000000000001</c:v>
                </c:pt>
                <c:pt idx="4">
                  <c:v>0.20736000000000002</c:v>
                </c:pt>
                <c:pt idx="5">
                  <c:v>0.24883200000000003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1-1848-A387-9B7080AD22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Euler_Ej6!$M$5:$M$10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Euler_Ej6!$O$5:$O$10</c:f>
              <c:numCache>
                <c:formatCode>General</c:formatCode>
                <c:ptCount val="6"/>
                <c:pt idx="0">
                  <c:v>0.2</c:v>
                </c:pt>
                <c:pt idx="1">
                  <c:v>0.24000000000000002</c:v>
                </c:pt>
                <c:pt idx="2">
                  <c:v>0.28800000000000003</c:v>
                </c:pt>
                <c:pt idx="3">
                  <c:v>0.34560000000000002</c:v>
                </c:pt>
                <c:pt idx="4">
                  <c:v>0.41472000000000003</c:v>
                </c:pt>
                <c:pt idx="5">
                  <c:v>0.49766400000000005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1-1848-A387-9B7080AD22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Euler_Ej6!$M$5:$M$10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Euler_Ej6!$P$5:$P$10</c:f>
              <c:numCache>
                <c:formatCode>General</c:formatCode>
                <c:ptCount val="6"/>
                <c:pt idx="0">
                  <c:v>0.1</c:v>
                </c:pt>
                <c:pt idx="1">
                  <c:v>0.10500000000000001</c:v>
                </c:pt>
                <c:pt idx="2">
                  <c:v>0.12000000000000001</c:v>
                </c:pt>
                <c:pt idx="3">
                  <c:v>0.14500000000000002</c:v>
                </c:pt>
                <c:pt idx="4">
                  <c:v>0.18000000000000002</c:v>
                </c:pt>
                <c:pt idx="5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1-1848-A387-9B7080AD228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Euler_Ej6!$M$5:$M$10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Euler_Ej6!$Q$5:$Q$10</c:f>
              <c:numCache>
                <c:formatCode>General</c:formatCode>
                <c:ptCount val="6"/>
                <c:pt idx="0">
                  <c:v>0.2</c:v>
                </c:pt>
                <c:pt idx="1">
                  <c:v>0.23137601976642497</c:v>
                </c:pt>
                <c:pt idx="2">
                  <c:v>0.2870860679523739</c:v>
                </c:pt>
                <c:pt idx="3">
                  <c:v>0.36968937666720736</c:v>
                </c:pt>
                <c:pt idx="4">
                  <c:v>0.48201433481079459</c:v>
                </c:pt>
                <c:pt idx="5">
                  <c:v>0.62718679554028212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91-1848-A387-9B7080AD2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121792"/>
        <c:axId val="1621122176"/>
      </c:lineChart>
      <c:catAx>
        <c:axId val="16211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1122176"/>
        <c:crosses val="autoZero"/>
        <c:auto val="1"/>
        <c:lblAlgn val="ctr"/>
        <c:lblOffset val="100"/>
        <c:noMultiLvlLbl val="0"/>
      </c:catAx>
      <c:valAx>
        <c:axId val="16211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11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Euler Gauss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'Euler-Gauss_1'!$G$4:$G$8</c:f>
              <c:numCache>
                <c:formatCode>General</c:formatCode>
                <c:ptCount val="5"/>
                <c:pt idx="0">
                  <c:v>2</c:v>
                </c:pt>
                <c:pt idx="1">
                  <c:v>2.5750000000000002</c:v>
                </c:pt>
                <c:pt idx="2">
                  <c:v>3.3477575000000002</c:v>
                </c:pt>
                <c:pt idx="3">
                  <c:v>4.3949360459999998</c:v>
                </c:pt>
                <c:pt idx="4">
                  <c:v>5.8259272225776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3-6748-B34A-915D3FB414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'Euler-Gauss_1'!$H$4:$H$8</c:f>
              <c:numCache>
                <c:formatCode>General</c:formatCode>
                <c:ptCount val="5"/>
                <c:pt idx="0">
                  <c:v>2</c:v>
                </c:pt>
                <c:pt idx="1">
                  <c:v>2.5809232417457797</c:v>
                </c:pt>
                <c:pt idx="2">
                  <c:v>3.3640552993977728</c:v>
                </c:pt>
                <c:pt idx="3">
                  <c:v>4.4288819936081492</c:v>
                </c:pt>
                <c:pt idx="4">
                  <c:v>5.8893591021310483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3-6748-B34A-915D3FB4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386799"/>
        <c:axId val="1057459407"/>
      </c:lineChart>
      <c:catAx>
        <c:axId val="105738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7459407"/>
        <c:crosses val="autoZero"/>
        <c:auto val="1"/>
        <c:lblAlgn val="ctr"/>
        <c:lblOffset val="100"/>
        <c:noMultiLvlLbl val="0"/>
      </c:catAx>
      <c:valAx>
        <c:axId val="10574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738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Euler Gauss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'Euler-Gauss_2'!$G$4:$G$8</c:f>
              <c:numCache>
                <c:formatCode>General</c:formatCode>
                <c:ptCount val="5"/>
                <c:pt idx="0">
                  <c:v>1</c:v>
                </c:pt>
                <c:pt idx="1">
                  <c:v>1.1739999999999999</c:v>
                </c:pt>
                <c:pt idx="2">
                  <c:v>1.4056815999999999</c:v>
                </c:pt>
                <c:pt idx="3">
                  <c:v>1.7128774739199999</c:v>
                </c:pt>
                <c:pt idx="4">
                  <c:v>2.120932080110848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3-2948-B7F0-674657B907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'Euler-Gauss_2'!$H$4:$H$8</c:f>
              <c:numCache>
                <c:formatCode>General</c:formatCode>
                <c:ptCount val="5"/>
                <c:pt idx="0">
                  <c:v>0.99999849177461941</c:v>
                </c:pt>
                <c:pt idx="1">
                  <c:v>1.1744154220893892</c:v>
                </c:pt>
                <c:pt idx="2">
                  <c:v>1.4068718081518734</c:v>
                </c:pt>
                <c:pt idx="3">
                  <c:v>1.7154689632040441</c:v>
                </c:pt>
                <c:pt idx="4">
                  <c:v>2.126006110035453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3-2948-B7F0-674657B9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386799"/>
        <c:axId val="1057459407"/>
      </c:lineChart>
      <c:catAx>
        <c:axId val="105738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7459407"/>
        <c:crosses val="autoZero"/>
        <c:auto val="1"/>
        <c:lblAlgn val="ctr"/>
        <c:lblOffset val="100"/>
        <c:noMultiLvlLbl val="0"/>
      </c:catAx>
      <c:valAx>
        <c:axId val="10574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738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Euler Gauss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777537182852144"/>
          <c:y val="0.23189823268381185"/>
          <c:w val="0.88389129483814521"/>
          <c:h val="0.614984184523251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'Euler-Gauss_Ej'!$G$4:$G$8</c:f>
              <c:numCache>
                <c:formatCode>General</c:formatCode>
                <c:ptCount val="5"/>
                <c:pt idx="0">
                  <c:v>1</c:v>
                </c:pt>
                <c:pt idx="1">
                  <c:v>1.00505</c:v>
                </c:pt>
                <c:pt idx="2">
                  <c:v>1.0206772550000001</c:v>
                </c:pt>
                <c:pt idx="3">
                  <c:v>1.0482623895515</c:v>
                </c:pt>
                <c:pt idx="4">
                  <c:v>1.0901845306195335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A-7C45-8A1E-3F9A70B87D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'Euler-Gauss_Ej'!$H$4:$H$8</c:f>
              <c:numCache>
                <c:formatCode>General</c:formatCode>
                <c:ptCount val="5"/>
                <c:pt idx="0">
                  <c:v>1</c:v>
                </c:pt>
                <c:pt idx="1">
                  <c:v>1.0050375625782033</c:v>
                </c:pt>
                <c:pt idx="2">
                  <c:v>1.0206040200802673</c:v>
                </c:pt>
                <c:pt idx="3">
                  <c:v>1.0480835797261507</c:v>
                </c:pt>
                <c:pt idx="4">
                  <c:v>1.089861203024876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A-7C45-8A1E-3F9A70B87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386799"/>
        <c:axId val="1057459407"/>
      </c:lineChart>
      <c:catAx>
        <c:axId val="105738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7459407"/>
        <c:crosses val="autoZero"/>
        <c:auto val="1"/>
        <c:lblAlgn val="ctr"/>
        <c:lblOffset val="100"/>
        <c:noMultiLvlLbl val="0"/>
      </c:catAx>
      <c:valAx>
        <c:axId val="10574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738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Polinomio Taylor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taylor_1!$E$4:$E$9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taylor_1!$F$4:$F$9</c:f>
              <c:numCache>
                <c:formatCode>General</c:formatCode>
                <c:ptCount val="6"/>
                <c:pt idx="0">
                  <c:v>1</c:v>
                </c:pt>
                <c:pt idx="1">
                  <c:v>1.0048333333333332</c:v>
                </c:pt>
                <c:pt idx="2">
                  <c:v>1.0186666666666666</c:v>
                </c:pt>
                <c:pt idx="3">
                  <c:v>1.0405</c:v>
                </c:pt>
                <c:pt idx="4">
                  <c:v>1.0693333333333335</c:v>
                </c:pt>
                <c:pt idx="5">
                  <c:v>1.1041666666666667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0-364E-8B02-BA5B7EFB89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taylor_1!$E$4:$E$9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taylor_1!$G$4:$G$9</c:f>
              <c:numCache>
                <c:formatCode>General</c:formatCode>
                <c:ptCount val="6"/>
                <c:pt idx="0">
                  <c:v>1</c:v>
                </c:pt>
                <c:pt idx="1">
                  <c:v>1.0048374180359596</c:v>
                </c:pt>
                <c:pt idx="2">
                  <c:v>1.0187307530779819</c:v>
                </c:pt>
                <c:pt idx="3">
                  <c:v>1.040818220681718</c:v>
                </c:pt>
                <c:pt idx="4">
                  <c:v>1.0703200460356395</c:v>
                </c:pt>
                <c:pt idx="5">
                  <c:v>1.1065306597126334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0-364E-8B02-BA5B7EFB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07120"/>
        <c:axId val="520508752"/>
      </c:lineChart>
      <c:catAx>
        <c:axId val="5205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0508752"/>
        <c:crosses val="autoZero"/>
        <c:auto val="1"/>
        <c:lblAlgn val="ctr"/>
        <c:lblOffset val="100"/>
        <c:noMultiLvlLbl val="0"/>
      </c:catAx>
      <c:valAx>
        <c:axId val="5205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05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emf"/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7" Type="http://schemas.openxmlformats.org/officeDocument/2006/relationships/chart" Target="../charts/chart15.xml"/><Relationship Id="rId2" Type="http://schemas.openxmlformats.org/officeDocument/2006/relationships/image" Target="../media/image23.png"/><Relationship Id="rId1" Type="http://schemas.openxmlformats.org/officeDocument/2006/relationships/image" Target="../media/image22.tmp"/><Relationship Id="rId6" Type="http://schemas.openxmlformats.org/officeDocument/2006/relationships/image" Target="../media/image21.emf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emf"/><Relationship Id="rId2" Type="http://schemas.openxmlformats.org/officeDocument/2006/relationships/image" Target="../media/image30.emf"/><Relationship Id="rId1" Type="http://schemas.openxmlformats.org/officeDocument/2006/relationships/image" Target="../media/image29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3.emf"/><Relationship Id="rId1" Type="http://schemas.openxmlformats.org/officeDocument/2006/relationships/image" Target="../media/image32.tmp"/><Relationship Id="rId4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chart" Target="../charts/chart4.xml"/><Relationship Id="rId6" Type="http://schemas.openxmlformats.org/officeDocument/2006/relationships/chart" Target="../charts/chart5.xml"/><Relationship Id="rId5" Type="http://schemas.openxmlformats.org/officeDocument/2006/relationships/image" Target="../media/image8.emf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2.emf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4" Type="http://schemas.openxmlformats.org/officeDocument/2006/relationships/image" Target="../media/image11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4" Type="http://schemas.openxmlformats.org/officeDocument/2006/relationships/image" Target="../media/image12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chart" Target="../charts/chart1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8.emf"/><Relationship Id="rId1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154610</xdr:colOff>
      <xdr:row>10</xdr:row>
      <xdr:rowOff>180008</xdr:rowOff>
    </xdr:from>
    <xdr:to>
      <xdr:col>8</xdr:col>
      <xdr:colOff>662610</xdr:colOff>
      <xdr:row>25</xdr:row>
      <xdr:rowOff>107121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99391</xdr:colOff>
      <xdr:row>3</xdr:row>
      <xdr:rowOff>154610</xdr:rowOff>
    </xdr:from>
    <xdr:to>
      <xdr:col>13</xdr:col>
      <xdr:colOff>1833770</xdr:colOff>
      <xdr:row>3</xdr:row>
      <xdr:rowOff>507449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7826" y="717827"/>
          <a:ext cx="1734379" cy="352839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14</xdr:col>
      <xdr:colOff>176696</xdr:colOff>
      <xdr:row>3</xdr:row>
      <xdr:rowOff>209827</xdr:rowOff>
    </xdr:from>
    <xdr:to>
      <xdr:col>14</xdr:col>
      <xdr:colOff>1637196</xdr:colOff>
      <xdr:row>3</xdr:row>
      <xdr:rowOff>410266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8783" y="773044"/>
          <a:ext cx="1460500" cy="200439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11</xdr:col>
      <xdr:colOff>309217</xdr:colOff>
      <xdr:row>10</xdr:row>
      <xdr:rowOff>113747</xdr:rowOff>
    </xdr:from>
    <xdr:to>
      <xdr:col>14</xdr:col>
      <xdr:colOff>1546087</xdr:colOff>
      <xdr:row>25</xdr:row>
      <xdr:rowOff>40860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530088</xdr:colOff>
      <xdr:row>11</xdr:row>
      <xdr:rowOff>14356</xdr:rowOff>
    </xdr:from>
    <xdr:to>
      <xdr:col>7</xdr:col>
      <xdr:colOff>806175</xdr:colOff>
      <xdr:row>25</xdr:row>
      <xdr:rowOff>129208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77304</xdr:colOff>
      <xdr:row>2</xdr:row>
      <xdr:rowOff>154609</xdr:rowOff>
    </xdr:from>
    <xdr:to>
      <xdr:col>6</xdr:col>
      <xdr:colOff>1337365</xdr:colOff>
      <xdr:row>2</xdr:row>
      <xdr:rowOff>507448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9304" y="530087"/>
          <a:ext cx="1260061" cy="352839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5</xdr:col>
      <xdr:colOff>88347</xdr:colOff>
      <xdr:row>2</xdr:row>
      <xdr:rowOff>132521</xdr:rowOff>
    </xdr:from>
    <xdr:to>
      <xdr:col>5</xdr:col>
      <xdr:colOff>1909969</xdr:colOff>
      <xdr:row>2</xdr:row>
      <xdr:rowOff>508000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8434" y="507999"/>
          <a:ext cx="1821622" cy="375479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133838</xdr:colOff>
      <xdr:row>3</xdr:row>
      <xdr:rowOff>26378</xdr:rowOff>
    </xdr:from>
    <xdr:ext cx="1460208" cy="275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A00-000002000000}"/>
                </a:ext>
              </a:extLst>
            </xdr:cNvPr>
            <xdr:cNvSpPr txBox="1"/>
          </xdr:nvSpPr>
          <xdr:spPr>
            <a:xfrm>
              <a:off x="6688992" y="417147"/>
              <a:ext cx="1460208" cy="275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𝑟𝑒𝑎𝑙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=−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+3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−2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DF48D29-BB50-084E-8C99-76BE2899FDAF}"/>
                </a:ext>
              </a:extLst>
            </xdr:cNvPr>
            <xdr:cNvSpPr txBox="1"/>
          </xdr:nvSpPr>
          <xdr:spPr>
            <a:xfrm>
              <a:off x="6688992" y="417147"/>
              <a:ext cx="1460208" cy="275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𝑦_𝑟𝑒𝑎𝑙=−𝑥^3+3𝑒^(𝑥^2/2)−2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4</xdr:col>
      <xdr:colOff>180731</xdr:colOff>
      <xdr:row>10</xdr:row>
      <xdr:rowOff>186592</xdr:rowOff>
    </xdr:from>
    <xdr:to>
      <xdr:col>8</xdr:col>
      <xdr:colOff>464039</xdr:colOff>
      <xdr:row>24</xdr:row>
      <xdr:rowOff>194408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180731</xdr:colOff>
      <xdr:row>10</xdr:row>
      <xdr:rowOff>186592</xdr:rowOff>
    </xdr:from>
    <xdr:to>
      <xdr:col>8</xdr:col>
      <xdr:colOff>464039</xdr:colOff>
      <xdr:row>24</xdr:row>
      <xdr:rowOff>194408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136769</xdr:colOff>
      <xdr:row>3</xdr:row>
      <xdr:rowOff>117230</xdr:rowOff>
    </xdr:from>
    <xdr:to>
      <xdr:col>8</xdr:col>
      <xdr:colOff>1533769</xdr:colOff>
      <xdr:row>3</xdr:row>
      <xdr:rowOff>312615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0769" y="703384"/>
          <a:ext cx="1397000" cy="195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71230</xdr:colOff>
      <xdr:row>4</xdr:row>
      <xdr:rowOff>99234</xdr:rowOff>
    </xdr:from>
    <xdr:to>
      <xdr:col>2</xdr:col>
      <xdr:colOff>728192</xdr:colOff>
      <xdr:row>4</xdr:row>
      <xdr:rowOff>298173</xdr:rowOff>
    </xdr:to>
    <xdr:pic>
      <xdr:nvPicPr>
        <xdr:cNvPr id="8" name="Imagen 7" descr="Recorte de pantalla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491" y="850191"/>
          <a:ext cx="656962" cy="198939"/>
        </a:xfrm>
        <a:prstGeom prst="rect">
          <a:avLst/>
        </a:prstGeom>
      </xdr:spPr>
    </xdr:pic>
    <xdr:clientData/>
  </xdr:twoCellAnchor>
  <xdr:twoCellAnchor editAs="oneCell">
    <xdr:from>
      <xdr:col>5</xdr:col>
      <xdr:colOff>65629</xdr:colOff>
      <xdr:row>4</xdr:row>
      <xdr:rowOff>132364</xdr:rowOff>
    </xdr:from>
    <xdr:to>
      <xdr:col>5</xdr:col>
      <xdr:colOff>783453</xdr:colOff>
      <xdr:row>4</xdr:row>
      <xdr:rowOff>279321</xdr:rowOff>
    </xdr:to>
    <xdr:pic>
      <xdr:nvPicPr>
        <xdr:cNvPr id="10" name="Imagen 9" descr="Recorte de pantalla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977" y="883321"/>
          <a:ext cx="717824" cy="146957"/>
        </a:xfrm>
        <a:prstGeom prst="rect">
          <a:avLst/>
        </a:prstGeom>
      </xdr:spPr>
    </xdr:pic>
    <xdr:clientData/>
  </xdr:twoCellAnchor>
  <xdr:twoCellAnchor editAs="oneCell">
    <xdr:from>
      <xdr:col>8</xdr:col>
      <xdr:colOff>38257</xdr:colOff>
      <xdr:row>4</xdr:row>
      <xdr:rowOff>132206</xdr:rowOff>
    </xdr:from>
    <xdr:to>
      <xdr:col>8</xdr:col>
      <xdr:colOff>751182</xdr:colOff>
      <xdr:row>4</xdr:row>
      <xdr:rowOff>290049</xdr:rowOff>
    </xdr:to>
    <xdr:pic>
      <xdr:nvPicPr>
        <xdr:cNvPr id="11" name="Imagen 10" descr="Recorte de pantalla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8692" y="883163"/>
          <a:ext cx="712925" cy="157843"/>
        </a:xfrm>
        <a:prstGeom prst="rect">
          <a:avLst/>
        </a:prstGeom>
      </xdr:spPr>
    </xdr:pic>
    <xdr:clientData/>
  </xdr:twoCellAnchor>
  <xdr:twoCellAnchor editAs="oneCell">
    <xdr:from>
      <xdr:col>11</xdr:col>
      <xdr:colOff>54744</xdr:colOff>
      <xdr:row>4</xdr:row>
      <xdr:rowOff>165179</xdr:rowOff>
    </xdr:from>
    <xdr:to>
      <xdr:col>11</xdr:col>
      <xdr:colOff>749012</xdr:colOff>
      <xdr:row>4</xdr:row>
      <xdr:rowOff>317579</xdr:rowOff>
    </xdr:to>
    <xdr:pic>
      <xdr:nvPicPr>
        <xdr:cNvPr id="12" name="Imagen 11" descr="Recorte de pantalla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8483" y="916136"/>
          <a:ext cx="694268" cy="152400"/>
        </a:xfrm>
        <a:prstGeom prst="rect">
          <a:avLst/>
        </a:prstGeom>
      </xdr:spPr>
    </xdr:pic>
    <xdr:clientData/>
  </xdr:twoCellAnchor>
  <xdr:twoCellAnchor editAs="oneCell">
    <xdr:from>
      <xdr:col>12</xdr:col>
      <xdr:colOff>53080</xdr:colOff>
      <xdr:row>4</xdr:row>
      <xdr:rowOff>128393</xdr:rowOff>
    </xdr:from>
    <xdr:to>
      <xdr:col>12</xdr:col>
      <xdr:colOff>772371</xdr:colOff>
      <xdr:row>4</xdr:row>
      <xdr:rowOff>253579</xdr:rowOff>
    </xdr:to>
    <xdr:pic>
      <xdr:nvPicPr>
        <xdr:cNvPr id="13" name="Imagen 12" descr="Recorte de pantalla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5080" y="879350"/>
          <a:ext cx="719291" cy="125186"/>
        </a:xfrm>
        <a:prstGeom prst="rect">
          <a:avLst/>
        </a:prstGeom>
      </xdr:spPr>
    </xdr:pic>
    <xdr:clientData/>
  </xdr:twoCellAnchor>
  <xdr:twoCellAnchor>
    <xdr:from>
      <xdr:col>13</xdr:col>
      <xdr:colOff>55216</xdr:colOff>
      <xdr:row>4</xdr:row>
      <xdr:rowOff>165653</xdr:rowOff>
    </xdr:from>
    <xdr:to>
      <xdr:col>13</xdr:col>
      <xdr:colOff>1452216</xdr:colOff>
      <xdr:row>4</xdr:row>
      <xdr:rowOff>361038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7129" y="541131"/>
          <a:ext cx="1397000" cy="195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88348</xdr:colOff>
      <xdr:row>12</xdr:row>
      <xdr:rowOff>91660</xdr:rowOff>
    </xdr:from>
    <xdr:to>
      <xdr:col>11</xdr:col>
      <xdr:colOff>817218</xdr:colOff>
      <xdr:row>27</xdr:row>
      <xdr:rowOff>18773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2</xdr:row>
          <xdr:rowOff>88900</xdr:rowOff>
        </xdr:from>
        <xdr:to>
          <xdr:col>3</xdr:col>
          <xdr:colOff>330200</xdr:colOff>
          <xdr:row>8</xdr:row>
          <xdr:rowOff>25400</xdr:rowOff>
        </xdr:to>
        <xdr:sp macro="" textlink="">
          <xdr:nvSpPr>
            <xdr:cNvPr id="2049" name="Objeto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E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</xdr:colOff>
          <xdr:row>10</xdr:row>
          <xdr:rowOff>25400</xdr:rowOff>
        </xdr:from>
        <xdr:to>
          <xdr:col>4</xdr:col>
          <xdr:colOff>292100</xdr:colOff>
          <xdr:row>15</xdr:row>
          <xdr:rowOff>177800</xdr:rowOff>
        </xdr:to>
        <xdr:sp macro="" textlink="">
          <xdr:nvSpPr>
            <xdr:cNvPr id="2050" name="Objeto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E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241300</xdr:colOff>
      <xdr:row>17</xdr:row>
      <xdr:rowOff>127000</xdr:rowOff>
    </xdr:from>
    <xdr:to>
      <xdr:col>10</xdr:col>
      <xdr:colOff>635000</xdr:colOff>
      <xdr:row>34</xdr:row>
      <xdr:rowOff>125348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to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E00-000002000000}"/>
                </a:ext>
              </a:extLst>
            </xdr:cNvPr>
            <xdr:cNvSpPr txBox="1"/>
          </xdr:nvSpPr>
          <xdr:spPr>
            <a:xfrm>
              <a:off x="241300" y="3365500"/>
              <a:ext cx="8648700" cy="323684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"/>
                        <m:endChr m:val="}"/>
                        <m:ctrlPr>
                          <a:rPr lang="es-MX" sz="2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&amp;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func>
                              <m:func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s-MX" sz="2400" i="0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s-MX" sz="2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2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s-MX" sz="2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=5</m:t>
                            </m:r>
                          </m:e>
                          <m:e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&amp;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=−</m:t>
                            </m:r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=−1</m:t>
                            </m:r>
                          </m:e>
                          <m:e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&amp;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″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−2</m:t>
                            </m:r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𝑠𝑒𝑛</m:t>
                            </m:r>
                            <m:d>
                              <m:d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=−1</m:t>
                            </m:r>
                          </m:e>
                          <m:e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&amp;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″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=−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=−5</m:t>
                            </m:r>
                          </m:e>
                          <m:e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&amp;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‴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″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−4</m:t>
                            </m:r>
                            <m:func>
                              <m:func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s-MX" sz="2400" i="0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s-MX" sz="2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2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s-MX" sz="2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=−9</m:t>
                            </m:r>
                          </m:e>
                          <m:e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&amp;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‴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=−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″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=1</m:t>
                            </m:r>
                          </m:e>
                          <m:e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&amp;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𝐼𝑉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‴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+8</m:t>
                            </m:r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𝑠𝑒𝑛</m:t>
                            </m:r>
                            <m:d>
                              <m:d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=1</m:t>
                            </m:r>
                          </m:e>
                          <m:e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&amp;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𝐼𝑉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=−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‴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=9</m:t>
                            </m:r>
                          </m:e>
                        </m:eqArr>
                      </m:e>
                    </m:d>
                    <m:m>
                      <m:mPr>
                        <m:plcHide m:val="on"/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MX" sz="2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a:rPr lang="es-MX" sz="24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  <m:d>
                            <m:dPr>
                              <m:ctrlP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</m:d>
                          <m:r>
                            <a:rPr lang="es-MX" sz="24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=1+5</m:t>
                          </m:r>
                          <m:r>
                            <a:rPr lang="es-MX" sz="24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𝑡</m:t>
                          </m:r>
                          <m:r>
                            <a:rPr lang="es-MX" sz="24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  <m:sSup>
                            <m:sSupPr>
                              <m:ctrlP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p>
                              <m: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s-MX" sz="24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s-ES" sz="2400" b="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ES" sz="2400" b="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num>
                            <m:den>
                              <m:r>
                                <a:rPr lang="es-ES" sz="2400" b="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  <m:sSup>
                            <m:sSupPr>
                              <m:ctrlPr>
                                <a:rPr lang="es-ES" sz="2400" b="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s-ES" sz="2400" b="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p>
                              <m:r>
                                <a:rPr lang="es-ES" sz="2400" b="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sup>
                          </m:sSup>
                        </m:e>
                      </m:mr>
                      <m:mr>
                        <m:e>
                          <m:r>
                            <a:rPr lang="es-MX" sz="24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  <m:d>
                            <m:dPr>
                              <m:ctrlP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</m:d>
                          <m:r>
                            <a:rPr lang="es-MX" sz="24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=4−</m:t>
                          </m:r>
                          <m:r>
                            <a:rPr lang="es-MX" sz="24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𝑡</m:t>
                          </m:r>
                          <m:r>
                            <a:rPr lang="es-MX" sz="24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5</m:t>
                              </m:r>
                            </m:num>
                            <m:den>
                              <m: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  <m:sSup>
                            <m:sSupPr>
                              <m:ctrlP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p>
                              <m: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s-MX" sz="24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+</m:t>
                          </m:r>
                          <m:f>
                            <m:fPr>
                              <m:ctrlPr>
                                <a:rPr lang="es-ES" sz="2400" b="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es-ES" sz="2400" b="0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s-ES" sz="2400" b="0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es-ES" sz="2400" b="0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3</m:t>
                                  </m:r>
                                </m:sup>
                              </m:sSup>
                            </m:num>
                            <m:den>
                              <m:r>
                                <a:rPr lang="es-ES" sz="2400" b="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6</m:t>
                              </m:r>
                            </m:den>
                          </m:f>
                        </m:e>
                      </m:mr>
                    </m:m>
                  </m:oMath>
                </m:oMathPara>
              </a14:m>
              <a:endParaRPr lang="es-MX" sz="2400"/>
            </a:p>
          </xdr:txBody>
        </xdr:sp>
      </mc:Choice>
      <mc:Fallback xmlns="">
        <xdr:sp macro="" textlink="">
          <xdr:nvSpPr>
            <xdr:cNvPr id="2" name="Objeto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00000000-0008-0000-0A00-000003080000}"/>
                </a:ext>
              </a:extLst>
            </xdr:cNvPr>
            <xdr:cNvSpPr txBox="1"/>
          </xdr:nvSpPr>
          <xdr:spPr>
            <a:xfrm>
              <a:off x="241300" y="3365500"/>
              <a:ext cx="8648700" cy="323684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s-MX" sz="2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├ █(&amp;𝑥^′=𝑦+cos⁡(2𝑡)=5@&amp;𝑦^′=−𝑥=−1@&amp;𝑥^″=𝑦^′−2𝑠𝑒𝑛(2𝑡)=−1@&amp;𝑦^″=−𝑥^′=−5@&amp;𝑥^‴=𝑦^″−4 cos⁡(2𝑡)=−9@&amp;𝑦^‴=−𝑥^″=1@&amp;𝑥^𝐼𝑉=𝑦^‴+8𝑠𝑒𝑛(2𝑡)=1@&amp;𝑦^𝐼𝑉=−𝑥^‴=9)} ■(𝑥(𝑡)=1+5𝑡−1/2 𝑡^2−</a:t>
              </a:r>
              <a:r>
                <a:rPr lang="es-ES" sz="2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3/2 𝑡^3</a:t>
              </a:r>
              <a:r>
                <a:rPr lang="es-MX" sz="2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@</a:t>
              </a:r>
              <a:r>
                <a:rPr lang="es-MX" sz="2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𝑦(𝑡)=4−𝑡−5/2 𝑡^2+</a:t>
              </a:r>
              <a:r>
                <a:rPr lang="es-ES" sz="2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𝑡^3/6</a:t>
              </a:r>
              <a:r>
                <a:rPr lang="es-MX" sz="2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es-MX" sz="2400"/>
            </a:p>
          </xdr:txBody>
        </xdr:sp>
      </mc:Fallback>
    </mc:AlternateContent>
    <xdr:clientData/>
  </xdr:twoCellAnchor>
  <xdr:twoCellAnchor>
    <xdr:from>
      <xdr:col>10</xdr:col>
      <xdr:colOff>412750</xdr:colOff>
      <xdr:row>2</xdr:row>
      <xdr:rowOff>38100</xdr:rowOff>
    </xdr:from>
    <xdr:to>
      <xdr:col>16</xdr:col>
      <xdr:colOff>31750</xdr:colOff>
      <xdr:row>16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101600</xdr:rowOff>
    </xdr:from>
    <xdr:to>
      <xdr:col>6</xdr:col>
      <xdr:colOff>811530</xdr:colOff>
      <xdr:row>12</xdr:row>
      <xdr:rowOff>76835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1600"/>
          <a:ext cx="5612130" cy="226123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>
    <xdr:from>
      <xdr:col>1</xdr:col>
      <xdr:colOff>165100</xdr:colOff>
      <xdr:row>14</xdr:row>
      <xdr:rowOff>88900</xdr:rowOff>
    </xdr:from>
    <xdr:to>
      <xdr:col>4</xdr:col>
      <xdr:colOff>12700</xdr:colOff>
      <xdr:row>16</xdr:row>
      <xdr:rowOff>63500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755900"/>
          <a:ext cx="23241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165100</xdr:colOff>
      <xdr:row>17</xdr:row>
      <xdr:rowOff>12700</xdr:rowOff>
    </xdr:from>
    <xdr:to>
      <xdr:col>3</xdr:col>
      <xdr:colOff>177800</xdr:colOff>
      <xdr:row>18</xdr:row>
      <xdr:rowOff>177800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3251200"/>
          <a:ext cx="16637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241300</xdr:colOff>
      <xdr:row>17</xdr:row>
      <xdr:rowOff>127000</xdr:rowOff>
    </xdr:from>
    <xdr:to>
      <xdr:col>10</xdr:col>
      <xdr:colOff>635000</xdr:colOff>
      <xdr:row>34</xdr:row>
      <xdr:rowOff>125348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to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SpPr txBox="1"/>
          </xdr:nvSpPr>
          <xdr:spPr>
            <a:xfrm>
              <a:off x="241300" y="3365500"/>
              <a:ext cx="8648700" cy="323684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"/>
                        <m:endChr m:val="}"/>
                        <m:ctrlPr>
                          <a:rPr lang="es-MX" sz="2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&amp;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func>
                              <m:func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s-MX" sz="2400" i="0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s-MX" sz="2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2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s-MX" sz="2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=5</m:t>
                            </m:r>
                          </m:e>
                          <m:e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&amp;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=−</m:t>
                            </m:r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=−1</m:t>
                            </m:r>
                          </m:e>
                          <m:e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&amp;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″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−2</m:t>
                            </m:r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𝑠𝑒𝑛</m:t>
                            </m:r>
                            <m:d>
                              <m:d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=−1</m:t>
                            </m:r>
                          </m:e>
                          <m:e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&amp;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″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=−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=−5</m:t>
                            </m:r>
                          </m:e>
                          <m:e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&amp;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‴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″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−4</m:t>
                            </m:r>
                            <m:func>
                              <m:func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s-MX" sz="2400" i="0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s-MX" sz="2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2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s-MX" sz="2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=−9</m:t>
                            </m:r>
                          </m:e>
                          <m:e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&amp;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‴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=−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″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=1</m:t>
                            </m:r>
                          </m:e>
                          <m:e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&amp;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𝐼𝑉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‴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+8</m:t>
                            </m:r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𝑠𝑒𝑛</m:t>
                            </m:r>
                            <m:d>
                              <m:d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d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=1</m:t>
                            </m:r>
                          </m:e>
                          <m:e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&amp;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𝐼𝑉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=−</m:t>
                            </m:r>
                            <m:sSup>
                              <m:sSupPr>
                                <m:ctrlP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2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‴</m:t>
                                </m:r>
                              </m:sup>
                            </m:sSup>
                            <m:r>
                              <a:rPr lang="es-MX" sz="2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=9</m:t>
                            </m:r>
                          </m:e>
                        </m:eqArr>
                      </m:e>
                    </m:d>
                    <m:m>
                      <m:mPr>
                        <m:plcHide m:val="on"/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MX" sz="2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a:rPr lang="es-MX" sz="24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  <m:d>
                            <m:dPr>
                              <m:ctrlP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</m:d>
                          <m:r>
                            <a:rPr lang="es-MX" sz="24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=1+5</m:t>
                          </m:r>
                          <m:r>
                            <a:rPr lang="es-MX" sz="24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𝑡</m:t>
                          </m:r>
                          <m:r>
                            <a:rPr lang="es-MX" sz="24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  <m:sSup>
                            <m:sSupPr>
                              <m:ctrlP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p>
                              <m: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s-MX" sz="24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s-ES" sz="2400" b="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ES" sz="2400" b="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num>
                            <m:den>
                              <m:r>
                                <a:rPr lang="es-ES" sz="2400" b="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  <m:sSup>
                            <m:sSupPr>
                              <m:ctrlPr>
                                <a:rPr lang="es-ES" sz="2400" b="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s-ES" sz="2400" b="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p>
                              <m:r>
                                <a:rPr lang="es-ES" sz="2400" b="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sup>
                          </m:sSup>
                        </m:e>
                      </m:mr>
                      <m:mr>
                        <m:e>
                          <m:r>
                            <a:rPr lang="es-MX" sz="24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  <m:d>
                            <m:dPr>
                              <m:ctrlP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</m:d>
                          <m:r>
                            <a:rPr lang="es-MX" sz="24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=4−</m:t>
                          </m:r>
                          <m:r>
                            <a:rPr lang="es-MX" sz="24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𝑡</m:t>
                          </m:r>
                          <m:r>
                            <a:rPr lang="es-MX" sz="24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5</m:t>
                              </m:r>
                            </m:num>
                            <m:den>
                              <m: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  <m:sSup>
                            <m:sSupPr>
                              <m:ctrlP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p>
                              <m:r>
                                <a:rPr lang="es-MX" sz="240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s-MX" sz="2400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+</m:t>
                          </m:r>
                          <m:f>
                            <m:fPr>
                              <m:ctrlPr>
                                <a:rPr lang="es-ES" sz="2400" b="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es-ES" sz="2400" b="0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s-ES" sz="2400" b="0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es-ES" sz="2400" b="0" i="1">
                                      <a:solidFill>
                                        <a:srgbClr val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3</m:t>
                                  </m:r>
                                </m:sup>
                              </m:sSup>
                            </m:num>
                            <m:den>
                              <m:r>
                                <a:rPr lang="es-ES" sz="2400" b="0" i="1">
                                  <a:solidFill>
                                    <a:srgbClr val="000000"/>
                                  </a:solidFill>
                                  <a:latin typeface="Cambria Math" panose="02040503050406030204" pitchFamily="18" charset="0"/>
                                </a:rPr>
                                <m:t>6</m:t>
                              </m:r>
                            </m:den>
                          </m:f>
                        </m:e>
                      </m:mr>
                    </m:m>
                  </m:oMath>
                </m:oMathPara>
              </a14:m>
              <a:endParaRPr lang="es-MX" sz="2400"/>
            </a:p>
          </xdr:txBody>
        </xdr:sp>
      </mc:Choice>
      <mc:Fallback xmlns="">
        <xdr:sp macro="" textlink="">
          <xdr:nvSpPr>
            <xdr:cNvPr id="4" name="Objeto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A3E13666-5695-2045-919E-BDCD4F61149D}"/>
                </a:ext>
              </a:extLst>
            </xdr:cNvPr>
            <xdr:cNvSpPr txBox="1"/>
          </xdr:nvSpPr>
          <xdr:spPr>
            <a:xfrm>
              <a:off x="241300" y="3365500"/>
              <a:ext cx="8648700" cy="323684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s-MX" sz="2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├ █(&amp;𝑥^′=𝑦+cos⁡(2𝑡)=5@&amp;𝑦^′=−𝑥=−1@&amp;𝑥^″=𝑦^′−2𝑠𝑒𝑛(2𝑡)=−1@&amp;𝑦^″=−𝑥^′=−5@&amp;𝑥^‴=𝑦^″−4 cos⁡(2𝑡)=−9@&amp;𝑦^‴=−𝑥^″=1@&amp;𝑥^𝐼𝑉=𝑦^‴+8𝑠𝑒𝑛(2𝑡)=1@&amp;𝑦^𝐼𝑉=−𝑥^‴=9)} ■(𝑥(𝑡)=1+5𝑡−1/2 𝑡^2−</a:t>
              </a:r>
              <a:r>
                <a:rPr lang="es-ES" sz="2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3/2 𝑡^3</a:t>
              </a:r>
              <a:r>
                <a:rPr lang="es-MX" sz="2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@</a:t>
              </a:r>
              <a:r>
                <a:rPr lang="es-MX" sz="2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𝑦(𝑡)=4−𝑡−5/2 𝑡^2+</a:t>
              </a:r>
              <a:r>
                <a:rPr lang="es-ES" sz="2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𝑡^3/6</a:t>
              </a:r>
              <a:r>
                <a:rPr lang="es-MX" sz="2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es-MX" sz="2400"/>
            </a:p>
          </xdr:txBody>
        </xdr:sp>
      </mc:Fallback>
    </mc:AlternateContent>
    <xdr:clientData/>
  </xdr:twoCellAnchor>
  <xdr:twoCellAnchor editAs="oneCell">
    <xdr:from>
      <xdr:col>0</xdr:col>
      <xdr:colOff>520700</xdr:colOff>
      <xdr:row>0</xdr:row>
      <xdr:rowOff>165100</xdr:rowOff>
    </xdr:from>
    <xdr:to>
      <xdr:col>7</xdr:col>
      <xdr:colOff>508000</xdr:colOff>
      <xdr:row>15</xdr:row>
      <xdr:rowOff>139700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165100"/>
          <a:ext cx="5765800" cy="2933700"/>
        </a:xfrm>
        <a:prstGeom prst="rect">
          <a:avLst/>
        </a:prstGeom>
      </xdr:spPr>
    </xdr:pic>
    <xdr:clientData/>
  </xdr:twoCellAnchor>
  <xdr:twoCellAnchor>
    <xdr:from>
      <xdr:col>12</xdr:col>
      <xdr:colOff>101600</xdr:colOff>
      <xdr:row>4</xdr:row>
      <xdr:rowOff>63500</xdr:rowOff>
    </xdr:from>
    <xdr:to>
      <xdr:col>12</xdr:col>
      <xdr:colOff>1371600</xdr:colOff>
      <xdr:row>4</xdr:row>
      <xdr:rowOff>254000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7600" y="825500"/>
          <a:ext cx="1270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190500</xdr:colOff>
      <xdr:row>4</xdr:row>
      <xdr:rowOff>50800</xdr:rowOff>
    </xdr:from>
    <xdr:to>
      <xdr:col>14</xdr:col>
      <xdr:colOff>1460500</xdr:colOff>
      <xdr:row>4</xdr:row>
      <xdr:rowOff>241300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5200" y="812800"/>
          <a:ext cx="1270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6350</xdr:colOff>
      <xdr:row>14</xdr:row>
      <xdr:rowOff>25400</xdr:rowOff>
    </xdr:from>
    <xdr:to>
      <xdr:col>16</xdr:col>
      <xdr:colOff>177800</xdr:colOff>
      <xdr:row>30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154610</xdr:colOff>
      <xdr:row>10</xdr:row>
      <xdr:rowOff>180008</xdr:rowOff>
    </xdr:from>
    <xdr:to>
      <xdr:col>8</xdr:col>
      <xdr:colOff>662610</xdr:colOff>
      <xdr:row>25</xdr:row>
      <xdr:rowOff>107121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220869</xdr:colOff>
      <xdr:row>3</xdr:row>
      <xdr:rowOff>220869</xdr:rowOff>
    </xdr:from>
    <xdr:to>
      <xdr:col>13</xdr:col>
      <xdr:colOff>2138569</xdr:colOff>
      <xdr:row>3</xdr:row>
      <xdr:rowOff>408608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9304" y="784086"/>
          <a:ext cx="1917700" cy="187739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14</xdr:col>
      <xdr:colOff>154608</xdr:colOff>
      <xdr:row>3</xdr:row>
      <xdr:rowOff>187739</xdr:rowOff>
    </xdr:from>
    <xdr:to>
      <xdr:col>14</xdr:col>
      <xdr:colOff>2059608</xdr:colOff>
      <xdr:row>3</xdr:row>
      <xdr:rowOff>375478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2173" y="750956"/>
          <a:ext cx="1905000" cy="187739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154610</xdr:colOff>
      <xdr:row>10</xdr:row>
      <xdr:rowOff>180008</xdr:rowOff>
    </xdr:from>
    <xdr:to>
      <xdr:col>8</xdr:col>
      <xdr:colOff>662610</xdr:colOff>
      <xdr:row>25</xdr:row>
      <xdr:rowOff>107121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353392</xdr:colOff>
      <xdr:row>3</xdr:row>
      <xdr:rowOff>242957</xdr:rowOff>
    </xdr:from>
    <xdr:to>
      <xdr:col>13</xdr:col>
      <xdr:colOff>1547192</xdr:colOff>
      <xdr:row>3</xdr:row>
      <xdr:rowOff>430696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827" y="806174"/>
          <a:ext cx="1193800" cy="187739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14</xdr:col>
      <xdr:colOff>320261</xdr:colOff>
      <xdr:row>3</xdr:row>
      <xdr:rowOff>220869</xdr:rowOff>
    </xdr:from>
    <xdr:to>
      <xdr:col>14</xdr:col>
      <xdr:colOff>1679161</xdr:colOff>
      <xdr:row>3</xdr:row>
      <xdr:rowOff>408608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2348" y="784086"/>
          <a:ext cx="1358900" cy="187739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16</xdr:col>
      <xdr:colOff>121478</xdr:colOff>
      <xdr:row>3</xdr:row>
      <xdr:rowOff>198782</xdr:rowOff>
    </xdr:from>
    <xdr:to>
      <xdr:col>16</xdr:col>
      <xdr:colOff>1734378</xdr:colOff>
      <xdr:row>3</xdr:row>
      <xdr:rowOff>386521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5652" y="761999"/>
          <a:ext cx="1612900" cy="187739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15</xdr:col>
      <xdr:colOff>209826</xdr:colOff>
      <xdr:row>3</xdr:row>
      <xdr:rowOff>254000</xdr:rowOff>
    </xdr:from>
    <xdr:to>
      <xdr:col>15</xdr:col>
      <xdr:colOff>1594126</xdr:colOff>
      <xdr:row>3</xdr:row>
      <xdr:rowOff>441739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5565" y="817217"/>
          <a:ext cx="1384300" cy="187739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13</xdr:col>
      <xdr:colOff>1292087</xdr:colOff>
      <xdr:row>11</xdr:row>
      <xdr:rowOff>168965</xdr:rowOff>
    </xdr:from>
    <xdr:to>
      <xdr:col>16</xdr:col>
      <xdr:colOff>88348</xdr:colOff>
      <xdr:row>26</xdr:row>
      <xdr:rowOff>96078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19539</xdr:colOff>
      <xdr:row>2</xdr:row>
      <xdr:rowOff>273538</xdr:rowOff>
    </xdr:from>
    <xdr:to>
      <xdr:col>7</xdr:col>
      <xdr:colOff>1480039</xdr:colOff>
      <xdr:row>2</xdr:row>
      <xdr:rowOff>473977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0154" y="664307"/>
          <a:ext cx="1460500" cy="200439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4</xdr:col>
      <xdr:colOff>58615</xdr:colOff>
      <xdr:row>2</xdr:row>
      <xdr:rowOff>48845</xdr:rowOff>
    </xdr:from>
    <xdr:to>
      <xdr:col>4</xdr:col>
      <xdr:colOff>1701800</xdr:colOff>
      <xdr:row>2</xdr:row>
      <xdr:rowOff>269630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8077" y="439614"/>
          <a:ext cx="1643185" cy="220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78153</xdr:colOff>
      <xdr:row>2</xdr:row>
      <xdr:rowOff>117231</xdr:rowOff>
    </xdr:from>
    <xdr:to>
      <xdr:col>6</xdr:col>
      <xdr:colOff>1962858</xdr:colOff>
      <xdr:row>2</xdr:row>
      <xdr:rowOff>351692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3307" y="508000"/>
          <a:ext cx="1884705" cy="2344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610576</xdr:colOff>
      <xdr:row>8</xdr:row>
      <xdr:rowOff>40055</xdr:rowOff>
    </xdr:from>
    <xdr:to>
      <xdr:col>6</xdr:col>
      <xdr:colOff>2036884</xdr:colOff>
      <xdr:row>22</xdr:row>
      <xdr:rowOff>47869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58615</xdr:colOff>
      <xdr:row>2</xdr:row>
      <xdr:rowOff>48845</xdr:rowOff>
    </xdr:from>
    <xdr:to>
      <xdr:col>4</xdr:col>
      <xdr:colOff>1701800</xdr:colOff>
      <xdr:row>2</xdr:row>
      <xdr:rowOff>269630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9515" y="429845"/>
          <a:ext cx="1643185" cy="220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78153</xdr:colOff>
      <xdr:row>2</xdr:row>
      <xdr:rowOff>117231</xdr:rowOff>
    </xdr:from>
    <xdr:to>
      <xdr:col>6</xdr:col>
      <xdr:colOff>1962858</xdr:colOff>
      <xdr:row>2</xdr:row>
      <xdr:rowOff>351692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8653" y="498231"/>
          <a:ext cx="1884705" cy="2344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639884</xdr:colOff>
      <xdr:row>10</xdr:row>
      <xdr:rowOff>29307</xdr:rowOff>
    </xdr:from>
    <xdr:to>
      <xdr:col>7</xdr:col>
      <xdr:colOff>4884</xdr:colOff>
      <xdr:row>24</xdr:row>
      <xdr:rowOff>37122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136769</xdr:colOff>
      <xdr:row>2</xdr:row>
      <xdr:rowOff>97693</xdr:rowOff>
    </xdr:from>
    <xdr:to>
      <xdr:col>7</xdr:col>
      <xdr:colOff>2003669</xdr:colOff>
      <xdr:row>2</xdr:row>
      <xdr:rowOff>318477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3231" y="488462"/>
          <a:ext cx="1866900" cy="220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58615</xdr:colOff>
      <xdr:row>2</xdr:row>
      <xdr:rowOff>48845</xdr:rowOff>
    </xdr:from>
    <xdr:to>
      <xdr:col>4</xdr:col>
      <xdr:colOff>1701800</xdr:colOff>
      <xdr:row>2</xdr:row>
      <xdr:rowOff>269630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9515" y="429845"/>
          <a:ext cx="1643185" cy="220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107461</xdr:colOff>
      <xdr:row>2</xdr:row>
      <xdr:rowOff>117231</xdr:rowOff>
    </xdr:from>
    <xdr:to>
      <xdr:col>6</xdr:col>
      <xdr:colOff>1992166</xdr:colOff>
      <xdr:row>2</xdr:row>
      <xdr:rowOff>351692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2615" y="508000"/>
          <a:ext cx="1884705" cy="234461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4</xdr:col>
      <xdr:colOff>639884</xdr:colOff>
      <xdr:row>10</xdr:row>
      <xdr:rowOff>29307</xdr:rowOff>
    </xdr:from>
    <xdr:to>
      <xdr:col>7</xdr:col>
      <xdr:colOff>4884</xdr:colOff>
      <xdr:row>24</xdr:row>
      <xdr:rowOff>37122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127001</xdr:colOff>
      <xdr:row>2</xdr:row>
      <xdr:rowOff>87923</xdr:rowOff>
    </xdr:from>
    <xdr:to>
      <xdr:col>7</xdr:col>
      <xdr:colOff>1905001</xdr:colOff>
      <xdr:row>2</xdr:row>
      <xdr:rowOff>397608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3463" y="478692"/>
          <a:ext cx="1778000" cy="30968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143565</xdr:colOff>
      <xdr:row>2</xdr:row>
      <xdr:rowOff>154609</xdr:rowOff>
    </xdr:from>
    <xdr:to>
      <xdr:col>5</xdr:col>
      <xdr:colOff>1403626</xdr:colOff>
      <xdr:row>2</xdr:row>
      <xdr:rowOff>530087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5304" y="530087"/>
          <a:ext cx="1260061" cy="375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110435</xdr:colOff>
      <xdr:row>2</xdr:row>
      <xdr:rowOff>220868</xdr:rowOff>
    </xdr:from>
    <xdr:to>
      <xdr:col>6</xdr:col>
      <xdr:colOff>1129196</xdr:colOff>
      <xdr:row>2</xdr:row>
      <xdr:rowOff>408607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4087" y="596346"/>
          <a:ext cx="1018761" cy="187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22087</xdr:colOff>
      <xdr:row>10</xdr:row>
      <xdr:rowOff>14356</xdr:rowOff>
    </xdr:from>
    <xdr:to>
      <xdr:col>7</xdr:col>
      <xdr:colOff>298174</xdr:colOff>
      <xdr:row>24</xdr:row>
      <xdr:rowOff>129208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22087</xdr:colOff>
      <xdr:row>10</xdr:row>
      <xdr:rowOff>14356</xdr:rowOff>
    </xdr:from>
    <xdr:to>
      <xdr:col>7</xdr:col>
      <xdr:colOff>298174</xdr:colOff>
      <xdr:row>24</xdr:row>
      <xdr:rowOff>129208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44174</xdr:colOff>
      <xdr:row>2</xdr:row>
      <xdr:rowOff>176696</xdr:rowOff>
    </xdr:from>
    <xdr:to>
      <xdr:col>5</xdr:col>
      <xdr:colOff>1570935</xdr:colOff>
      <xdr:row>2</xdr:row>
      <xdr:rowOff>552174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261" y="552174"/>
          <a:ext cx="1526761" cy="375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44173</xdr:colOff>
      <xdr:row>2</xdr:row>
      <xdr:rowOff>220871</xdr:rowOff>
    </xdr:from>
    <xdr:to>
      <xdr:col>6</xdr:col>
      <xdr:colOff>1443934</xdr:colOff>
      <xdr:row>2</xdr:row>
      <xdr:rowOff>408610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5564" y="596349"/>
          <a:ext cx="1399761" cy="187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22087</xdr:colOff>
      <xdr:row>10</xdr:row>
      <xdr:rowOff>14356</xdr:rowOff>
    </xdr:from>
    <xdr:to>
      <xdr:col>7</xdr:col>
      <xdr:colOff>298174</xdr:colOff>
      <xdr:row>24</xdr:row>
      <xdr:rowOff>129208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110434</xdr:colOff>
      <xdr:row>2</xdr:row>
      <xdr:rowOff>110435</xdr:rowOff>
    </xdr:from>
    <xdr:to>
      <xdr:col>5</xdr:col>
      <xdr:colOff>1459395</xdr:colOff>
      <xdr:row>2</xdr:row>
      <xdr:rowOff>485914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0521" y="485913"/>
          <a:ext cx="1348961" cy="375479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6</xdr:col>
      <xdr:colOff>88348</xdr:colOff>
      <xdr:row>2</xdr:row>
      <xdr:rowOff>209826</xdr:rowOff>
    </xdr:from>
    <xdr:to>
      <xdr:col>6</xdr:col>
      <xdr:colOff>1627809</xdr:colOff>
      <xdr:row>2</xdr:row>
      <xdr:rowOff>511865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9739" y="585304"/>
          <a:ext cx="1539461" cy="302039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4.xml"/><Relationship Id="rId6" Type="http://schemas.openxmlformats.org/officeDocument/2006/relationships/image" Target="../media/image28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27.emf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O10"/>
  <sheetViews>
    <sheetView showGridLines="0" topLeftCell="J3" zoomScale="115" zoomScaleNormal="115" workbookViewId="0">
      <selection activeCell="R12" sqref="R12"/>
    </sheetView>
  </sheetViews>
  <sheetFormatPr baseColWidth="10" defaultColWidth="9.1640625" defaultRowHeight="15" x14ac:dyDescent="0.2"/>
  <cols>
    <col min="4" max="4" width="2" bestFit="1" customWidth="1"/>
    <col min="5" max="5" width="4.33203125" bestFit="1" customWidth="1"/>
    <col min="6" max="6" width="7" bestFit="1" customWidth="1"/>
    <col min="7" max="7" width="12.6640625" bestFit="1" customWidth="1"/>
    <col min="14" max="14" width="25.5" customWidth="1"/>
    <col min="15" max="15" width="24.83203125" customWidth="1"/>
  </cols>
  <sheetData>
    <row r="2" spans="4:15" x14ac:dyDescent="0.2">
      <c r="M2" t="s">
        <v>24</v>
      </c>
      <c r="N2">
        <v>0.2</v>
      </c>
    </row>
    <row r="4" spans="4:15" ht="49" customHeight="1" x14ac:dyDescent="0.2">
      <c r="D4" s="1" t="s">
        <v>3</v>
      </c>
      <c r="E4" s="1" t="s">
        <v>0</v>
      </c>
      <c r="F4" s="1" t="s">
        <v>1</v>
      </c>
      <c r="G4" s="1" t="s">
        <v>2</v>
      </c>
      <c r="L4" s="1" t="s">
        <v>3</v>
      </c>
      <c r="M4" s="1" t="s">
        <v>0</v>
      </c>
      <c r="N4" s="11"/>
      <c r="O4" s="10"/>
    </row>
    <row r="5" spans="4:15" x14ac:dyDescent="0.2">
      <c r="D5" s="1">
        <v>0</v>
      </c>
      <c r="E5" s="7">
        <v>0</v>
      </c>
      <c r="F5" s="7">
        <v>1</v>
      </c>
      <c r="G5" s="1">
        <f>-E5^2+(3*EXP(E5^2/2))-2</f>
        <v>1</v>
      </c>
      <c r="L5" s="1">
        <v>0</v>
      </c>
      <c r="M5" s="7">
        <v>0</v>
      </c>
      <c r="N5" s="7">
        <v>2</v>
      </c>
      <c r="O5" s="1">
        <f>2*EXP((0.125*M5+1.25)*M5)</f>
        <v>2</v>
      </c>
    </row>
    <row r="6" spans="4:15" x14ac:dyDescent="0.2">
      <c r="D6" s="1">
        <v>1</v>
      </c>
      <c r="E6" s="1">
        <v>0.1</v>
      </c>
      <c r="F6" s="1">
        <f>F5+(0.1*((E5*F5)+E5^3))</f>
        <v>1</v>
      </c>
      <c r="G6" s="1">
        <f>-E6^2+(3*EXP(E6^2/2))-2</f>
        <v>1.0250375625782029</v>
      </c>
      <c r="L6" s="1">
        <v>1</v>
      </c>
      <c r="M6" s="1">
        <f>M5+0.2</f>
        <v>0.2</v>
      </c>
      <c r="N6" s="1">
        <f>N5+($N$2*0.25*(5+M5)*N5)</f>
        <v>2.5</v>
      </c>
      <c r="O6" s="1">
        <f>2*EXP((0.125*M6+1.25)*M6)</f>
        <v>2.5809232417457797</v>
      </c>
    </row>
    <row r="7" spans="4:15" x14ac:dyDescent="0.2">
      <c r="D7" s="1">
        <v>2</v>
      </c>
      <c r="E7" s="1">
        <v>0.2</v>
      </c>
      <c r="F7" s="1">
        <f t="shared" ref="F7:F10" si="0">F6+(0.1*((E6*F6)+E6^3))</f>
        <v>1.0101</v>
      </c>
      <c r="G7" s="1">
        <f t="shared" ref="G7:G10" si="1">-E7^2+(3*EXP(E7^2/2))-2</f>
        <v>1.1006040200802674</v>
      </c>
      <c r="L7" s="1">
        <v>2</v>
      </c>
      <c r="M7" s="1">
        <f t="shared" ref="M7:M9" si="2">M6+0.2</f>
        <v>0.4</v>
      </c>
      <c r="N7" s="1">
        <f>N6+($N$2*0.25*(5+M6)*N6)</f>
        <v>3.15</v>
      </c>
      <c r="O7" s="1">
        <f>2*EXP((0.125*M7+1.25)*M7)</f>
        <v>3.3640552993977728</v>
      </c>
    </row>
    <row r="8" spans="4:15" x14ac:dyDescent="0.2">
      <c r="D8" s="1">
        <v>3</v>
      </c>
      <c r="E8" s="1">
        <v>0.3</v>
      </c>
      <c r="F8" s="1">
        <f t="shared" si="0"/>
        <v>1.031102</v>
      </c>
      <c r="G8" s="1">
        <f t="shared" si="1"/>
        <v>1.2280835797261505</v>
      </c>
      <c r="L8" s="1">
        <v>3</v>
      </c>
      <c r="M8" s="1">
        <f t="shared" si="2"/>
        <v>0.60000000000000009</v>
      </c>
      <c r="N8" s="1">
        <f t="shared" ref="N8:N9" si="3">N7+($N$2*0.25*(5+M7)*N7)</f>
        <v>4.0004999999999997</v>
      </c>
      <c r="O8" s="1">
        <f t="shared" ref="O8:O9" si="4">2*EXP((0.125*M8+1.25)*M8)</f>
        <v>4.4288819936081492</v>
      </c>
    </row>
    <row r="9" spans="4:15" x14ac:dyDescent="0.2">
      <c r="D9" s="1">
        <v>4</v>
      </c>
      <c r="E9" s="1">
        <v>0.4</v>
      </c>
      <c r="F9" s="1">
        <f t="shared" si="0"/>
        <v>1.0647350600000001</v>
      </c>
      <c r="G9" s="1">
        <f t="shared" si="1"/>
        <v>1.4098612030248763</v>
      </c>
      <c r="L9" s="1">
        <v>4</v>
      </c>
      <c r="M9" s="1">
        <f t="shared" si="2"/>
        <v>0.8</v>
      </c>
      <c r="N9" s="1">
        <f t="shared" si="3"/>
        <v>5.1206399999999999</v>
      </c>
      <c r="O9" s="1">
        <f t="shared" si="4"/>
        <v>5.8893591021310483</v>
      </c>
    </row>
    <row r="10" spans="4:15" x14ac:dyDescent="0.2">
      <c r="D10" s="1">
        <v>5</v>
      </c>
      <c r="E10" s="1">
        <v>0.5</v>
      </c>
      <c r="F10" s="1">
        <f t="shared" si="0"/>
        <v>1.1137244624</v>
      </c>
      <c r="G10" s="1">
        <f t="shared" si="1"/>
        <v>1.6494453592004792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5670-BE4E-2042-8E4A-EEE3A176958D}">
  <dimension ref="D1:G9"/>
  <sheetViews>
    <sheetView showGridLines="0" zoomScale="115" zoomScaleNormal="115" workbookViewId="0">
      <selection activeCell="K20" sqref="K20"/>
    </sheetView>
  </sheetViews>
  <sheetFormatPr baseColWidth="10" defaultRowHeight="15" x14ac:dyDescent="0.2"/>
  <cols>
    <col min="4" max="4" width="3.1640625" bestFit="1" customWidth="1"/>
    <col min="5" max="5" width="4.5" bestFit="1" customWidth="1"/>
    <col min="6" max="6" width="26" customWidth="1"/>
    <col min="7" max="7" width="18.1640625" customWidth="1"/>
  </cols>
  <sheetData>
    <row r="1" spans="4:7" x14ac:dyDescent="0.2">
      <c r="D1" t="s">
        <v>25</v>
      </c>
      <c r="E1">
        <v>0</v>
      </c>
      <c r="F1" s="17" t="s">
        <v>27</v>
      </c>
      <c r="G1" s="18">
        <v>0.5</v>
      </c>
    </row>
    <row r="2" spans="4:7" x14ac:dyDescent="0.2">
      <c r="D2" t="s">
        <v>26</v>
      </c>
      <c r="E2">
        <v>3.5</v>
      </c>
    </row>
    <row r="3" spans="4:7" ht="49" customHeight="1" x14ac:dyDescent="0.2">
      <c r="D3" s="1" t="s">
        <v>3</v>
      </c>
      <c r="E3" s="1" t="s">
        <v>4</v>
      </c>
      <c r="F3" s="11"/>
      <c r="G3" s="23"/>
    </row>
    <row r="4" spans="4:7" x14ac:dyDescent="0.2">
      <c r="D4" s="1">
        <v>0</v>
      </c>
      <c r="E4" s="1">
        <f>E1</f>
        <v>0</v>
      </c>
      <c r="F4" s="1">
        <v>0</v>
      </c>
      <c r="G4" s="1">
        <f>(1/2)*(EXP(E4) - EXP(-E4))</f>
        <v>0</v>
      </c>
    </row>
    <row r="5" spans="4:7" x14ac:dyDescent="0.2">
      <c r="D5" s="1">
        <f>D4+1</f>
        <v>1</v>
      </c>
      <c r="E5" s="1">
        <f>E4+$G$1</f>
        <v>0.5</v>
      </c>
      <c r="F5" s="1">
        <f>E5+((E5^3)/6)+((E5^5)/120)+((E5^7)/5040)</f>
        <v>0.52109530009920635</v>
      </c>
      <c r="G5" s="1">
        <f t="shared" ref="G5:G9" si="0">(1/2)*(EXP(E5) - EXP(-E5))</f>
        <v>0.52109530549374738</v>
      </c>
    </row>
    <row r="6" spans="4:7" x14ac:dyDescent="0.2">
      <c r="D6" s="1">
        <f t="shared" ref="D6:D9" si="1">D5+1</f>
        <v>2</v>
      </c>
      <c r="E6" s="1">
        <f t="shared" ref="E6:E9" si="2">E5+$G$1</f>
        <v>1</v>
      </c>
      <c r="F6" s="1">
        <f t="shared" ref="F6:F9" si="3">E6+((E6^3)/6)+((E6^5)/120)+((E6^7)/5040)</f>
        <v>1.1751984126984127</v>
      </c>
      <c r="G6" s="1">
        <f t="shared" si="0"/>
        <v>1.1752011936438014</v>
      </c>
    </row>
    <row r="7" spans="4:7" x14ac:dyDescent="0.2">
      <c r="D7" s="1">
        <f t="shared" si="1"/>
        <v>3</v>
      </c>
      <c r="E7" s="1">
        <f t="shared" si="2"/>
        <v>1.5</v>
      </c>
      <c r="F7" s="1">
        <f t="shared" si="3"/>
        <v>2.1291713169642859</v>
      </c>
      <c r="G7" s="1">
        <f t="shared" si="0"/>
        <v>2.1292794550948173</v>
      </c>
    </row>
    <row r="8" spans="4:7" x14ac:dyDescent="0.2">
      <c r="D8" s="1">
        <f t="shared" si="1"/>
        <v>4</v>
      </c>
      <c r="E8" s="1">
        <f t="shared" si="2"/>
        <v>2</v>
      </c>
      <c r="F8" s="1">
        <f t="shared" si="3"/>
        <v>3.625396825396825</v>
      </c>
      <c r="G8" s="1">
        <f t="shared" si="0"/>
        <v>3.626860407847019</v>
      </c>
    </row>
    <row r="9" spans="4:7" x14ac:dyDescent="0.2">
      <c r="D9" s="1">
        <f t="shared" si="1"/>
        <v>5</v>
      </c>
      <c r="E9" s="1">
        <f t="shared" si="2"/>
        <v>2.5</v>
      </c>
      <c r="F9" s="1">
        <f t="shared" si="3"/>
        <v>6.0390702504960307</v>
      </c>
      <c r="G9" s="1">
        <f t="shared" si="0"/>
        <v>6.0502044810397875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0"/>
  <sheetViews>
    <sheetView showGridLines="0" zoomScale="130" zoomScaleNormal="130" workbookViewId="0">
      <selection activeCell="J4" sqref="J4"/>
    </sheetView>
  </sheetViews>
  <sheetFormatPr baseColWidth="10" defaultRowHeight="15" x14ac:dyDescent="0.2"/>
  <cols>
    <col min="2" max="2" width="3" bestFit="1" customWidth="1"/>
    <col min="3" max="3" width="5" customWidth="1"/>
    <col min="4" max="6" width="11.5" customWidth="1"/>
    <col min="7" max="7" width="16.6640625" customWidth="1"/>
    <col min="8" max="8" width="16.5" bestFit="1" customWidth="1"/>
    <col min="9" max="9" width="22.6640625" customWidth="1"/>
  </cols>
  <sheetData>
    <row r="1" spans="2:9" x14ac:dyDescent="0.2">
      <c r="B1" s="45" t="s">
        <v>29</v>
      </c>
      <c r="C1" s="45"/>
    </row>
    <row r="2" spans="2:9" x14ac:dyDescent="0.2">
      <c r="B2" t="s">
        <v>25</v>
      </c>
      <c r="C2">
        <v>0</v>
      </c>
      <c r="D2" s="17" t="s">
        <v>27</v>
      </c>
      <c r="E2" s="18">
        <v>0.1</v>
      </c>
    </row>
    <row r="3" spans="2:9" x14ac:dyDescent="0.2">
      <c r="B3" t="s">
        <v>28</v>
      </c>
      <c r="C3">
        <v>0.5</v>
      </c>
      <c r="D3" s="19" t="s">
        <v>32</v>
      </c>
      <c r="E3" s="45" t="s">
        <v>30</v>
      </c>
      <c r="F3" s="45"/>
      <c r="G3" s="19" t="s">
        <v>31</v>
      </c>
      <c r="H3" t="s">
        <v>33</v>
      </c>
      <c r="I3" t="s">
        <v>34</v>
      </c>
    </row>
    <row r="4" spans="2:9" ht="27" customHeight="1" x14ac:dyDescent="0.2">
      <c r="B4" s="1" t="s">
        <v>3</v>
      </c>
      <c r="C4" s="1" t="s">
        <v>0</v>
      </c>
      <c r="D4" s="2" t="s">
        <v>9</v>
      </c>
      <c r="E4" s="1" t="s">
        <v>5</v>
      </c>
      <c r="F4" s="1" t="s">
        <v>6</v>
      </c>
      <c r="G4" s="9" t="s">
        <v>7</v>
      </c>
      <c r="H4" s="3" t="s">
        <v>8</v>
      </c>
      <c r="I4" s="5"/>
    </row>
    <row r="5" spans="2:9" x14ac:dyDescent="0.2">
      <c r="B5" s="1">
        <v>0</v>
      </c>
      <c r="C5" s="4">
        <f>C2</f>
        <v>0</v>
      </c>
      <c r="D5" s="8"/>
      <c r="E5" s="8"/>
      <c r="F5" s="8"/>
      <c r="G5" s="8"/>
      <c r="H5" s="3">
        <v>1</v>
      </c>
      <c r="I5" s="5">
        <f>-(C5^2)+(3*EXP((C5^2)/2))-2</f>
        <v>1</v>
      </c>
    </row>
    <row r="6" spans="2:9" x14ac:dyDescent="0.2">
      <c r="B6" s="1">
        <v>1</v>
      </c>
      <c r="C6" s="1">
        <f>C5+$E$2</f>
        <v>0.1</v>
      </c>
      <c r="D6" s="2">
        <f>(H5*C5)+C5^3</f>
        <v>0</v>
      </c>
      <c r="E6" s="1">
        <f>C5+$E$2</f>
        <v>0.1</v>
      </c>
      <c r="F6" s="1">
        <f>H5+$E$2*D6</f>
        <v>1</v>
      </c>
      <c r="G6" s="6">
        <f>(E6*F6)+E6^3</f>
        <v>0.10100000000000001</v>
      </c>
      <c r="H6" s="3">
        <f>H5+($E$2/2)*(D6+G6)</f>
        <v>1.00505</v>
      </c>
      <c r="I6" s="5">
        <f t="shared" ref="I6:I10" si="0">-(C6^2)+(3*EXP((C6^2)/2))-2</f>
        <v>1.0050375625782033</v>
      </c>
    </row>
    <row r="7" spans="2:9" x14ac:dyDescent="0.2">
      <c r="B7" s="1">
        <v>2</v>
      </c>
      <c r="C7" s="1">
        <f t="shared" ref="C7:C10" si="1">C6+$E$2</f>
        <v>0.2</v>
      </c>
      <c r="D7" s="2">
        <f t="shared" ref="D7:D10" si="2">(H6*C6)+C6^3</f>
        <v>0.10150500000000001</v>
      </c>
      <c r="E7" s="1">
        <f t="shared" ref="E7:E10" si="3">C6+$E$2</f>
        <v>0.2</v>
      </c>
      <c r="F7" s="1">
        <f t="shared" ref="F7:F10" si="4">H6+$E$2*D7</f>
        <v>1.0152005</v>
      </c>
      <c r="G7" s="6">
        <f t="shared" ref="G7:G10" si="5">(E7*F7)+E7^3</f>
        <v>0.21104010000000001</v>
      </c>
      <c r="H7" s="3">
        <f t="shared" ref="H7:H10" si="6">H6+($E$2/2)*(D7+G7)</f>
        <v>1.0206772550000001</v>
      </c>
      <c r="I7" s="5">
        <f t="shared" si="0"/>
        <v>1.0206040200802673</v>
      </c>
    </row>
    <row r="8" spans="2:9" x14ac:dyDescent="0.2">
      <c r="B8" s="1">
        <v>3</v>
      </c>
      <c r="C8" s="1">
        <f t="shared" si="1"/>
        <v>0.30000000000000004</v>
      </c>
      <c r="D8" s="2">
        <f t="shared" si="2"/>
        <v>0.21213545100000003</v>
      </c>
      <c r="E8" s="1">
        <f t="shared" si="3"/>
        <v>0.30000000000000004</v>
      </c>
      <c r="F8" s="1">
        <f t="shared" si="4"/>
        <v>1.0418908001</v>
      </c>
      <c r="G8" s="6">
        <f t="shared" si="5"/>
        <v>0.33956724003000005</v>
      </c>
      <c r="H8" s="3">
        <f t="shared" si="6"/>
        <v>1.0482623895515</v>
      </c>
      <c r="I8" s="5">
        <f t="shared" si="0"/>
        <v>1.0480835797261507</v>
      </c>
    </row>
    <row r="9" spans="2:9" x14ac:dyDescent="0.2">
      <c r="B9" s="1">
        <v>4</v>
      </c>
      <c r="C9" s="1">
        <f t="shared" si="1"/>
        <v>0.4</v>
      </c>
      <c r="D9" s="2">
        <f t="shared" si="2"/>
        <v>0.34147871686545006</v>
      </c>
      <c r="E9" s="1">
        <f t="shared" si="3"/>
        <v>0.4</v>
      </c>
      <c r="F9" s="1">
        <f t="shared" si="4"/>
        <v>1.0824102612380451</v>
      </c>
      <c r="G9" s="6">
        <f t="shared" si="5"/>
        <v>0.49696410449521805</v>
      </c>
      <c r="H9" s="3">
        <f t="shared" si="6"/>
        <v>1.0901845306195335</v>
      </c>
      <c r="I9" s="5">
        <f t="shared" si="0"/>
        <v>1.089861203024876</v>
      </c>
    </row>
    <row r="10" spans="2:9" x14ac:dyDescent="0.2">
      <c r="B10" s="1">
        <v>5</v>
      </c>
      <c r="C10" s="1">
        <f t="shared" si="1"/>
        <v>0.5</v>
      </c>
      <c r="D10" s="2">
        <f t="shared" si="2"/>
        <v>0.50007381224781344</v>
      </c>
      <c r="E10" s="1">
        <f t="shared" si="3"/>
        <v>0.5</v>
      </c>
      <c r="F10" s="1">
        <f t="shared" si="4"/>
        <v>1.1401919118443149</v>
      </c>
      <c r="G10" s="6">
        <f t="shared" si="5"/>
        <v>0.69509595592215745</v>
      </c>
      <c r="H10" s="3">
        <f t="shared" si="6"/>
        <v>1.149943019028032</v>
      </c>
      <c r="I10" s="5">
        <f t="shared" si="0"/>
        <v>1.1494453592004792</v>
      </c>
    </row>
  </sheetData>
  <mergeCells count="2">
    <mergeCell ref="E3:F3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42B8-F4B2-4647-B7EC-39E0839598D3}">
  <dimension ref="B1:J10"/>
  <sheetViews>
    <sheetView showGridLines="0" zoomScale="130" zoomScaleNormal="130" workbookViewId="0">
      <selection activeCell="J16" sqref="J16"/>
    </sheetView>
  </sheetViews>
  <sheetFormatPr baseColWidth="10" defaultRowHeight="15" x14ac:dyDescent="0.2"/>
  <cols>
    <col min="2" max="2" width="3" bestFit="1" customWidth="1"/>
    <col min="3" max="3" width="5" customWidth="1"/>
    <col min="4" max="6" width="11.5" customWidth="1"/>
    <col min="7" max="7" width="16.6640625" customWidth="1"/>
    <col min="8" max="8" width="16.5" bestFit="1" customWidth="1"/>
    <col min="9" max="9" width="22.6640625" customWidth="1"/>
  </cols>
  <sheetData>
    <row r="1" spans="2:10" x14ac:dyDescent="0.2">
      <c r="B1" s="45" t="s">
        <v>29</v>
      </c>
      <c r="C1" s="45"/>
    </row>
    <row r="2" spans="2:10" x14ac:dyDescent="0.2">
      <c r="B2" t="s">
        <v>25</v>
      </c>
      <c r="C2">
        <v>0</v>
      </c>
      <c r="D2" s="17" t="s">
        <v>27</v>
      </c>
      <c r="E2" s="18">
        <v>0.1</v>
      </c>
    </row>
    <row r="3" spans="2:10" x14ac:dyDescent="0.2">
      <c r="B3" t="s">
        <v>28</v>
      </c>
      <c r="C3">
        <v>0.5</v>
      </c>
      <c r="D3" s="22" t="s">
        <v>32</v>
      </c>
      <c r="E3" s="45" t="s">
        <v>30</v>
      </c>
      <c r="F3" s="45"/>
      <c r="G3" s="22" t="s">
        <v>31</v>
      </c>
      <c r="H3" t="s">
        <v>33</v>
      </c>
      <c r="I3" t="s">
        <v>34</v>
      </c>
    </row>
    <row r="4" spans="2:10" ht="27" customHeight="1" x14ac:dyDescent="0.2">
      <c r="B4" s="1" t="s">
        <v>3</v>
      </c>
      <c r="C4" s="1" t="s">
        <v>0</v>
      </c>
      <c r="D4" s="2" t="s">
        <v>9</v>
      </c>
      <c r="E4" s="1" t="s">
        <v>5</v>
      </c>
      <c r="F4" s="1" t="s">
        <v>6</v>
      </c>
      <c r="G4" s="9" t="s">
        <v>7</v>
      </c>
      <c r="H4" s="3" t="s">
        <v>8</v>
      </c>
      <c r="I4" s="5"/>
      <c r="J4" s="26" t="s">
        <v>35</v>
      </c>
    </row>
    <row r="5" spans="2:10" x14ac:dyDescent="0.2">
      <c r="B5" s="1">
        <v>0</v>
      </c>
      <c r="C5" s="4">
        <f>C2</f>
        <v>0</v>
      </c>
      <c r="D5" s="8"/>
      <c r="E5" s="8"/>
      <c r="F5" s="8"/>
      <c r="G5" s="8"/>
      <c r="H5" s="3">
        <v>1</v>
      </c>
      <c r="I5" s="5">
        <f>-C5+(2*EXP(C5))-1</f>
        <v>1</v>
      </c>
      <c r="J5" s="26"/>
    </row>
    <row r="6" spans="2:10" x14ac:dyDescent="0.2">
      <c r="B6" s="1">
        <v>1</v>
      </c>
      <c r="C6" s="1">
        <f>C5+$E$2</f>
        <v>0.1</v>
      </c>
      <c r="D6" s="2">
        <f>C5+H5</f>
        <v>1</v>
      </c>
      <c r="E6" s="1">
        <f>C5+$E$2</f>
        <v>0.1</v>
      </c>
      <c r="F6" s="1">
        <f>H5+($E$2*D6)</f>
        <v>1.1000000000000001</v>
      </c>
      <c r="G6" s="6">
        <f>E6+F6</f>
        <v>1.2000000000000002</v>
      </c>
      <c r="H6" s="3">
        <f>H5+(($E$2/2)*(D6+G6))</f>
        <v>1.1100000000000001</v>
      </c>
      <c r="I6" s="5">
        <f t="shared" ref="I6:I10" si="0">-C6+(2*EXP(C6))-1</f>
        <v>1.1103418361512953</v>
      </c>
      <c r="J6" s="26">
        <f>ABS(I6-H6)</f>
        <v>3.4183615129523837E-4</v>
      </c>
    </row>
    <row r="7" spans="2:10" x14ac:dyDescent="0.2">
      <c r="B7" s="1">
        <v>2</v>
      </c>
      <c r="C7" s="1">
        <f t="shared" ref="C7:C10" si="1">C6+$E$2</f>
        <v>0.2</v>
      </c>
      <c r="D7" s="2">
        <f t="shared" ref="D7:D10" si="2">C6+H6</f>
        <v>1.2100000000000002</v>
      </c>
      <c r="E7" s="1">
        <f t="shared" ref="E7:E10" si="3">C6+$E$2</f>
        <v>0.2</v>
      </c>
      <c r="F7" s="1">
        <f t="shared" ref="F7:F10" si="4">H6+($E$2*D7)</f>
        <v>1.2310000000000001</v>
      </c>
      <c r="G7" s="6">
        <f t="shared" ref="G7:G10" si="5">E7+F7</f>
        <v>1.431</v>
      </c>
      <c r="H7" s="3">
        <f t="shared" ref="H7:H10" si="6">H6+(($E$2/2)*(D7+G7))</f>
        <v>1.2420500000000001</v>
      </c>
      <c r="I7" s="5">
        <f t="shared" si="0"/>
        <v>1.2428055163203395</v>
      </c>
      <c r="J7" s="26">
        <f t="shared" ref="J7:J10" si="7">ABS(I7-H7)</f>
        <v>7.5551632033943328E-4</v>
      </c>
    </row>
    <row r="8" spans="2:10" x14ac:dyDescent="0.2">
      <c r="B8" s="1">
        <v>3</v>
      </c>
      <c r="C8" s="1">
        <f t="shared" si="1"/>
        <v>0.30000000000000004</v>
      </c>
      <c r="D8" s="2">
        <f t="shared" si="2"/>
        <v>1.4420500000000001</v>
      </c>
      <c r="E8" s="1">
        <f t="shared" si="3"/>
        <v>0.30000000000000004</v>
      </c>
      <c r="F8" s="1">
        <f t="shared" si="4"/>
        <v>1.386255</v>
      </c>
      <c r="G8" s="6">
        <f t="shared" si="5"/>
        <v>1.6862550000000001</v>
      </c>
      <c r="H8" s="3">
        <f t="shared" si="6"/>
        <v>1.3984652500000001</v>
      </c>
      <c r="I8" s="5">
        <f t="shared" si="0"/>
        <v>1.3997176151520065</v>
      </c>
      <c r="J8" s="26">
        <f t="shared" si="7"/>
        <v>1.2523651520064405E-3</v>
      </c>
    </row>
    <row r="9" spans="2:10" x14ac:dyDescent="0.2">
      <c r="B9" s="1">
        <v>4</v>
      </c>
      <c r="C9" s="1">
        <f t="shared" si="1"/>
        <v>0.4</v>
      </c>
      <c r="D9" s="2">
        <f t="shared" si="2"/>
        <v>1.6984652500000001</v>
      </c>
      <c r="E9" s="1">
        <f t="shared" si="3"/>
        <v>0.4</v>
      </c>
      <c r="F9" s="1">
        <f t="shared" si="4"/>
        <v>1.5683117750000002</v>
      </c>
      <c r="G9" s="6">
        <f t="shared" si="5"/>
        <v>1.9683117750000001</v>
      </c>
      <c r="H9" s="3">
        <f t="shared" si="6"/>
        <v>1.5818041012500001</v>
      </c>
      <c r="I9" s="5">
        <f t="shared" si="0"/>
        <v>1.5836493952825408</v>
      </c>
      <c r="J9" s="26">
        <f t="shared" si="7"/>
        <v>1.8452940325406342E-3</v>
      </c>
    </row>
    <row r="10" spans="2:10" x14ac:dyDescent="0.2">
      <c r="B10" s="1">
        <v>5</v>
      </c>
      <c r="C10" s="1">
        <f t="shared" si="1"/>
        <v>0.5</v>
      </c>
      <c r="D10" s="2">
        <f t="shared" si="2"/>
        <v>1.9818041012500003</v>
      </c>
      <c r="E10" s="1">
        <f t="shared" si="3"/>
        <v>0.5</v>
      </c>
      <c r="F10" s="1">
        <f t="shared" si="4"/>
        <v>1.7799845113750001</v>
      </c>
      <c r="G10" s="6">
        <f t="shared" si="5"/>
        <v>2.2799845113749999</v>
      </c>
      <c r="H10" s="3">
        <f t="shared" si="6"/>
        <v>1.7948935318812502</v>
      </c>
      <c r="I10" s="5">
        <f t="shared" si="0"/>
        <v>1.7974425414002564</v>
      </c>
      <c r="J10" s="26">
        <f t="shared" si="7"/>
        <v>2.5490095190061623E-3</v>
      </c>
    </row>
  </sheetData>
  <mergeCells count="2">
    <mergeCell ref="B1:C1"/>
    <mergeCell ref="E3:F3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5102-F1E4-624F-AFDA-4A6B33343534}">
  <dimension ref="B1:M18"/>
  <sheetViews>
    <sheetView showGridLines="0" zoomScale="130" zoomScaleNormal="130" workbookViewId="0">
      <selection activeCell="J8" sqref="J8"/>
    </sheetView>
  </sheetViews>
  <sheetFormatPr baseColWidth="10" defaultRowHeight="15" x14ac:dyDescent="0.2"/>
  <cols>
    <col min="1" max="1" width="10.83203125" customWidth="1"/>
    <col min="2" max="2" width="3" bestFit="1" customWidth="1"/>
    <col min="3" max="3" width="5" customWidth="1"/>
    <col min="4" max="6" width="11.5" hidden="1" customWidth="1"/>
    <col min="7" max="7" width="14.1640625" hidden="1" customWidth="1"/>
    <col min="8" max="8" width="16.5" hidden="1" customWidth="1"/>
    <col min="9" max="9" width="22.6640625" customWidth="1"/>
    <col min="12" max="13" width="14.1640625" bestFit="1" customWidth="1"/>
  </cols>
  <sheetData>
    <row r="1" spans="2:13" x14ac:dyDescent="0.2">
      <c r="B1" s="45" t="s">
        <v>29</v>
      </c>
      <c r="C1" s="45"/>
    </row>
    <row r="2" spans="2:13" x14ac:dyDescent="0.2">
      <c r="B2" t="s">
        <v>25</v>
      </c>
      <c r="C2">
        <v>0</v>
      </c>
      <c r="D2" s="17" t="s">
        <v>27</v>
      </c>
      <c r="E2" s="18">
        <v>0.1</v>
      </c>
    </row>
    <row r="3" spans="2:13" x14ac:dyDescent="0.2">
      <c r="B3" t="s">
        <v>28</v>
      </c>
      <c r="C3">
        <v>1</v>
      </c>
      <c r="D3" s="32"/>
      <c r="E3" s="45"/>
      <c r="F3" s="45"/>
      <c r="G3" s="32"/>
    </row>
    <row r="4" spans="2:13" ht="27" customHeight="1" x14ac:dyDescent="0.2">
      <c r="B4" s="12" t="s">
        <v>3</v>
      </c>
      <c r="C4" s="12" t="s">
        <v>20</v>
      </c>
      <c r="D4" s="13" t="s">
        <v>46</v>
      </c>
      <c r="E4" s="12" t="s">
        <v>47</v>
      </c>
      <c r="F4" s="12" t="s">
        <v>53</v>
      </c>
      <c r="G4" s="37" t="s">
        <v>48</v>
      </c>
      <c r="H4" s="15" t="s">
        <v>8</v>
      </c>
      <c r="I4" s="13" t="s">
        <v>49</v>
      </c>
      <c r="J4" s="12" t="s">
        <v>47</v>
      </c>
      <c r="K4" s="12" t="s">
        <v>50</v>
      </c>
      <c r="L4" s="37" t="s">
        <v>51</v>
      </c>
      <c r="M4" s="15" t="s">
        <v>52</v>
      </c>
    </row>
    <row r="5" spans="2:13" x14ac:dyDescent="0.2">
      <c r="B5" s="12">
        <v>0</v>
      </c>
      <c r="C5" s="27">
        <f>C2</f>
        <v>0</v>
      </c>
      <c r="D5" s="38"/>
      <c r="E5" s="38"/>
      <c r="F5" s="38"/>
      <c r="G5" s="38"/>
      <c r="H5" s="15">
        <f>-0.5</f>
        <v>-0.5</v>
      </c>
      <c r="I5" s="38"/>
      <c r="J5" s="38"/>
      <c r="K5" s="38"/>
      <c r="L5" s="38"/>
      <c r="M5" s="15">
        <f>0.5</f>
        <v>0.5</v>
      </c>
    </row>
    <row r="6" spans="2:13" x14ac:dyDescent="0.2">
      <c r="B6" s="12">
        <v>1</v>
      </c>
      <c r="C6" s="12">
        <f>C5+$E$2</f>
        <v>0.1</v>
      </c>
      <c r="D6" s="13">
        <f>SIN(2*C5)-(C5*H5)</f>
        <v>0</v>
      </c>
      <c r="E6" s="12">
        <f>C5+$E$2</f>
        <v>0.1</v>
      </c>
      <c r="F6" s="12">
        <f>H5+($E$2*D6)</f>
        <v>-0.5</v>
      </c>
      <c r="G6" s="39">
        <f>SIN(2*E6)-(E6*F6)</f>
        <v>0.24866933079506121</v>
      </c>
      <c r="H6" s="15">
        <f>H5+(($E$2/2)*(D6+G6))</f>
        <v>-0.48756653346024692</v>
      </c>
      <c r="I6" s="13">
        <f>COS(2*C5)-(C5*M5)</f>
        <v>1</v>
      </c>
      <c r="J6" s="12">
        <f>C5+$E$2</f>
        <v>0.1</v>
      </c>
      <c r="K6" s="12">
        <f>M5+($E$2*I6)</f>
        <v>0.6</v>
      </c>
      <c r="L6" s="39">
        <f>COS(2*J6)-(J6*K6)</f>
        <v>0.92006657784124157</v>
      </c>
      <c r="M6" s="15">
        <f>M5+(($E$2/2)*(I6+L6))</f>
        <v>0.59600332889206209</v>
      </c>
    </row>
    <row r="7" spans="2:13" x14ac:dyDescent="0.2">
      <c r="B7" s="12">
        <v>2</v>
      </c>
      <c r="C7" s="12">
        <f t="shared" ref="C7:C15" si="0">C6+$E$2</f>
        <v>0.2</v>
      </c>
      <c r="D7" s="13">
        <f t="shared" ref="D7:D15" si="1">SIN(2*C6)-(C6*H6)</f>
        <v>0.24742598414108591</v>
      </c>
      <c r="E7" s="12">
        <f t="shared" ref="E7:E15" si="2">C6+$E$2</f>
        <v>0.2</v>
      </c>
      <c r="F7" s="12">
        <f t="shared" ref="F7:F15" si="3">H6+($E$2*D7)</f>
        <v>-0.46282393504613834</v>
      </c>
      <c r="G7" s="39">
        <f t="shared" ref="G7:G15" si="4">SIN(2*E7)-(E7*F7)</f>
        <v>0.48198312931787818</v>
      </c>
      <c r="H7" s="15">
        <f t="shared" ref="H7:H15" si="5">H6+(($E$2/2)*(D7+G7))</f>
        <v>-0.45109607778729871</v>
      </c>
      <c r="I7" s="13">
        <f t="shared" ref="I7:I15" si="6">COS(2*C6)-(C6*M6)</f>
        <v>0.92046624495203544</v>
      </c>
      <c r="J7" s="12">
        <f t="shared" ref="J7:J15" si="7">C6+$E$2</f>
        <v>0.2</v>
      </c>
      <c r="K7" s="12">
        <f t="shared" ref="K7:K15" si="8">M6+($E$2*I7)</f>
        <v>0.6880499533872656</v>
      </c>
      <c r="L7" s="39">
        <f t="shared" ref="L7:L15" si="9">COS(2*J7)-(J7*K7)</f>
        <v>0.78345100332543194</v>
      </c>
      <c r="M7" s="15">
        <f t="shared" ref="M7:M15" si="10">M6+(($E$2/2)*(I7+L7))</f>
        <v>0.68119919130593543</v>
      </c>
    </row>
    <row r="8" spans="2:13" x14ac:dyDescent="0.2">
      <c r="B8" s="12">
        <v>3</v>
      </c>
      <c r="C8" s="12">
        <f t="shared" si="0"/>
        <v>0.30000000000000004</v>
      </c>
      <c r="D8" s="13">
        <f t="shared" si="1"/>
        <v>0.47963755786611029</v>
      </c>
      <c r="E8" s="12">
        <f t="shared" si="2"/>
        <v>0.30000000000000004</v>
      </c>
      <c r="F8" s="12">
        <f t="shared" si="3"/>
        <v>-0.40313232200068766</v>
      </c>
      <c r="G8" s="39">
        <f t="shared" si="4"/>
        <v>0.6855821699952418</v>
      </c>
      <c r="H8" s="15">
        <f t="shared" si="5"/>
        <v>-0.39283509139423112</v>
      </c>
      <c r="I8" s="13">
        <f t="shared" si="6"/>
        <v>0.78482115574169797</v>
      </c>
      <c r="J8" s="12">
        <f t="shared" si="7"/>
        <v>0.30000000000000004</v>
      </c>
      <c r="K8" s="12">
        <f t="shared" si="8"/>
        <v>0.75968130688010527</v>
      </c>
      <c r="L8" s="39">
        <f t="shared" si="9"/>
        <v>0.59743122284564665</v>
      </c>
      <c r="M8" s="15">
        <f t="shared" si="10"/>
        <v>0.75031181023530269</v>
      </c>
    </row>
    <row r="9" spans="2:13" x14ac:dyDescent="0.2">
      <c r="B9" s="12">
        <v>4</v>
      </c>
      <c r="C9" s="12">
        <f t="shared" si="0"/>
        <v>0.4</v>
      </c>
      <c r="D9" s="13">
        <f t="shared" si="1"/>
        <v>0.68249300081330477</v>
      </c>
      <c r="E9" s="12">
        <f t="shared" si="2"/>
        <v>0.4</v>
      </c>
      <c r="F9" s="12">
        <f t="shared" si="3"/>
        <v>-0.32458579131290066</v>
      </c>
      <c r="G9" s="39">
        <f t="shared" si="4"/>
        <v>0.8471904074246831</v>
      </c>
      <c r="H9" s="15">
        <f t="shared" si="5"/>
        <v>-0.31635092098233175</v>
      </c>
      <c r="I9" s="13">
        <f t="shared" si="6"/>
        <v>0.6002420718390874</v>
      </c>
      <c r="J9" s="12">
        <f t="shared" si="7"/>
        <v>0.4</v>
      </c>
      <c r="K9" s="12">
        <f t="shared" si="8"/>
        <v>0.81033601741921146</v>
      </c>
      <c r="L9" s="39">
        <f t="shared" si="9"/>
        <v>0.3725723023794808</v>
      </c>
      <c r="M9" s="15">
        <f t="shared" si="10"/>
        <v>0.79895252894623114</v>
      </c>
    </row>
    <row r="10" spans="2:13" x14ac:dyDescent="0.2">
      <c r="B10" s="12">
        <v>5</v>
      </c>
      <c r="C10" s="12">
        <f t="shared" si="0"/>
        <v>0.5</v>
      </c>
      <c r="D10" s="13">
        <f t="shared" si="1"/>
        <v>0.84389645929245549</v>
      </c>
      <c r="E10" s="12">
        <f t="shared" si="2"/>
        <v>0.5</v>
      </c>
      <c r="F10" s="12">
        <f t="shared" si="3"/>
        <v>-0.2319612750530862</v>
      </c>
      <c r="G10" s="39">
        <f t="shared" si="4"/>
        <v>0.95745162233443959</v>
      </c>
      <c r="H10" s="15">
        <f t="shared" si="5"/>
        <v>-0.226283516900987</v>
      </c>
      <c r="I10" s="13">
        <f t="shared" si="6"/>
        <v>0.37712569776867289</v>
      </c>
      <c r="J10" s="12">
        <f t="shared" si="7"/>
        <v>0.5</v>
      </c>
      <c r="K10" s="12">
        <f t="shared" si="8"/>
        <v>0.83666509872309847</v>
      </c>
      <c r="L10" s="39">
        <f t="shared" si="9"/>
        <v>0.12196975650659053</v>
      </c>
      <c r="M10" s="15">
        <f t="shared" si="10"/>
        <v>0.82390730165999426</v>
      </c>
    </row>
    <row r="11" spans="2:13" x14ac:dyDescent="0.2">
      <c r="B11" s="12">
        <v>6</v>
      </c>
      <c r="C11" s="12">
        <f t="shared" si="0"/>
        <v>0.6</v>
      </c>
      <c r="D11" s="13">
        <f t="shared" si="1"/>
        <v>0.95461274325838996</v>
      </c>
      <c r="E11" s="12">
        <f t="shared" si="2"/>
        <v>0.6</v>
      </c>
      <c r="F11" s="12">
        <f t="shared" si="3"/>
        <v>-0.13082224257514799</v>
      </c>
      <c r="G11" s="39">
        <f t="shared" si="4"/>
        <v>1.010532431512315</v>
      </c>
      <c r="H11" s="15">
        <f t="shared" si="5"/>
        <v>-0.12802625816245175</v>
      </c>
      <c r="I11" s="13">
        <f t="shared" si="6"/>
        <v>0.12834865503814263</v>
      </c>
      <c r="J11" s="12">
        <f t="shared" si="7"/>
        <v>0.6</v>
      </c>
      <c r="K11" s="12">
        <f t="shared" si="8"/>
        <v>0.83674216716380856</v>
      </c>
      <c r="L11" s="39">
        <f t="shared" si="9"/>
        <v>-0.13968754582161147</v>
      </c>
      <c r="M11" s="15">
        <f t="shared" si="10"/>
        <v>0.82334035712082088</v>
      </c>
    </row>
    <row r="12" spans="2:13" x14ac:dyDescent="0.2">
      <c r="B12" s="12">
        <v>7</v>
      </c>
      <c r="C12" s="12">
        <f t="shared" si="0"/>
        <v>0.7</v>
      </c>
      <c r="D12" s="13">
        <f t="shared" si="1"/>
        <v>1.0088548408646973</v>
      </c>
      <c r="E12" s="12">
        <f t="shared" si="2"/>
        <v>0.7</v>
      </c>
      <c r="F12" s="12">
        <f t="shared" si="3"/>
        <v>-2.7140774075982005E-2</v>
      </c>
      <c r="G12" s="39">
        <f t="shared" si="4"/>
        <v>1.0044482718416476</v>
      </c>
      <c r="H12" s="15">
        <f t="shared" si="5"/>
        <v>-2.7361102527134487E-2</v>
      </c>
      <c r="I12" s="13">
        <f t="shared" si="6"/>
        <v>-0.1316464597958189</v>
      </c>
      <c r="J12" s="12">
        <f t="shared" si="7"/>
        <v>0.7</v>
      </c>
      <c r="K12" s="12">
        <f t="shared" si="8"/>
        <v>0.81017571114123899</v>
      </c>
      <c r="L12" s="39">
        <f t="shared" si="9"/>
        <v>-0.39715585489862615</v>
      </c>
      <c r="M12" s="15">
        <f t="shared" si="10"/>
        <v>0.79690024138609861</v>
      </c>
    </row>
    <row r="13" spans="2:13" x14ac:dyDescent="0.2">
      <c r="B13" s="12">
        <v>8</v>
      </c>
      <c r="C13" s="12">
        <f t="shared" si="0"/>
        <v>0.79999999999999993</v>
      </c>
      <c r="D13" s="13">
        <f t="shared" si="1"/>
        <v>1.0046025017574542</v>
      </c>
      <c r="E13" s="12">
        <f t="shared" si="2"/>
        <v>0.79999999999999993</v>
      </c>
      <c r="F13" s="12">
        <f t="shared" si="3"/>
        <v>7.3099147648610946E-2</v>
      </c>
      <c r="G13" s="39">
        <f t="shared" si="4"/>
        <v>0.94109428492261649</v>
      </c>
      <c r="H13" s="15">
        <f t="shared" si="5"/>
        <v>6.9923736806869058E-2</v>
      </c>
      <c r="I13" s="13">
        <f t="shared" si="6"/>
        <v>-0.38786302607002787</v>
      </c>
      <c r="J13" s="12">
        <f t="shared" si="7"/>
        <v>0.79999999999999993</v>
      </c>
      <c r="K13" s="12">
        <f t="shared" si="8"/>
        <v>0.75811393877909583</v>
      </c>
      <c r="L13" s="39">
        <f t="shared" si="9"/>
        <v>-0.6356906733245653</v>
      </c>
      <c r="M13" s="15">
        <f t="shared" si="10"/>
        <v>0.74572255641636898</v>
      </c>
    </row>
    <row r="14" spans="2:13" x14ac:dyDescent="0.2">
      <c r="B14" s="12">
        <v>9</v>
      </c>
      <c r="C14" s="12">
        <f t="shared" si="0"/>
        <v>0.89999999999999991</v>
      </c>
      <c r="D14" s="13">
        <f t="shared" si="1"/>
        <v>0.94363461359600997</v>
      </c>
      <c r="E14" s="12">
        <f t="shared" si="2"/>
        <v>0.89999999999999991</v>
      </c>
      <c r="F14" s="12">
        <f t="shared" si="3"/>
        <v>0.16428719816647006</v>
      </c>
      <c r="G14" s="39">
        <f t="shared" si="4"/>
        <v>0.82598915252837224</v>
      </c>
      <c r="H14" s="15">
        <f t="shared" si="5"/>
        <v>0.15840492511308818</v>
      </c>
      <c r="I14" s="13">
        <f t="shared" si="6"/>
        <v>-0.62577756743438373</v>
      </c>
      <c r="J14" s="12">
        <f t="shared" si="7"/>
        <v>0.89999999999999991</v>
      </c>
      <c r="K14" s="12">
        <f t="shared" si="8"/>
        <v>0.68314479967293062</v>
      </c>
      <c r="L14" s="39">
        <f t="shared" si="9"/>
        <v>-0.84203241439872434</v>
      </c>
      <c r="M14" s="15">
        <f t="shared" si="10"/>
        <v>0.67233205732471357</v>
      </c>
    </row>
    <row r="15" spans="2:13" x14ac:dyDescent="0.2">
      <c r="B15" s="12">
        <v>10</v>
      </c>
      <c r="C15" s="12">
        <f t="shared" si="0"/>
        <v>0.99999999999999989</v>
      </c>
      <c r="D15" s="13">
        <f t="shared" si="1"/>
        <v>0.83128319827641595</v>
      </c>
      <c r="E15" s="12">
        <f t="shared" si="2"/>
        <v>0.99999999999999989</v>
      </c>
      <c r="F15" s="12">
        <f t="shared" si="3"/>
        <v>0.24153324494072978</v>
      </c>
      <c r="G15" s="39">
        <f t="shared" si="4"/>
        <v>0.66776418188495201</v>
      </c>
      <c r="H15" s="15">
        <f t="shared" si="5"/>
        <v>0.23335729412115658</v>
      </c>
      <c r="I15" s="13">
        <f t="shared" si="6"/>
        <v>-0.83230094628532902</v>
      </c>
      <c r="J15" s="12">
        <f t="shared" si="7"/>
        <v>0.99999999999999989</v>
      </c>
      <c r="K15" s="12">
        <f t="shared" si="8"/>
        <v>0.58910196269618065</v>
      </c>
      <c r="L15" s="39">
        <f t="shared" si="9"/>
        <v>-1.0052487992433228</v>
      </c>
      <c r="M15" s="15">
        <f t="shared" si="10"/>
        <v>0.58045457004828094</v>
      </c>
    </row>
    <row r="16" spans="2:13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</row>
    <row r="17" spans="2:13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</row>
    <row r="18" spans="2:13" x14ac:dyDescent="0.2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</sheetData>
  <mergeCells count="2">
    <mergeCell ref="B1:C1"/>
    <mergeCell ref="E3:F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2"/>
  <sheetViews>
    <sheetView showGridLines="0" topLeftCell="A5" zoomScale="115" zoomScaleNormal="115" workbookViewId="0">
      <selection activeCell="D14" sqref="D14"/>
    </sheetView>
  </sheetViews>
  <sheetFormatPr baseColWidth="10" defaultRowHeight="15" x14ac:dyDescent="0.2"/>
  <cols>
    <col min="1" max="1" width="3.33203125" bestFit="1" customWidth="1"/>
    <col min="2" max="2" width="4.1640625" bestFit="1" customWidth="1"/>
    <col min="4" max="4" width="8" customWidth="1"/>
    <col min="5" max="5" width="11.5" customWidth="1"/>
    <col min="7" max="7" width="8" customWidth="1"/>
    <col min="8" max="8" width="11.5" customWidth="1"/>
    <col min="10" max="10" width="8.6640625" customWidth="1"/>
    <col min="11" max="11" width="11.5" customWidth="1"/>
    <col min="14" max="14" width="19.83203125" customWidth="1"/>
    <col min="15" max="15" width="11.83203125" style="25" bestFit="1" customWidth="1"/>
  </cols>
  <sheetData>
    <row r="1" spans="1:15" x14ac:dyDescent="0.2">
      <c r="A1" s="45" t="s">
        <v>29</v>
      </c>
      <c r="B1" s="45"/>
      <c r="C1" s="45"/>
    </row>
    <row r="2" spans="1:15" x14ac:dyDescent="0.2">
      <c r="A2" t="s">
        <v>25</v>
      </c>
      <c r="B2">
        <v>0</v>
      </c>
      <c r="D2" s="17" t="s">
        <v>36</v>
      </c>
      <c r="E2" s="18">
        <v>0.1</v>
      </c>
    </row>
    <row r="3" spans="1:15" x14ac:dyDescent="0.2">
      <c r="A3" t="s">
        <v>26</v>
      </c>
      <c r="B3">
        <v>0.5</v>
      </c>
    </row>
    <row r="4" spans="1:15" x14ac:dyDescent="0.2">
      <c r="A4" s="25"/>
      <c r="B4" s="25"/>
      <c r="C4" s="25" t="s">
        <v>37</v>
      </c>
      <c r="D4" s="46" t="s">
        <v>39</v>
      </c>
      <c r="E4" s="46"/>
      <c r="F4" s="25" t="s">
        <v>38</v>
      </c>
      <c r="G4" s="46" t="s">
        <v>39</v>
      </c>
      <c r="H4" s="46"/>
      <c r="I4" s="25" t="s">
        <v>40</v>
      </c>
      <c r="J4" s="46" t="s">
        <v>42</v>
      </c>
      <c r="K4" s="46"/>
      <c r="L4" s="25" t="s">
        <v>41</v>
      </c>
      <c r="M4" s="25" t="s">
        <v>33</v>
      </c>
      <c r="N4" s="25" t="s">
        <v>34</v>
      </c>
    </row>
    <row r="5" spans="1:15" ht="33" customHeight="1" x14ac:dyDescent="0.2">
      <c r="A5" s="12" t="s">
        <v>3</v>
      </c>
      <c r="B5" s="12" t="s">
        <v>0</v>
      </c>
      <c r="C5" s="12"/>
      <c r="D5" s="12" t="s">
        <v>11</v>
      </c>
      <c r="E5" s="12" t="s">
        <v>10</v>
      </c>
      <c r="F5" s="12"/>
      <c r="G5" s="12" t="s">
        <v>11</v>
      </c>
      <c r="H5" s="12" t="s">
        <v>12</v>
      </c>
      <c r="I5" s="12"/>
      <c r="J5" s="12" t="s">
        <v>13</v>
      </c>
      <c r="K5" s="12" t="s">
        <v>14</v>
      </c>
      <c r="L5" s="12"/>
      <c r="M5" s="12"/>
      <c r="N5" s="12"/>
      <c r="O5" s="26" t="s">
        <v>35</v>
      </c>
    </row>
    <row r="6" spans="1:15" x14ac:dyDescent="0.2">
      <c r="A6" s="12">
        <v>0</v>
      </c>
      <c r="B6" s="27">
        <f>B2</f>
        <v>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9">
        <v>1</v>
      </c>
      <c r="N6" s="12">
        <f>-B6+(2*EXP(B6))-1</f>
        <v>1</v>
      </c>
      <c r="O6" s="26"/>
    </row>
    <row r="7" spans="1:15" x14ac:dyDescent="0.2">
      <c r="A7" s="12">
        <v>1</v>
      </c>
      <c r="B7" s="12">
        <f>B6+$E$2</f>
        <v>0.1</v>
      </c>
      <c r="C7" s="30">
        <f>B6+M6</f>
        <v>1</v>
      </c>
      <c r="D7" s="12">
        <f>B6+($E$2/2)</f>
        <v>0.05</v>
      </c>
      <c r="E7" s="12">
        <f>M6+(($E$2)*C7)/2</f>
        <v>1.05</v>
      </c>
      <c r="F7" s="31">
        <f>D7+E7</f>
        <v>1.1000000000000001</v>
      </c>
      <c r="G7" s="12">
        <f>B6+($E$2/2)</f>
        <v>0.05</v>
      </c>
      <c r="H7" s="12">
        <f>M6+(($E$2*F7)/2)</f>
        <v>1.0549999999999999</v>
      </c>
      <c r="I7" s="16">
        <f>G7+H7</f>
        <v>1.105</v>
      </c>
      <c r="J7" s="12">
        <f>B6+$E$2</f>
        <v>0.1</v>
      </c>
      <c r="K7" s="12">
        <f>M6+($E$2*I7)</f>
        <v>1.1105</v>
      </c>
      <c r="L7" s="15">
        <f>J7+K7</f>
        <v>1.2105000000000001</v>
      </c>
      <c r="M7" s="13">
        <f>M6+($E$2/6)*(C7+(2*F7)+(2*I7)+L7)</f>
        <v>1.1103416666666666</v>
      </c>
      <c r="N7" s="12">
        <f t="shared" ref="N7:N11" si="0">-B7+(2*EXP(B7))-1</f>
        <v>1.1103418361512953</v>
      </c>
      <c r="O7" s="26">
        <f>ABS(N7-M7)</f>
        <v>1.6948462877586223E-7</v>
      </c>
    </row>
    <row r="8" spans="1:15" x14ac:dyDescent="0.2">
      <c r="A8" s="12">
        <v>2</v>
      </c>
      <c r="B8" s="12">
        <f t="shared" ref="B8:B11" si="1">B7+$E$2</f>
        <v>0.2</v>
      </c>
      <c r="C8" s="30">
        <f t="shared" ref="C8:C11" si="2">B7+M7</f>
        <v>1.2103416666666666</v>
      </c>
      <c r="D8" s="12">
        <f t="shared" ref="D8:D11" si="3">B7+($E$2/2)</f>
        <v>0.15000000000000002</v>
      </c>
      <c r="E8" s="12">
        <f t="shared" ref="E8:E11" si="4">M7+(($E$2)*C8)/2</f>
        <v>1.1708587499999998</v>
      </c>
      <c r="F8" s="31">
        <f t="shared" ref="F8:F11" si="5">D8+E8</f>
        <v>1.3208587499999997</v>
      </c>
      <c r="G8" s="12">
        <f t="shared" ref="G8:G11" si="6">B7+($E$2/2)</f>
        <v>0.15000000000000002</v>
      </c>
      <c r="H8" s="12">
        <f t="shared" ref="H8:H11" si="7">M7+(($E$2*F8)/2)</f>
        <v>1.1763846041666666</v>
      </c>
      <c r="I8" s="16">
        <f t="shared" ref="I8:I11" si="8">G8+H8</f>
        <v>1.3263846041666665</v>
      </c>
      <c r="J8" s="12">
        <f t="shared" ref="J8:J11" si="9">B7+$E$2</f>
        <v>0.2</v>
      </c>
      <c r="K8" s="12">
        <f t="shared" ref="K8:K11" si="10">M7+($E$2*I8)</f>
        <v>1.2429801270833332</v>
      </c>
      <c r="L8" s="15">
        <f t="shared" ref="L8:L11" si="11">J8+K8</f>
        <v>1.4429801270833331</v>
      </c>
      <c r="M8" s="13">
        <f t="shared" ref="M8:M11" si="12">M7+($E$2/6)*(C8+(2*F8)+(2*I8)+L8)</f>
        <v>1.2428051417013888</v>
      </c>
      <c r="N8" s="12">
        <f t="shared" si="0"/>
        <v>1.2428055163203395</v>
      </c>
      <c r="O8" s="26">
        <f t="shared" ref="O8:O11" si="13">ABS(N8-M8)</f>
        <v>3.7461895074919482E-7</v>
      </c>
    </row>
    <row r="9" spans="1:15" x14ac:dyDescent="0.2">
      <c r="A9" s="12">
        <v>3</v>
      </c>
      <c r="B9" s="12">
        <f t="shared" si="1"/>
        <v>0.30000000000000004</v>
      </c>
      <c r="C9" s="30">
        <f t="shared" si="2"/>
        <v>1.4428051417013887</v>
      </c>
      <c r="D9" s="12">
        <f t="shared" si="3"/>
        <v>0.25</v>
      </c>
      <c r="E9" s="12">
        <f t="shared" si="4"/>
        <v>1.3149453987864583</v>
      </c>
      <c r="F9" s="31">
        <f t="shared" si="5"/>
        <v>1.5649453987864583</v>
      </c>
      <c r="G9" s="12">
        <f t="shared" si="6"/>
        <v>0.25</v>
      </c>
      <c r="H9" s="12">
        <f t="shared" si="7"/>
        <v>1.3210524116407116</v>
      </c>
      <c r="I9" s="16">
        <f t="shared" si="8"/>
        <v>1.5710524116407116</v>
      </c>
      <c r="J9" s="12">
        <f t="shared" si="9"/>
        <v>0.30000000000000004</v>
      </c>
      <c r="K9" s="12">
        <f t="shared" si="10"/>
        <v>1.39991038286546</v>
      </c>
      <c r="L9" s="15">
        <f t="shared" si="11"/>
        <v>1.69991038286546</v>
      </c>
      <c r="M9" s="13">
        <f t="shared" si="12"/>
        <v>1.3997169941250753</v>
      </c>
      <c r="N9" s="12">
        <f t="shared" si="0"/>
        <v>1.3997176151520065</v>
      </c>
      <c r="O9" s="26">
        <f t="shared" si="13"/>
        <v>6.210269312134642E-7</v>
      </c>
    </row>
    <row r="10" spans="1:15" x14ac:dyDescent="0.2">
      <c r="A10" s="12">
        <v>4</v>
      </c>
      <c r="B10" s="12">
        <f t="shared" si="1"/>
        <v>0.4</v>
      </c>
      <c r="C10" s="30">
        <f t="shared" si="2"/>
        <v>1.6997169941250754</v>
      </c>
      <c r="D10" s="12">
        <f t="shared" si="3"/>
        <v>0.35000000000000003</v>
      </c>
      <c r="E10" s="12">
        <f t="shared" si="4"/>
        <v>1.4847028438313292</v>
      </c>
      <c r="F10" s="31">
        <f t="shared" si="5"/>
        <v>1.8347028438313293</v>
      </c>
      <c r="G10" s="12">
        <f t="shared" si="6"/>
        <v>0.35000000000000003</v>
      </c>
      <c r="H10" s="12">
        <f t="shared" si="7"/>
        <v>1.4914521363166418</v>
      </c>
      <c r="I10" s="16">
        <f t="shared" si="8"/>
        <v>1.8414521363166418</v>
      </c>
      <c r="J10" s="12">
        <f t="shared" si="9"/>
        <v>0.4</v>
      </c>
      <c r="K10" s="12">
        <f t="shared" si="10"/>
        <v>1.5838622077567395</v>
      </c>
      <c r="L10" s="15">
        <f t="shared" si="11"/>
        <v>1.9838622077567396</v>
      </c>
      <c r="M10" s="13">
        <f t="shared" si="12"/>
        <v>1.5836484801613713</v>
      </c>
      <c r="N10" s="12">
        <f t="shared" si="0"/>
        <v>1.5836493952825408</v>
      </c>
      <c r="O10" s="26">
        <f t="shared" si="13"/>
        <v>9.1512116950909217E-7</v>
      </c>
    </row>
    <row r="11" spans="1:15" x14ac:dyDescent="0.2">
      <c r="A11" s="12">
        <v>5</v>
      </c>
      <c r="B11" s="12">
        <f t="shared" si="1"/>
        <v>0.5</v>
      </c>
      <c r="C11" s="30">
        <f t="shared" si="2"/>
        <v>1.9836484801613712</v>
      </c>
      <c r="D11" s="12">
        <f t="shared" si="3"/>
        <v>0.45</v>
      </c>
      <c r="E11" s="12">
        <f t="shared" si="4"/>
        <v>1.6828309041694398</v>
      </c>
      <c r="F11" s="31">
        <f t="shared" si="5"/>
        <v>2.13283090416944</v>
      </c>
      <c r="G11" s="12">
        <f t="shared" si="6"/>
        <v>0.45</v>
      </c>
      <c r="H11" s="12">
        <f t="shared" si="7"/>
        <v>1.6902900253698432</v>
      </c>
      <c r="I11" s="16">
        <f t="shared" si="8"/>
        <v>2.1402900253698434</v>
      </c>
      <c r="J11" s="12">
        <f t="shared" si="9"/>
        <v>0.5</v>
      </c>
      <c r="K11" s="12">
        <f t="shared" si="10"/>
        <v>1.7976774826983557</v>
      </c>
      <c r="L11" s="15">
        <f t="shared" si="11"/>
        <v>2.2976774826983557</v>
      </c>
      <c r="M11" s="13">
        <f t="shared" si="12"/>
        <v>1.7974412771936761</v>
      </c>
      <c r="N11" s="12">
        <f t="shared" si="0"/>
        <v>1.7974425414002564</v>
      </c>
      <c r="O11" s="26">
        <f t="shared" si="13"/>
        <v>1.2642065803092351E-6</v>
      </c>
    </row>
    <row r="12" spans="1:15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</row>
  </sheetData>
  <mergeCells count="4">
    <mergeCell ref="D4:E4"/>
    <mergeCell ref="G4:H4"/>
    <mergeCell ref="J4:K4"/>
    <mergeCell ref="A1:C1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3414D-FBC3-46C3-A9DC-67E3C5EB5E35}">
  <dimension ref="A1:J11"/>
  <sheetViews>
    <sheetView topLeftCell="E1" workbookViewId="0">
      <selection activeCell="T8" sqref="T8"/>
    </sheetView>
  </sheetViews>
  <sheetFormatPr baseColWidth="10" defaultRowHeight="15" x14ac:dyDescent="0.2"/>
  <sheetData>
    <row r="1" spans="1:10" x14ac:dyDescent="0.2">
      <c r="A1" t="s">
        <v>17</v>
      </c>
    </row>
    <row r="4" spans="1:10" x14ac:dyDescent="0.2">
      <c r="G4" s="47" t="s">
        <v>18</v>
      </c>
      <c r="H4" s="47"/>
      <c r="I4" s="47" t="s">
        <v>19</v>
      </c>
      <c r="J4" s="47"/>
    </row>
    <row r="5" spans="1:10" x14ac:dyDescent="0.2">
      <c r="F5" s="34" t="s">
        <v>20</v>
      </c>
      <c r="G5" s="34" t="s">
        <v>21</v>
      </c>
      <c r="H5" s="34" t="s">
        <v>22</v>
      </c>
      <c r="I5" s="34" t="s">
        <v>21</v>
      </c>
      <c r="J5" s="34" t="s">
        <v>22</v>
      </c>
    </row>
    <row r="6" spans="1:10" x14ac:dyDescent="0.2">
      <c r="F6" s="12">
        <v>0</v>
      </c>
      <c r="G6" s="12">
        <v>1</v>
      </c>
      <c r="H6" s="12">
        <v>4</v>
      </c>
      <c r="I6" s="12">
        <f>((2/3)*SIN(2*F6))+((11/3)*SIN(F6)) + COS(F6)</f>
        <v>1</v>
      </c>
      <c r="J6" s="12">
        <f>((1/3)*COS(2*F6)) + ((11/3)*COS(F6)) - SIN(F6)</f>
        <v>4</v>
      </c>
    </row>
    <row r="7" spans="1:10" x14ac:dyDescent="0.2">
      <c r="F7" s="12">
        <f>F6+0.1</f>
        <v>0.1</v>
      </c>
      <c r="G7" s="12">
        <f>1+(5*F7)-((1/2)*F7^2) - ((3/2)*F7^3)</f>
        <v>1.4935</v>
      </c>
      <c r="H7" s="12">
        <f>4-F7-((5/2)*F7^2) + ((F7^3)/6)</f>
        <v>3.8751666666666669</v>
      </c>
      <c r="I7" s="12">
        <f>((2/3)*SIN(2*F7))+((11/3)*SIN(F7)) + COS(F7)</f>
        <v>1.4935062468464366</v>
      </c>
      <c r="J7" s="12">
        <f>((1/3)*COS(2*F7)) + ((11/3)*COS(F7)) - SIN(F7)</f>
        <v>3.8752040486530137</v>
      </c>
    </row>
    <row r="8" spans="1:10" x14ac:dyDescent="0.2">
      <c r="F8" s="12">
        <f t="shared" ref="F8:F11" si="0">F7+0.1</f>
        <v>0.2</v>
      </c>
      <c r="G8" s="12">
        <f t="shared" ref="G8:G11" si="1">1+(5*F8)-((1/2)*F8^2) - ((3/2)*F8^3)</f>
        <v>1.968</v>
      </c>
      <c r="H8" s="12">
        <f t="shared" ref="H8:H11" si="2">4-F8-((5/2)*F8^2) + ((F8^3)/6)</f>
        <v>3.7013333333333329</v>
      </c>
      <c r="I8" s="12">
        <f t="shared" ref="I8:I11" si="3">((2/3)*SIN(2*F8))+((11/3)*SIN(F8)) + COS(F8)</f>
        <v>1.968133018962233</v>
      </c>
      <c r="J8" s="12">
        <f t="shared" ref="J8:J11" si="4">((1/3)*COS(2*F8)) + ((11/3)*COS(F8)) - SIN(F8)</f>
        <v>3.7019284526237866</v>
      </c>
    </row>
    <row r="9" spans="1:10" x14ac:dyDescent="0.2">
      <c r="F9" s="12">
        <f t="shared" si="0"/>
        <v>0.30000000000000004</v>
      </c>
      <c r="G9" s="12">
        <f t="shared" si="1"/>
        <v>2.4144999999999999</v>
      </c>
      <c r="H9" s="12">
        <f t="shared" si="2"/>
        <v>3.4795000000000003</v>
      </c>
      <c r="I9" s="12">
        <f t="shared" si="3"/>
        <v>2.4153388958138748</v>
      </c>
      <c r="J9" s="12">
        <f t="shared" si="4"/>
        <v>3.4824921251024419</v>
      </c>
    </row>
    <row r="10" spans="1:10" x14ac:dyDescent="0.2">
      <c r="A10" t="s">
        <v>23</v>
      </c>
      <c r="F10" s="12">
        <f t="shared" si="0"/>
        <v>0.4</v>
      </c>
      <c r="G10" s="12">
        <f t="shared" si="1"/>
        <v>2.8239999999999998</v>
      </c>
      <c r="H10" s="12">
        <f t="shared" si="2"/>
        <v>3.210666666666667</v>
      </c>
      <c r="I10" s="12">
        <f t="shared" si="3"/>
        <v>2.8271656430676186</v>
      </c>
      <c r="J10" s="12">
        <f t="shared" si="4"/>
        <v>3.2200408721509834</v>
      </c>
    </row>
    <row r="11" spans="1:10" x14ac:dyDescent="0.2">
      <c r="F11" s="12">
        <f t="shared" si="0"/>
        <v>0.5</v>
      </c>
      <c r="G11" s="12">
        <f t="shared" si="1"/>
        <v>3.1875</v>
      </c>
      <c r="H11" s="12">
        <f t="shared" si="2"/>
        <v>2.8958333333333335</v>
      </c>
      <c r="I11" s="12">
        <f t="shared" si="3"/>
        <v>3.1964568599777148</v>
      </c>
      <c r="J11" s="12">
        <f t="shared" si="4"/>
        <v>2.9184779569498769</v>
      </c>
    </row>
  </sheetData>
  <mergeCells count="2">
    <mergeCell ref="G4:H4"/>
    <mergeCell ref="I4:J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49" r:id="rId3">
          <objectPr defaultSize="0" autoPict="0" r:id="rId4">
            <anchor moveWithCells="1">
              <from>
                <xdr:col>0</xdr:col>
                <xdr:colOff>127000</xdr:colOff>
                <xdr:row>2</xdr:row>
                <xdr:rowOff>88900</xdr:rowOff>
              </from>
              <to>
                <xdr:col>3</xdr:col>
                <xdr:colOff>330200</xdr:colOff>
                <xdr:row>8</xdr:row>
                <xdr:rowOff>25400</xdr:rowOff>
              </to>
            </anchor>
          </objectPr>
        </oleObject>
      </mc:Choice>
      <mc:Fallback>
        <oleObject progId="Equation.DSMT4" shapeId="2049" r:id="rId3"/>
      </mc:Fallback>
    </mc:AlternateContent>
    <mc:AlternateContent xmlns:mc="http://schemas.openxmlformats.org/markup-compatibility/2006">
      <mc:Choice Requires="x14">
        <oleObject progId="Equation.DSMT4" shapeId="2050" r:id="rId5">
          <objectPr defaultSize="0" autoPict="0" r:id="rId6">
            <anchor moveWithCells="1">
              <from>
                <xdr:col>0</xdr:col>
                <xdr:colOff>63500</xdr:colOff>
                <xdr:row>10</xdr:row>
                <xdr:rowOff>25400</xdr:rowOff>
              </from>
              <to>
                <xdr:col>4</xdr:col>
                <xdr:colOff>292100</xdr:colOff>
                <xdr:row>15</xdr:row>
                <xdr:rowOff>177800</xdr:rowOff>
              </to>
            </anchor>
          </objectPr>
        </oleObject>
      </mc:Choice>
      <mc:Fallback>
        <oleObject progId="Equation.DSMT4" shapeId="2050" r:id="rId5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64C5-F349-1142-AB0B-05D13724D931}">
  <dimension ref="A1:N16"/>
  <sheetViews>
    <sheetView workbookViewId="0">
      <selection activeCell="I21" sqref="I21"/>
    </sheetView>
  </sheetViews>
  <sheetFormatPr baseColWidth="10" defaultRowHeight="15" x14ac:dyDescent="0.2"/>
  <sheetData>
    <row r="1" spans="1:14" x14ac:dyDescent="0.2">
      <c r="A1" t="s">
        <v>17</v>
      </c>
    </row>
    <row r="4" spans="1:14" x14ac:dyDescent="0.2">
      <c r="M4" s="47" t="s">
        <v>18</v>
      </c>
      <c r="N4" s="47"/>
    </row>
    <row r="5" spans="1:14" x14ac:dyDescent="0.2">
      <c r="L5" s="34" t="s">
        <v>20</v>
      </c>
      <c r="M5" s="34" t="s">
        <v>22</v>
      </c>
      <c r="N5" s="34" t="s">
        <v>45</v>
      </c>
    </row>
    <row r="6" spans="1:14" x14ac:dyDescent="0.2">
      <c r="L6" s="12">
        <v>0</v>
      </c>
      <c r="M6" s="12">
        <f>-0.5 + ((5/4)*L6^2) - ((31/48)*L6^4) +((73/480)*L6^6)</f>
        <v>-0.5</v>
      </c>
      <c r="N6" s="12">
        <f>0.5 + L6 - ((1/4)*L6^2) - (L6^3)</f>
        <v>0.5</v>
      </c>
    </row>
    <row r="7" spans="1:14" x14ac:dyDescent="0.2">
      <c r="L7" s="12">
        <f>L6+0.1</f>
        <v>0.1</v>
      </c>
      <c r="M7" s="12">
        <f t="shared" ref="M7:M16" si="0">-0.5 + ((5/4)*L7^2) - ((31/48)*L7^4) +((73/480)*L7^6)</f>
        <v>-0.48756443124999999</v>
      </c>
      <c r="N7" s="12">
        <f t="shared" ref="N7:N16" si="1">0.5 + L7 - ((1/4)*L7^2) - (L7^3)</f>
        <v>0.59650000000000003</v>
      </c>
    </row>
    <row r="8" spans="1:14" x14ac:dyDescent="0.2">
      <c r="L8" s="12">
        <f t="shared" ref="L8:L16" si="2">L7+0.1</f>
        <v>0.2</v>
      </c>
      <c r="M8" s="12">
        <f t="shared" si="0"/>
        <v>-0.45102360000000002</v>
      </c>
      <c r="N8" s="12">
        <f t="shared" si="1"/>
        <v>0.68199999999999994</v>
      </c>
    </row>
    <row r="9" spans="1:14" x14ac:dyDescent="0.2">
      <c r="L9" s="12">
        <f t="shared" si="2"/>
        <v>0.30000000000000004</v>
      </c>
      <c r="M9" s="12">
        <f t="shared" si="0"/>
        <v>-0.39262038124999998</v>
      </c>
      <c r="N9" s="12">
        <f t="shared" si="1"/>
        <v>0.75050000000000006</v>
      </c>
    </row>
    <row r="10" spans="1:14" x14ac:dyDescent="0.2">
      <c r="A10" t="s">
        <v>23</v>
      </c>
      <c r="L10" s="12">
        <f t="shared" si="2"/>
        <v>0.4</v>
      </c>
      <c r="M10" s="12">
        <f t="shared" si="0"/>
        <v>-0.31591039999999992</v>
      </c>
      <c r="N10" s="12">
        <f t="shared" si="1"/>
        <v>0.79599999999999993</v>
      </c>
    </row>
    <row r="11" spans="1:14" x14ac:dyDescent="0.2">
      <c r="L11" s="12">
        <f t="shared" si="2"/>
        <v>0.5</v>
      </c>
      <c r="M11" s="12">
        <f t="shared" si="0"/>
        <v>-0.22548828125000001</v>
      </c>
      <c r="N11" s="12">
        <f t="shared" si="1"/>
        <v>0.8125</v>
      </c>
    </row>
    <row r="12" spans="1:14" x14ac:dyDescent="0.2">
      <c r="L12" s="12">
        <f t="shared" si="2"/>
        <v>0.6</v>
      </c>
      <c r="M12" s="12">
        <f t="shared" si="0"/>
        <v>-0.12660440000000003</v>
      </c>
      <c r="N12" s="12">
        <f t="shared" si="1"/>
        <v>0.79400000000000004</v>
      </c>
    </row>
    <row r="13" spans="1:14" x14ac:dyDescent="0.2">
      <c r="L13" s="12">
        <f t="shared" si="2"/>
        <v>0.7</v>
      </c>
      <c r="M13" s="12">
        <f t="shared" si="0"/>
        <v>-2.4672131250000028E-2</v>
      </c>
      <c r="N13" s="12">
        <f t="shared" si="1"/>
        <v>0.73449999999999993</v>
      </c>
    </row>
    <row r="14" spans="1:14" x14ac:dyDescent="0.2">
      <c r="L14" s="12">
        <f t="shared" si="2"/>
        <v>0.79999999999999993</v>
      </c>
      <c r="M14" s="12">
        <f t="shared" si="0"/>
        <v>7.5334399999999899E-2</v>
      </c>
      <c r="N14" s="12">
        <f t="shared" si="1"/>
        <v>0.628</v>
      </c>
    </row>
    <row r="15" spans="1:14" x14ac:dyDescent="0.2">
      <c r="L15" s="12">
        <f t="shared" si="2"/>
        <v>0.89999999999999991</v>
      </c>
      <c r="M15" s="12">
        <f t="shared" si="0"/>
        <v>0.16959206874999982</v>
      </c>
      <c r="N15" s="12">
        <f t="shared" si="1"/>
        <v>0.46850000000000025</v>
      </c>
    </row>
    <row r="16" spans="1:14" x14ac:dyDescent="0.2">
      <c r="L16" s="12">
        <f t="shared" si="2"/>
        <v>0.99999999999999989</v>
      </c>
      <c r="M16" s="12">
        <f t="shared" si="0"/>
        <v>0.25624999999999998</v>
      </c>
      <c r="N16" s="12">
        <f t="shared" si="1"/>
        <v>0.25000000000000033</v>
      </c>
    </row>
  </sheetData>
  <mergeCells count="1">
    <mergeCell ref="M4:N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91C8-610B-4D4F-A4ED-7743FD97CC6B}">
  <dimension ref="K4:Q11"/>
  <sheetViews>
    <sheetView topLeftCell="E14" workbookViewId="0">
      <selection activeCell="I38" sqref="I38"/>
    </sheetView>
  </sheetViews>
  <sheetFormatPr baseColWidth="10" defaultRowHeight="15" x14ac:dyDescent="0.2"/>
  <cols>
    <col min="13" max="13" width="19.33203125" customWidth="1"/>
    <col min="15" max="15" width="20.83203125" customWidth="1"/>
  </cols>
  <sheetData>
    <row r="4" spans="11:17" x14ac:dyDescent="0.2">
      <c r="L4" s="48" t="s">
        <v>0</v>
      </c>
      <c r="M4" s="48"/>
      <c r="N4" s="48" t="s">
        <v>44</v>
      </c>
      <c r="O4" s="49"/>
      <c r="P4" s="47" t="s">
        <v>19</v>
      </c>
      <c r="Q4" s="47"/>
    </row>
    <row r="5" spans="11:17" ht="23" customHeight="1" x14ac:dyDescent="0.2">
      <c r="K5" s="34" t="s">
        <v>20</v>
      </c>
      <c r="L5" s="34" t="s">
        <v>43</v>
      </c>
      <c r="M5" s="34"/>
      <c r="N5" s="34" t="s">
        <v>43</v>
      </c>
      <c r="O5" s="34"/>
      <c r="P5" s="34" t="s">
        <v>21</v>
      </c>
      <c r="Q5" s="34" t="s">
        <v>22</v>
      </c>
    </row>
    <row r="6" spans="11:17" x14ac:dyDescent="0.2">
      <c r="K6" s="12">
        <v>0</v>
      </c>
      <c r="L6" s="12"/>
      <c r="M6" s="12">
        <v>1</v>
      </c>
      <c r="N6" s="12"/>
      <c r="O6" s="12">
        <v>1</v>
      </c>
      <c r="P6" s="12">
        <f>EXP(4*K6)*(COS(K6)+(2*SIN(K6)))</f>
        <v>1</v>
      </c>
      <c r="Q6" s="12">
        <f>EXP(4*K6)*(COS(K6)-(3*SIN(K6)))</f>
        <v>1</v>
      </c>
    </row>
    <row r="7" spans="11:17" x14ac:dyDescent="0.2">
      <c r="K7" s="12">
        <f>K6+0.1</f>
        <v>0.1</v>
      </c>
      <c r="L7" s="12">
        <f>(5*M6)+O6</f>
        <v>6</v>
      </c>
      <c r="M7" s="12">
        <f>M6+(0.1*L7)</f>
        <v>1.6</v>
      </c>
      <c r="N7" s="12">
        <f>(-2*M6)+(3*O6)</f>
        <v>1</v>
      </c>
      <c r="O7" s="12">
        <f>O6+(0.1*N7)</f>
        <v>1.1000000000000001</v>
      </c>
      <c r="P7" s="12">
        <f t="shared" ref="P7:P11" si="0">EXP(4*K7)*(COS(K7)+(2*SIN(K7)))</f>
        <v>1.7822397012249942</v>
      </c>
      <c r="Q7" s="12">
        <f t="shared" ref="Q7:Q11" si="1">EXP(4*K7)*(COS(K7)-(3*SIN(K7)))</f>
        <v>1.0375699182067473</v>
      </c>
    </row>
    <row r="8" spans="11:17" x14ac:dyDescent="0.2">
      <c r="K8" s="12">
        <f t="shared" ref="K8:K11" si="2">K7+0.1</f>
        <v>0.2</v>
      </c>
      <c r="L8" s="12">
        <f t="shared" ref="L8:L11" si="3">(5*M7)+O7</f>
        <v>9.1</v>
      </c>
      <c r="M8" s="12">
        <f t="shared" ref="M8:M11" si="4">M7+(0.1*L8)</f>
        <v>2.5100000000000002</v>
      </c>
      <c r="N8" s="12">
        <f t="shared" ref="N8:N11" si="5">(-2*M7)+(3*O7)</f>
        <v>0.10000000000000009</v>
      </c>
      <c r="O8" s="12">
        <f t="shared" ref="O8:O11" si="6">O7+(0.1*N8)</f>
        <v>1.1100000000000001</v>
      </c>
      <c r="P8" s="12">
        <f t="shared" si="0"/>
        <v>3.0654717354744681</v>
      </c>
      <c r="Q8" s="12">
        <f t="shared" si="1"/>
        <v>0.85473810087137914</v>
      </c>
    </row>
    <row r="9" spans="11:17" x14ac:dyDescent="0.2">
      <c r="K9" s="12">
        <f t="shared" si="2"/>
        <v>0.30000000000000004</v>
      </c>
      <c r="L9" s="12">
        <f t="shared" si="3"/>
        <v>13.66</v>
      </c>
      <c r="M9" s="12">
        <f t="shared" si="4"/>
        <v>3.8760000000000003</v>
      </c>
      <c r="N9" s="12">
        <f t="shared" si="5"/>
        <v>-1.6900000000000004</v>
      </c>
      <c r="O9" s="12">
        <f t="shared" si="6"/>
        <v>0.94100000000000006</v>
      </c>
      <c r="P9" s="12">
        <f t="shared" si="0"/>
        <v>5.1341521227474756</v>
      </c>
      <c r="Q9" s="12">
        <f t="shared" si="1"/>
        <v>0.22834392701289793</v>
      </c>
    </row>
    <row r="10" spans="11:17" x14ac:dyDescent="0.2">
      <c r="K10" s="12">
        <f t="shared" si="2"/>
        <v>0.4</v>
      </c>
      <c r="L10" s="12">
        <f t="shared" si="3"/>
        <v>20.321000000000002</v>
      </c>
      <c r="M10" s="12">
        <f t="shared" si="4"/>
        <v>5.908100000000001</v>
      </c>
      <c r="N10" s="12">
        <f t="shared" si="5"/>
        <v>-4.9290000000000003</v>
      </c>
      <c r="O10" s="12">
        <f t="shared" si="6"/>
        <v>0.4481</v>
      </c>
      <c r="P10" s="12">
        <f t="shared" si="0"/>
        <v>8.4196483203597694</v>
      </c>
      <c r="Q10" s="12">
        <f t="shared" si="1"/>
        <v>-1.2243600601849414</v>
      </c>
    </row>
    <row r="11" spans="11:17" x14ac:dyDescent="0.2">
      <c r="K11" s="12">
        <f t="shared" si="2"/>
        <v>0.5</v>
      </c>
      <c r="L11" s="12">
        <f t="shared" si="3"/>
        <v>29.988600000000005</v>
      </c>
      <c r="M11" s="12">
        <f t="shared" si="4"/>
        <v>8.9069600000000015</v>
      </c>
      <c r="N11" s="12">
        <f t="shared" si="5"/>
        <v>-10.471900000000002</v>
      </c>
      <c r="O11" s="12">
        <f t="shared" si="6"/>
        <v>-0.59909000000000034</v>
      </c>
      <c r="P11" s="12">
        <f t="shared" si="0"/>
        <v>13.569511181264239</v>
      </c>
      <c r="Q11" s="12">
        <f t="shared" si="1"/>
        <v>-4.1429998187682511</v>
      </c>
    </row>
  </sheetData>
  <mergeCells count="3">
    <mergeCell ref="P4:Q4"/>
    <mergeCell ref="L4:M4"/>
    <mergeCell ref="N4:O4"/>
  </mergeCells>
  <pageMargins left="0.7" right="0.7" top="0.75" bottom="0.75" header="0.3" footer="0.3"/>
  <ignoredErrors>
    <ignoredError sqref="N7:N1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C21A-5366-394F-AB81-450566D1797F}">
  <dimension ref="D2:O15"/>
  <sheetViews>
    <sheetView showGridLines="0" topLeftCell="J1" zoomScale="115" zoomScaleNormal="115" workbookViewId="0">
      <selection activeCell="U14" sqref="U14"/>
    </sheetView>
  </sheetViews>
  <sheetFormatPr baseColWidth="10" defaultColWidth="9.1640625" defaultRowHeight="15" x14ac:dyDescent="0.2"/>
  <cols>
    <col min="4" max="4" width="2" bestFit="1" customWidth="1"/>
    <col min="5" max="5" width="4.33203125" bestFit="1" customWidth="1"/>
    <col min="6" max="6" width="7" bestFit="1" customWidth="1"/>
    <col min="7" max="7" width="12.6640625" bestFit="1" customWidth="1"/>
    <col min="14" max="14" width="30.5" customWidth="1"/>
    <col min="15" max="15" width="30.33203125" customWidth="1"/>
  </cols>
  <sheetData>
    <row r="2" spans="4:15" x14ac:dyDescent="0.2">
      <c r="M2" t="s">
        <v>24</v>
      </c>
      <c r="N2">
        <v>0.1</v>
      </c>
    </row>
    <row r="4" spans="4:15" ht="49" customHeight="1" x14ac:dyDescent="0.2">
      <c r="D4" s="1" t="s">
        <v>3</v>
      </c>
      <c r="E4" s="1" t="s">
        <v>0</v>
      </c>
      <c r="F4" s="1" t="s">
        <v>1</v>
      </c>
      <c r="G4" s="1" t="s">
        <v>2</v>
      </c>
      <c r="L4" s="12" t="s">
        <v>3</v>
      </c>
      <c r="M4" s="12" t="s">
        <v>20</v>
      </c>
      <c r="N4" s="21"/>
      <c r="O4" s="21"/>
    </row>
    <row r="5" spans="4:15" x14ac:dyDescent="0.2">
      <c r="D5" s="1">
        <v>0</v>
      </c>
      <c r="E5" s="7">
        <v>0</v>
      </c>
      <c r="F5" s="7">
        <v>1</v>
      </c>
      <c r="G5" s="1">
        <f>-E5^2+(3*EXP(E5^2/2))-2</f>
        <v>1</v>
      </c>
      <c r="L5" s="12">
        <v>0</v>
      </c>
      <c r="M5" s="35">
        <v>0</v>
      </c>
      <c r="N5" s="36">
        <f>-0.5</f>
        <v>-0.5</v>
      </c>
      <c r="O5" s="12">
        <f>0.5</f>
        <v>0.5</v>
      </c>
    </row>
    <row r="6" spans="4:15" x14ac:dyDescent="0.2">
      <c r="D6" s="1">
        <v>1</v>
      </c>
      <c r="E6" s="1">
        <v>0.1</v>
      </c>
      <c r="F6" s="1">
        <f>F5+(0.1*((E5*F5)+E5^3))</f>
        <v>1</v>
      </c>
      <c r="G6" s="1">
        <f>-E6^2+(3*EXP(E6^2/2))-2</f>
        <v>1.0250375625782029</v>
      </c>
      <c r="L6" s="12">
        <v>1</v>
      </c>
      <c r="M6" s="12">
        <f>M5+0.1</f>
        <v>0.1</v>
      </c>
      <c r="N6" s="12">
        <f>N5+((0.1)*(SIN(2*M5)-(M5*N5)))</f>
        <v>-0.5</v>
      </c>
      <c r="O6" s="12">
        <f>O5+((0.1)*(COS(2*M5)-(M5*O5)))</f>
        <v>0.6</v>
      </c>
    </row>
    <row r="7" spans="4:15" x14ac:dyDescent="0.2">
      <c r="D7" s="1">
        <v>2</v>
      </c>
      <c r="E7" s="1">
        <v>0.2</v>
      </c>
      <c r="F7" s="1">
        <f t="shared" ref="F7:F10" si="0">F6+(0.1*((E6*F6)+E6^3))</f>
        <v>1.0101</v>
      </c>
      <c r="G7" s="1">
        <f t="shared" ref="G7:G10" si="1">-E7^2+(3*EXP(E7^2/2))-2</f>
        <v>1.1006040200802674</v>
      </c>
      <c r="L7" s="12">
        <v>2</v>
      </c>
      <c r="M7" s="12">
        <f t="shared" ref="M7:M14" si="2">M6+0.1</f>
        <v>0.2</v>
      </c>
      <c r="N7" s="12">
        <f t="shared" ref="N7:N14" si="3">N6+((0.1)*(SIN(2*M6)-(M6*N6)))</f>
        <v>-0.4751330669204939</v>
      </c>
      <c r="O7" s="12">
        <f t="shared" ref="O7:O14" si="4">O6+((0.1)*(COS(2*M6)-(M6*O6)))</f>
        <v>0.69200665778412418</v>
      </c>
    </row>
    <row r="8" spans="4:15" x14ac:dyDescent="0.2">
      <c r="D8" s="1">
        <v>3</v>
      </c>
      <c r="E8" s="1">
        <v>0.3</v>
      </c>
      <c r="F8" s="1">
        <f t="shared" si="0"/>
        <v>1.031102</v>
      </c>
      <c r="G8" s="1">
        <f t="shared" si="1"/>
        <v>1.2280835797261505</v>
      </c>
      <c r="L8" s="12">
        <v>3</v>
      </c>
      <c r="M8" s="12">
        <f t="shared" si="2"/>
        <v>0.30000000000000004</v>
      </c>
      <c r="N8" s="12">
        <f t="shared" si="3"/>
        <v>-0.42668857135121896</v>
      </c>
      <c r="O8" s="12">
        <f t="shared" si="4"/>
        <v>0.7702726240287302</v>
      </c>
    </row>
    <row r="9" spans="4:15" x14ac:dyDescent="0.2">
      <c r="D9" s="1">
        <v>4</v>
      </c>
      <c r="E9" s="1">
        <v>0.4</v>
      </c>
      <c r="F9" s="1">
        <f t="shared" si="0"/>
        <v>1.0647350600000001</v>
      </c>
      <c r="G9" s="1">
        <f t="shared" si="1"/>
        <v>1.4098612030248763</v>
      </c>
      <c r="L9" s="12">
        <v>4</v>
      </c>
      <c r="M9" s="12">
        <f t="shared" si="2"/>
        <v>0.4</v>
      </c>
      <c r="N9" s="12">
        <f t="shared" si="3"/>
        <v>-0.35742366687117882</v>
      </c>
      <c r="O9" s="12">
        <f t="shared" si="4"/>
        <v>0.8296980067988361</v>
      </c>
    </row>
    <row r="10" spans="4:15" x14ac:dyDescent="0.2">
      <c r="D10" s="1">
        <v>5</v>
      </c>
      <c r="E10" s="1">
        <v>0.5</v>
      </c>
      <c r="F10" s="1">
        <f t="shared" si="0"/>
        <v>1.1137244624</v>
      </c>
      <c r="G10" s="1">
        <f t="shared" si="1"/>
        <v>1.6494453592004792</v>
      </c>
      <c r="L10" s="12">
        <v>5</v>
      </c>
      <c r="M10" s="12">
        <f t="shared" si="2"/>
        <v>0.5</v>
      </c>
      <c r="N10" s="12">
        <f t="shared" si="3"/>
        <v>-0.27139111110637937</v>
      </c>
      <c r="O10" s="12">
        <f t="shared" si="4"/>
        <v>0.86618075746159917</v>
      </c>
    </row>
    <row r="11" spans="4:15" x14ac:dyDescent="0.2">
      <c r="L11" s="12">
        <v>6</v>
      </c>
      <c r="M11" s="12">
        <f t="shared" si="2"/>
        <v>0.6</v>
      </c>
      <c r="N11" s="12">
        <f t="shared" si="3"/>
        <v>-0.17367445707027074</v>
      </c>
      <c r="O11" s="12">
        <f t="shared" si="4"/>
        <v>0.87690195017533323</v>
      </c>
    </row>
    <row r="12" spans="4:15" x14ac:dyDescent="0.2">
      <c r="L12" s="12">
        <v>7</v>
      </c>
      <c r="M12" s="12">
        <f t="shared" si="2"/>
        <v>0.7</v>
      </c>
      <c r="N12" s="12">
        <f t="shared" si="3"/>
        <v>-7.0050081049331858E-2</v>
      </c>
      <c r="O12" s="12">
        <f t="shared" si="4"/>
        <v>0.86052360861248056</v>
      </c>
    </row>
    <row r="13" spans="4:15" x14ac:dyDescent="0.2">
      <c r="L13" s="12">
        <v>8</v>
      </c>
      <c r="M13" s="12">
        <f t="shared" si="2"/>
        <v>0.79999999999999993</v>
      </c>
      <c r="N13" s="12">
        <f t="shared" si="3"/>
        <v>3.3398397622967396E-2</v>
      </c>
      <c r="O13" s="12">
        <f t="shared" si="4"/>
        <v>0.817283670299631</v>
      </c>
    </row>
    <row r="14" spans="4:15" x14ac:dyDescent="0.2">
      <c r="L14" s="12">
        <v>9</v>
      </c>
      <c r="M14" s="12">
        <f t="shared" si="2"/>
        <v>0.89999999999999991</v>
      </c>
      <c r="N14" s="12">
        <f t="shared" si="3"/>
        <v>0.13068388611728055</v>
      </c>
      <c r="O14" s="12">
        <f t="shared" si="4"/>
        <v>0.74898102444553172</v>
      </c>
    </row>
    <row r="15" spans="4:15" x14ac:dyDescent="0.2">
      <c r="L15" s="12">
        <v>10</v>
      </c>
      <c r="M15" s="12">
        <f t="shared" ref="M15" si="5">M14+0.1</f>
        <v>0.99999999999999989</v>
      </c>
      <c r="N15" s="12">
        <f t="shared" ref="N15" si="6">N14+((0.1)*(SIN(2*M14)-(M14*N14)))</f>
        <v>0.21630709945454485</v>
      </c>
      <c r="O15" s="12">
        <f t="shared" ref="O15" si="7">O14+((0.1)*(COS(2*M14)-(M14*O14)))</f>
        <v>0.65885252277612516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4B9EB-5E66-0943-B683-6342ECD3C4F7}">
  <dimension ref="D2:Q10"/>
  <sheetViews>
    <sheetView showGridLines="0" tabSelected="1" topLeftCell="K6" zoomScale="115" zoomScaleNormal="115" workbookViewId="0">
      <selection activeCell="T18" sqref="T18"/>
    </sheetView>
  </sheetViews>
  <sheetFormatPr baseColWidth="10" defaultColWidth="9.1640625" defaultRowHeight="15" x14ac:dyDescent="0.2"/>
  <cols>
    <col min="4" max="4" width="2" bestFit="1" customWidth="1"/>
    <col min="5" max="5" width="4.33203125" bestFit="1" customWidth="1"/>
    <col min="6" max="6" width="7" bestFit="1" customWidth="1"/>
    <col min="7" max="7" width="12.6640625" bestFit="1" customWidth="1"/>
    <col min="14" max="15" width="25.5" customWidth="1"/>
    <col min="16" max="17" width="24.83203125" customWidth="1"/>
  </cols>
  <sheetData>
    <row r="2" spans="4:17" x14ac:dyDescent="0.2">
      <c r="M2" t="s">
        <v>24</v>
      </c>
      <c r="N2">
        <v>0.1</v>
      </c>
    </row>
    <row r="4" spans="4:17" ht="49" customHeight="1" x14ac:dyDescent="0.2">
      <c r="D4" s="1" t="s">
        <v>3</v>
      </c>
      <c r="E4" s="1" t="s">
        <v>0</v>
      </c>
      <c r="F4" s="1" t="s">
        <v>1</v>
      </c>
      <c r="G4" s="1" t="s">
        <v>2</v>
      </c>
      <c r="L4" s="40" t="s">
        <v>3</v>
      </c>
      <c r="M4" s="40" t="s">
        <v>0</v>
      </c>
      <c r="N4" s="41"/>
      <c r="O4" s="44"/>
      <c r="P4" s="50"/>
      <c r="Q4" s="43"/>
    </row>
    <row r="5" spans="4:17" x14ac:dyDescent="0.2">
      <c r="D5" s="1">
        <v>0</v>
      </c>
      <c r="E5" s="7">
        <v>0</v>
      </c>
      <c r="F5" s="7">
        <v>1</v>
      </c>
      <c r="G5" s="1">
        <f>-E5^2+(3*EXP(E5^2/2))-2</f>
        <v>1</v>
      </c>
      <c r="L5" s="40">
        <v>0</v>
      </c>
      <c r="M5" s="42">
        <v>0</v>
      </c>
      <c r="N5" s="42">
        <v>0.1</v>
      </c>
      <c r="O5" s="42">
        <v>0.2</v>
      </c>
      <c r="P5" s="40">
        <f>0.1*EXP(2*M5)</f>
        <v>0.1</v>
      </c>
      <c r="Q5" s="40">
        <v>0.2</v>
      </c>
    </row>
    <row r="6" spans="4:17" x14ac:dyDescent="0.2">
      <c r="D6" s="1">
        <v>1</v>
      </c>
      <c r="E6" s="1">
        <v>0.1</v>
      </c>
      <c r="F6" s="1">
        <f>F5+(0.1*((E5*F5)+E5^3))</f>
        <v>1</v>
      </c>
      <c r="G6" s="1">
        <f>-E6^2+(3*EXP(E6^2/2))-2</f>
        <v>1.0250375625782029</v>
      </c>
      <c r="L6" s="40">
        <v>1</v>
      </c>
      <c r="M6" s="40">
        <f>M5+0.1</f>
        <v>0.1</v>
      </c>
      <c r="N6" s="40">
        <f>N5+($N$2*O5)</f>
        <v>0.12000000000000001</v>
      </c>
      <c r="O6" s="40">
        <f>O5+($N$2*((2*N5)+O5))</f>
        <v>0.24000000000000002</v>
      </c>
      <c r="P6" s="40">
        <f>0.5*((M6^2) + 0.2)</f>
        <v>0.10500000000000001</v>
      </c>
      <c r="Q6" s="40">
        <f>-2*M6 + 2.2*EXP(M6) - 2</f>
        <v>0.23137601976642497</v>
      </c>
    </row>
    <row r="7" spans="4:17" x14ac:dyDescent="0.2">
      <c r="D7" s="1">
        <v>2</v>
      </c>
      <c r="E7" s="1">
        <v>0.2</v>
      </c>
      <c r="F7" s="1">
        <f t="shared" ref="F7:F10" si="0">F6+(0.1*((E6*F6)+E6^3))</f>
        <v>1.0101</v>
      </c>
      <c r="G7" s="1">
        <f t="shared" ref="G7:G10" si="1">-E7^2+(3*EXP(E7^2/2))-2</f>
        <v>1.1006040200802674</v>
      </c>
      <c r="L7" s="40">
        <v>2</v>
      </c>
      <c r="M7" s="40">
        <f t="shared" ref="M7:M9" si="2">M6+0.1</f>
        <v>0.2</v>
      </c>
      <c r="N7" s="40">
        <f t="shared" ref="N7:N9" si="3">N6+($N$2*O6)</f>
        <v>0.14400000000000002</v>
      </c>
      <c r="O7" s="40">
        <f t="shared" ref="O7:O9" si="4">O6+($N$2*((2*N6)+O6))</f>
        <v>0.28800000000000003</v>
      </c>
      <c r="P7" s="40">
        <f t="shared" ref="P7:P10" si="5">0.5*((M7^2) + 0.2)</f>
        <v>0.12000000000000001</v>
      </c>
      <c r="Q7" s="40">
        <f t="shared" ref="Q7:Q10" si="6">-2*M7 + 2.2*EXP(M7) - 2</f>
        <v>0.2870860679523739</v>
      </c>
    </row>
    <row r="8" spans="4:17" x14ac:dyDescent="0.2">
      <c r="D8" s="1">
        <v>3</v>
      </c>
      <c r="E8" s="1">
        <v>0.3</v>
      </c>
      <c r="F8" s="1">
        <f t="shared" si="0"/>
        <v>1.031102</v>
      </c>
      <c r="G8" s="1">
        <f t="shared" si="1"/>
        <v>1.2280835797261505</v>
      </c>
      <c r="L8" s="40">
        <v>3</v>
      </c>
      <c r="M8" s="40">
        <f t="shared" si="2"/>
        <v>0.30000000000000004</v>
      </c>
      <c r="N8" s="40">
        <f t="shared" si="3"/>
        <v>0.17280000000000001</v>
      </c>
      <c r="O8" s="40">
        <f t="shared" si="4"/>
        <v>0.34560000000000002</v>
      </c>
      <c r="P8" s="40">
        <f t="shared" si="5"/>
        <v>0.14500000000000002</v>
      </c>
      <c r="Q8" s="40">
        <f t="shared" si="6"/>
        <v>0.36968937666720736</v>
      </c>
    </row>
    <row r="9" spans="4:17" x14ac:dyDescent="0.2">
      <c r="D9" s="1">
        <v>4</v>
      </c>
      <c r="E9" s="1">
        <v>0.4</v>
      </c>
      <c r="F9" s="1">
        <f t="shared" si="0"/>
        <v>1.0647350600000001</v>
      </c>
      <c r="G9" s="1">
        <f t="shared" si="1"/>
        <v>1.4098612030248763</v>
      </c>
      <c r="L9" s="40">
        <v>4</v>
      </c>
      <c r="M9" s="40">
        <f t="shared" si="2"/>
        <v>0.4</v>
      </c>
      <c r="N9" s="40">
        <f t="shared" si="3"/>
        <v>0.20736000000000002</v>
      </c>
      <c r="O9" s="40">
        <f t="shared" si="4"/>
        <v>0.41472000000000003</v>
      </c>
      <c r="P9" s="40">
        <f t="shared" si="5"/>
        <v>0.18000000000000002</v>
      </c>
      <c r="Q9" s="40">
        <f t="shared" si="6"/>
        <v>0.48201433481079459</v>
      </c>
    </row>
    <row r="10" spans="4:17" x14ac:dyDescent="0.2">
      <c r="D10" s="1">
        <v>5</v>
      </c>
      <c r="E10" s="1">
        <v>0.5</v>
      </c>
      <c r="F10" s="1">
        <f t="shared" si="0"/>
        <v>1.1137244624</v>
      </c>
      <c r="G10" s="1">
        <f t="shared" si="1"/>
        <v>1.6494453592004792</v>
      </c>
      <c r="L10" s="40">
        <v>5</v>
      </c>
      <c r="M10" s="40">
        <f t="shared" ref="M10" si="7">M9+0.1</f>
        <v>0.5</v>
      </c>
      <c r="N10" s="40">
        <f t="shared" ref="N10" si="8">N9+($N$2*O9)</f>
        <v>0.24883200000000003</v>
      </c>
      <c r="O10" s="40">
        <f t="shared" ref="O10" si="9">O9+($N$2*((2*N9)+O9))</f>
        <v>0.49766400000000005</v>
      </c>
      <c r="P10" s="40">
        <f t="shared" si="5"/>
        <v>0.22500000000000001</v>
      </c>
      <c r="Q10" s="40">
        <f t="shared" si="6"/>
        <v>0.62718679554028212</v>
      </c>
    </row>
  </sheetData>
  <pageMargins left="0.7" right="0.7" top="0.75" bottom="0.75" header="0.3" footer="0.3"/>
  <pageSetup paperSize="9" orientation="portrait" r:id="rId1"/>
  <ignoredErrors>
    <ignoredError sqref="P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8"/>
  <sheetViews>
    <sheetView showGridLines="0" zoomScale="130" zoomScaleNormal="130" workbookViewId="0">
      <selection activeCell="D12" sqref="D12"/>
    </sheetView>
  </sheetViews>
  <sheetFormatPr baseColWidth="10" defaultRowHeight="15" x14ac:dyDescent="0.2"/>
  <cols>
    <col min="2" max="2" width="2" bestFit="1" customWidth="1"/>
    <col min="3" max="3" width="4.1640625" bestFit="1" customWidth="1"/>
    <col min="5" max="5" width="23.33203125" customWidth="1"/>
    <col min="6" max="6" width="18" customWidth="1"/>
    <col min="7" max="7" width="27" customWidth="1"/>
    <col min="8" max="8" width="20" customWidth="1"/>
  </cols>
  <sheetData>
    <row r="3" spans="2:8" ht="40" customHeight="1" x14ac:dyDescent="0.2">
      <c r="B3" s="12" t="s">
        <v>3</v>
      </c>
      <c r="C3" s="12" t="s">
        <v>0</v>
      </c>
      <c r="D3" s="12" t="s">
        <v>15</v>
      </c>
      <c r="E3" s="12"/>
      <c r="F3" s="12" t="s">
        <v>16</v>
      </c>
      <c r="G3" s="12"/>
      <c r="H3" s="12"/>
    </row>
    <row r="4" spans="2:8" x14ac:dyDescent="0.2">
      <c r="B4" s="12">
        <v>0</v>
      </c>
      <c r="C4" s="13">
        <v>0</v>
      </c>
      <c r="D4" s="14"/>
      <c r="E4" s="14"/>
      <c r="F4" s="14"/>
      <c r="G4" s="13">
        <v>2</v>
      </c>
      <c r="H4" s="15">
        <f>2*EXP((0.125*C4+1.25)*C4)</f>
        <v>2</v>
      </c>
    </row>
    <row r="5" spans="2:8" x14ac:dyDescent="0.2">
      <c r="B5" s="12">
        <v>1</v>
      </c>
      <c r="C5" s="12">
        <f>C4+0.2</f>
        <v>0.2</v>
      </c>
      <c r="D5" s="12">
        <f>0.25*(5+C4)*G4</f>
        <v>2.5</v>
      </c>
      <c r="E5" s="12">
        <f>G4+(0.2*D5)</f>
        <v>2.5</v>
      </c>
      <c r="F5" s="12">
        <f>0.25*(5+C5)*E5</f>
        <v>3.25</v>
      </c>
      <c r="G5" s="16">
        <f>G4+((0.2/2)*(D5+F5))</f>
        <v>2.5750000000000002</v>
      </c>
      <c r="H5" s="15">
        <f t="shared" ref="H5:H8" si="0">2*EXP((0.125*C5+1.25)*C5)</f>
        <v>2.5809232417457797</v>
      </c>
    </row>
    <row r="6" spans="2:8" x14ac:dyDescent="0.2">
      <c r="B6" s="12">
        <v>2</v>
      </c>
      <c r="C6" s="12">
        <f t="shared" ref="C6:C8" si="1">C5+0.2</f>
        <v>0.4</v>
      </c>
      <c r="D6" s="12">
        <f t="shared" ref="D6:D8" si="2">0.25*(5+C5)*G5</f>
        <v>3.3475000000000001</v>
      </c>
      <c r="E6" s="12">
        <f t="shared" ref="E6:E8" si="3">G5+(0.2*D6)</f>
        <v>3.2445000000000004</v>
      </c>
      <c r="F6" s="12">
        <f t="shared" ref="F6:F8" si="4">0.25*(5+C6)*E6</f>
        <v>4.3800750000000006</v>
      </c>
      <c r="G6" s="16">
        <f t="shared" ref="G6:G8" si="5">G5+((0.2/2)*(D6+F6))</f>
        <v>3.3477575000000002</v>
      </c>
      <c r="H6" s="15">
        <f t="shared" si="0"/>
        <v>3.3640552993977728</v>
      </c>
    </row>
    <row r="7" spans="2:8" x14ac:dyDescent="0.2">
      <c r="B7" s="12">
        <v>3</v>
      </c>
      <c r="C7" s="12">
        <f t="shared" si="1"/>
        <v>0.60000000000000009</v>
      </c>
      <c r="D7" s="12">
        <f t="shared" si="2"/>
        <v>4.5194726250000006</v>
      </c>
      <c r="E7" s="12">
        <f t="shared" si="3"/>
        <v>4.2516520250000003</v>
      </c>
      <c r="F7" s="12">
        <f t="shared" si="4"/>
        <v>5.9523128349999999</v>
      </c>
      <c r="G7" s="16">
        <f t="shared" si="5"/>
        <v>4.3949360459999998</v>
      </c>
      <c r="H7" s="15">
        <f t="shared" si="0"/>
        <v>4.4288819936081492</v>
      </c>
    </row>
    <row r="8" spans="2:8" x14ac:dyDescent="0.2">
      <c r="B8" s="12">
        <v>4</v>
      </c>
      <c r="C8" s="12">
        <f t="shared" si="1"/>
        <v>0.8</v>
      </c>
      <c r="D8" s="12">
        <f t="shared" si="2"/>
        <v>6.1529104643999997</v>
      </c>
      <c r="E8" s="12">
        <f t="shared" si="3"/>
        <v>5.6255181388799995</v>
      </c>
      <c r="F8" s="12">
        <f t="shared" si="4"/>
        <v>8.157001301375999</v>
      </c>
      <c r="G8" s="16">
        <f t="shared" si="5"/>
        <v>5.8259272225776</v>
      </c>
      <c r="H8" s="15">
        <f t="shared" si="0"/>
        <v>5.8893591021310483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2FB6A-FA7E-EB48-A6CB-4D5EAD9457F9}">
  <dimension ref="B1:H9"/>
  <sheetViews>
    <sheetView showGridLines="0" zoomScale="130" zoomScaleNormal="130" workbookViewId="0">
      <selection activeCell="F5" sqref="F5"/>
    </sheetView>
  </sheetViews>
  <sheetFormatPr baseColWidth="10" defaultRowHeight="15" x14ac:dyDescent="0.2"/>
  <cols>
    <col min="2" max="2" width="2" bestFit="1" customWidth="1"/>
    <col min="3" max="3" width="4.1640625" bestFit="1" customWidth="1"/>
    <col min="5" max="5" width="23.33203125" customWidth="1"/>
    <col min="6" max="6" width="18" customWidth="1"/>
    <col min="7" max="7" width="27" customWidth="1"/>
    <col min="8" max="8" width="27.6640625" customWidth="1"/>
  </cols>
  <sheetData>
    <row r="1" spans="2:8" x14ac:dyDescent="0.2">
      <c r="C1" t="s">
        <v>25</v>
      </c>
      <c r="D1" s="18">
        <v>0.5</v>
      </c>
      <c r="E1" s="17" t="s">
        <v>27</v>
      </c>
      <c r="F1" s="18">
        <v>0.1</v>
      </c>
    </row>
    <row r="2" spans="2:8" x14ac:dyDescent="0.2">
      <c r="C2" t="s">
        <v>26</v>
      </c>
      <c r="D2" s="18">
        <v>1</v>
      </c>
    </row>
    <row r="3" spans="2:8" ht="40" customHeight="1" x14ac:dyDescent="0.2">
      <c r="B3" s="12" t="s">
        <v>3</v>
      </c>
      <c r="C3" s="12" t="s">
        <v>0</v>
      </c>
      <c r="D3" s="12" t="s">
        <v>15</v>
      </c>
      <c r="E3" s="12"/>
      <c r="F3" s="12" t="s">
        <v>16</v>
      </c>
      <c r="G3" s="12"/>
      <c r="H3" s="12"/>
    </row>
    <row r="4" spans="2:8" x14ac:dyDescent="0.2">
      <c r="B4" s="12">
        <v>0</v>
      </c>
      <c r="C4" s="13">
        <v>0.5</v>
      </c>
      <c r="D4" s="14"/>
      <c r="E4" s="14"/>
      <c r="F4" s="14"/>
      <c r="G4" s="13">
        <v>1</v>
      </c>
      <c r="H4" s="15">
        <f>(1.1682*EXP(C4^2))-0.5</f>
        <v>0.99999849177461941</v>
      </c>
    </row>
    <row r="5" spans="2:8" x14ac:dyDescent="0.2">
      <c r="B5" s="12">
        <v>1</v>
      </c>
      <c r="C5" s="12">
        <f>C4+$F$1</f>
        <v>0.6</v>
      </c>
      <c r="D5" s="12">
        <f>C4+(2*C4*G4)</f>
        <v>1.5</v>
      </c>
      <c r="E5" s="12">
        <f>G4+$F$1*D5</f>
        <v>1.1499999999999999</v>
      </c>
      <c r="F5" s="12">
        <f>C5+(2*C5*E5)</f>
        <v>1.98</v>
      </c>
      <c r="G5" s="16">
        <f>G4+(($F$1/2)*(D5+F5))</f>
        <v>1.1739999999999999</v>
      </c>
      <c r="H5" s="15">
        <f>(1.1682*EXP(C5^2))-0.5</f>
        <v>1.1744154220893892</v>
      </c>
    </row>
    <row r="6" spans="2:8" x14ac:dyDescent="0.2">
      <c r="B6" s="12">
        <v>2</v>
      </c>
      <c r="C6" s="12">
        <f t="shared" ref="C6:C8" si="0">C5+$F$1</f>
        <v>0.7</v>
      </c>
      <c r="D6" s="12">
        <f t="shared" ref="D6:D9" si="1">C5+(2*C5*G5)</f>
        <v>2.0087999999999999</v>
      </c>
      <c r="E6" s="12">
        <f t="shared" ref="E6:E9" si="2">G5+$F$1*D6</f>
        <v>1.3748799999999999</v>
      </c>
      <c r="F6" s="12">
        <f t="shared" ref="F6:F9" si="3">C6+(2*C6*E6)</f>
        <v>2.6248319999999996</v>
      </c>
      <c r="G6" s="16">
        <f t="shared" ref="G6:G9" si="4">G5+(($F$1/2)*(D6+F6))</f>
        <v>1.4056815999999999</v>
      </c>
      <c r="H6" s="15">
        <f t="shared" ref="H6:H9" si="5">(1.1682*EXP(C6^2))-0.5</f>
        <v>1.4068718081518734</v>
      </c>
    </row>
    <row r="7" spans="2:8" x14ac:dyDescent="0.2">
      <c r="B7" s="12">
        <v>3</v>
      </c>
      <c r="C7" s="12">
        <f t="shared" si="0"/>
        <v>0.79999999999999993</v>
      </c>
      <c r="D7" s="12">
        <f t="shared" si="1"/>
        <v>2.6679542399999994</v>
      </c>
      <c r="E7" s="12">
        <f t="shared" si="2"/>
        <v>1.6724770239999998</v>
      </c>
      <c r="F7" s="12">
        <f t="shared" si="3"/>
        <v>3.475963238399999</v>
      </c>
      <c r="G7" s="16">
        <f t="shared" si="4"/>
        <v>1.7128774739199999</v>
      </c>
      <c r="H7" s="15">
        <f t="shared" si="5"/>
        <v>1.7154689632040441</v>
      </c>
    </row>
    <row r="8" spans="2:8" x14ac:dyDescent="0.2">
      <c r="B8" s="12">
        <v>4</v>
      </c>
      <c r="C8" s="12">
        <f t="shared" si="0"/>
        <v>0.89999999999999991</v>
      </c>
      <c r="D8" s="12">
        <f t="shared" si="1"/>
        <v>3.5406039582719995</v>
      </c>
      <c r="E8" s="12">
        <f t="shared" si="2"/>
        <v>2.0669378697471998</v>
      </c>
      <c r="F8" s="12">
        <f t="shared" si="3"/>
        <v>4.620488165544959</v>
      </c>
      <c r="G8" s="16">
        <f t="shared" si="4"/>
        <v>2.120932080110848</v>
      </c>
      <c r="H8" s="15">
        <f t="shared" si="5"/>
        <v>2.126006110035453</v>
      </c>
    </row>
    <row r="9" spans="2:8" x14ac:dyDescent="0.2">
      <c r="B9" s="12">
        <v>5</v>
      </c>
      <c r="C9" s="12">
        <f t="shared" ref="C9" si="6">C8+$F$1</f>
        <v>0.99999999999999989</v>
      </c>
      <c r="D9" s="12">
        <f t="shared" si="1"/>
        <v>4.7176777441995261</v>
      </c>
      <c r="E9" s="12">
        <f t="shared" si="2"/>
        <v>2.5926998545308004</v>
      </c>
      <c r="F9" s="12">
        <f t="shared" si="3"/>
        <v>6.1853997090616</v>
      </c>
      <c r="G9" s="16">
        <f t="shared" si="4"/>
        <v>2.6660859527739045</v>
      </c>
      <c r="H9" s="15">
        <f t="shared" si="5"/>
        <v>2.6754968320058556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A1DEB-27C4-AF41-9B13-7BD828F44B49}">
  <dimension ref="B1:H9"/>
  <sheetViews>
    <sheetView showGridLines="0" zoomScale="130" zoomScaleNormal="130" workbookViewId="0">
      <selection activeCell="D13" sqref="D13"/>
    </sheetView>
  </sheetViews>
  <sheetFormatPr baseColWidth="10" defaultRowHeight="15" x14ac:dyDescent="0.2"/>
  <cols>
    <col min="2" max="2" width="2" bestFit="1" customWidth="1"/>
    <col min="3" max="3" width="4.1640625" bestFit="1" customWidth="1"/>
    <col min="5" max="5" width="23.33203125" customWidth="1"/>
    <col min="6" max="6" width="18" customWidth="1"/>
    <col min="7" max="7" width="27" customWidth="1"/>
    <col min="8" max="8" width="27.6640625" customWidth="1"/>
  </cols>
  <sheetData>
    <row r="1" spans="2:8" x14ac:dyDescent="0.2">
      <c r="C1" t="s">
        <v>25</v>
      </c>
      <c r="D1" s="18">
        <v>0</v>
      </c>
      <c r="E1" s="17" t="s">
        <v>27</v>
      </c>
      <c r="F1" s="18">
        <v>0.1</v>
      </c>
    </row>
    <row r="2" spans="2:8" x14ac:dyDescent="0.2">
      <c r="C2" t="s">
        <v>26</v>
      </c>
      <c r="D2" s="18">
        <v>0.5</v>
      </c>
    </row>
    <row r="3" spans="2:8" ht="40" customHeight="1" x14ac:dyDescent="0.2">
      <c r="B3" s="12" t="s">
        <v>3</v>
      </c>
      <c r="C3" s="12" t="s">
        <v>0</v>
      </c>
      <c r="D3" s="12" t="s">
        <v>15</v>
      </c>
      <c r="E3" s="12"/>
      <c r="F3" s="12" t="s">
        <v>16</v>
      </c>
      <c r="G3" s="21"/>
      <c r="H3" s="20"/>
    </row>
    <row r="4" spans="2:8" x14ac:dyDescent="0.2">
      <c r="B4" s="12">
        <v>0</v>
      </c>
      <c r="C4" s="13">
        <v>0</v>
      </c>
      <c r="D4" s="14"/>
      <c r="E4" s="14"/>
      <c r="F4" s="14"/>
      <c r="G4" s="13">
        <v>1</v>
      </c>
      <c r="H4" s="15">
        <f>-(C4^2) + (3*EXP((C4^2)/2)) - 2</f>
        <v>1</v>
      </c>
    </row>
    <row r="5" spans="2:8" x14ac:dyDescent="0.2">
      <c r="B5" s="12">
        <v>1</v>
      </c>
      <c r="C5" s="12">
        <f>C4+$F$1</f>
        <v>0.1</v>
      </c>
      <c r="D5" s="12">
        <f>(C4*G4)+C4^3</f>
        <v>0</v>
      </c>
      <c r="E5" s="12">
        <f>G4+$F$1*D5</f>
        <v>1</v>
      </c>
      <c r="F5" s="12">
        <f>C5*E5+(C5^3)</f>
        <v>0.10100000000000001</v>
      </c>
      <c r="G5" s="16">
        <f>G4+(($F$1/2)*(D5+F5))</f>
        <v>1.00505</v>
      </c>
      <c r="H5" s="15">
        <f t="shared" ref="H5:H9" si="0">-(C5^2) + (3*EXP((C5^2)/2)) - 2</f>
        <v>1.0050375625782033</v>
      </c>
    </row>
    <row r="6" spans="2:8" x14ac:dyDescent="0.2">
      <c r="B6" s="12">
        <v>2</v>
      </c>
      <c r="C6" s="12">
        <f t="shared" ref="C6:C9" si="1">C5+$F$1</f>
        <v>0.2</v>
      </c>
      <c r="D6" s="12">
        <f t="shared" ref="D6:D9" si="2">(C5*G5)+C5^3</f>
        <v>0.10150500000000001</v>
      </c>
      <c r="E6" s="12">
        <f t="shared" ref="E6:E9" si="3">G5+$F$1*D6</f>
        <v>1.0152005</v>
      </c>
      <c r="F6" s="12">
        <f t="shared" ref="F6:F9" si="4">C6*E6+(C6^3)</f>
        <v>0.21104010000000001</v>
      </c>
      <c r="G6" s="16">
        <f t="shared" ref="G6:G9" si="5">G5+(($F$1/2)*(D6+F6))</f>
        <v>1.0206772550000001</v>
      </c>
      <c r="H6" s="15">
        <f t="shared" si="0"/>
        <v>1.0206040200802673</v>
      </c>
    </row>
    <row r="7" spans="2:8" x14ac:dyDescent="0.2">
      <c r="B7" s="12">
        <v>3</v>
      </c>
      <c r="C7" s="12">
        <f t="shared" si="1"/>
        <v>0.30000000000000004</v>
      </c>
      <c r="D7" s="12">
        <f t="shared" si="2"/>
        <v>0.21213545100000003</v>
      </c>
      <c r="E7" s="12">
        <f t="shared" si="3"/>
        <v>1.0418908001</v>
      </c>
      <c r="F7" s="12">
        <f t="shared" si="4"/>
        <v>0.33956724003000005</v>
      </c>
      <c r="G7" s="16">
        <f t="shared" si="5"/>
        <v>1.0482623895515</v>
      </c>
      <c r="H7" s="15">
        <f t="shared" si="0"/>
        <v>1.0480835797261507</v>
      </c>
    </row>
    <row r="8" spans="2:8" x14ac:dyDescent="0.2">
      <c r="B8" s="12">
        <v>4</v>
      </c>
      <c r="C8" s="12">
        <f t="shared" si="1"/>
        <v>0.4</v>
      </c>
      <c r="D8" s="12">
        <f t="shared" si="2"/>
        <v>0.34147871686545006</v>
      </c>
      <c r="E8" s="12">
        <f t="shared" si="3"/>
        <v>1.0824102612380451</v>
      </c>
      <c r="F8" s="12">
        <f t="shared" si="4"/>
        <v>0.49696410449521805</v>
      </c>
      <c r="G8" s="16">
        <f t="shared" si="5"/>
        <v>1.0901845306195335</v>
      </c>
      <c r="H8" s="15">
        <f t="shared" si="0"/>
        <v>1.089861203024876</v>
      </c>
    </row>
    <row r="9" spans="2:8" x14ac:dyDescent="0.2">
      <c r="B9" s="12">
        <v>5</v>
      </c>
      <c r="C9" s="12">
        <f t="shared" si="1"/>
        <v>0.5</v>
      </c>
      <c r="D9" s="12">
        <f t="shared" si="2"/>
        <v>0.50007381224781344</v>
      </c>
      <c r="E9" s="12">
        <f t="shared" si="3"/>
        <v>1.1401919118443149</v>
      </c>
      <c r="F9" s="12">
        <f t="shared" si="4"/>
        <v>0.69509595592215745</v>
      </c>
      <c r="G9" s="16">
        <f t="shared" si="5"/>
        <v>1.149943019028032</v>
      </c>
      <c r="H9" s="15">
        <f t="shared" si="0"/>
        <v>1.1494453592004792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G9"/>
  <sheetViews>
    <sheetView showGridLines="0" zoomScale="115" zoomScaleNormal="115" workbookViewId="0">
      <selection activeCell="J12" sqref="J12"/>
    </sheetView>
  </sheetViews>
  <sheetFormatPr baseColWidth="10" defaultRowHeight="15" x14ac:dyDescent="0.2"/>
  <cols>
    <col min="4" max="4" width="3.1640625" bestFit="1" customWidth="1"/>
    <col min="5" max="5" width="4.5" bestFit="1" customWidth="1"/>
    <col min="6" max="6" width="19.6640625" customWidth="1"/>
    <col min="7" max="7" width="18.1640625" customWidth="1"/>
  </cols>
  <sheetData>
    <row r="1" spans="4:7" x14ac:dyDescent="0.2">
      <c r="D1" t="s">
        <v>25</v>
      </c>
      <c r="E1">
        <v>0</v>
      </c>
      <c r="F1" s="17" t="s">
        <v>27</v>
      </c>
      <c r="G1" s="18">
        <v>0.1</v>
      </c>
    </row>
    <row r="2" spans="4:7" x14ac:dyDescent="0.2">
      <c r="D2" t="s">
        <v>26</v>
      </c>
      <c r="E2">
        <v>0.5</v>
      </c>
    </row>
    <row r="3" spans="4:7" ht="49" customHeight="1" x14ac:dyDescent="0.2">
      <c r="D3" s="1" t="s">
        <v>3</v>
      </c>
      <c r="E3" s="1" t="s">
        <v>4</v>
      </c>
      <c r="F3" s="1"/>
      <c r="G3" s="1"/>
    </row>
    <row r="4" spans="4:7" x14ac:dyDescent="0.2">
      <c r="D4" s="1">
        <v>0</v>
      </c>
      <c r="E4" s="1">
        <f>E1</f>
        <v>0</v>
      </c>
      <c r="F4" s="1">
        <f>1+((E4^2)/2)-((E4^3)/6)</f>
        <v>1</v>
      </c>
      <c r="G4" s="1">
        <f>E4+EXP(-E4)</f>
        <v>1</v>
      </c>
    </row>
    <row r="5" spans="4:7" x14ac:dyDescent="0.2">
      <c r="D5" s="1">
        <f>D4+1</f>
        <v>1</v>
      </c>
      <c r="E5" s="1">
        <f>E4+$G$1</f>
        <v>0.1</v>
      </c>
      <c r="F5" s="1">
        <f t="shared" ref="F5:F9" si="0">1+((E5^2)/2)-((E5^3)/6)</f>
        <v>1.0048333333333332</v>
      </c>
      <c r="G5" s="1">
        <f t="shared" ref="G5:G9" si="1">E5+EXP(-E5)</f>
        <v>1.0048374180359596</v>
      </c>
    </row>
    <row r="6" spans="4:7" x14ac:dyDescent="0.2">
      <c r="D6" s="1">
        <f t="shared" ref="D6:D9" si="2">D5+1</f>
        <v>2</v>
      </c>
      <c r="E6" s="1">
        <f t="shared" ref="E6:E9" si="3">E5+$G$1</f>
        <v>0.2</v>
      </c>
      <c r="F6" s="1">
        <f t="shared" si="0"/>
        <v>1.0186666666666666</v>
      </c>
      <c r="G6" s="1">
        <f t="shared" si="1"/>
        <v>1.0187307530779819</v>
      </c>
    </row>
    <row r="7" spans="4:7" x14ac:dyDescent="0.2">
      <c r="D7" s="1">
        <f t="shared" si="2"/>
        <v>3</v>
      </c>
      <c r="E7" s="1">
        <f t="shared" si="3"/>
        <v>0.30000000000000004</v>
      </c>
      <c r="F7" s="1">
        <f t="shared" si="0"/>
        <v>1.0405</v>
      </c>
      <c r="G7" s="1">
        <f t="shared" si="1"/>
        <v>1.040818220681718</v>
      </c>
    </row>
    <row r="8" spans="4:7" x14ac:dyDescent="0.2">
      <c r="D8" s="1">
        <f t="shared" si="2"/>
        <v>4</v>
      </c>
      <c r="E8" s="1">
        <f t="shared" si="3"/>
        <v>0.4</v>
      </c>
      <c r="F8" s="1">
        <f t="shared" si="0"/>
        <v>1.0693333333333335</v>
      </c>
      <c r="G8" s="1">
        <f t="shared" si="1"/>
        <v>1.0703200460356395</v>
      </c>
    </row>
    <row r="9" spans="4:7" x14ac:dyDescent="0.2">
      <c r="D9" s="1">
        <f t="shared" si="2"/>
        <v>5</v>
      </c>
      <c r="E9" s="1">
        <f t="shared" si="3"/>
        <v>0.5</v>
      </c>
      <c r="F9" s="1">
        <f t="shared" si="0"/>
        <v>1.1041666666666667</v>
      </c>
      <c r="G9" s="1">
        <f t="shared" si="1"/>
        <v>1.1065306597126334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6D75-DA6B-FA4E-8C5F-8F833645C297}">
  <dimension ref="D1:G9"/>
  <sheetViews>
    <sheetView showGridLines="0" zoomScale="115" zoomScaleNormal="115" workbookViewId="0">
      <selection activeCell="I8" sqref="I8"/>
    </sheetView>
  </sheetViews>
  <sheetFormatPr baseColWidth="10" defaultRowHeight="15" x14ac:dyDescent="0.2"/>
  <cols>
    <col min="4" max="4" width="3.1640625" bestFit="1" customWidth="1"/>
    <col min="5" max="5" width="4.5" bestFit="1" customWidth="1"/>
    <col min="6" max="6" width="21" customWidth="1"/>
    <col min="7" max="7" width="19.6640625" customWidth="1"/>
  </cols>
  <sheetData>
    <row r="1" spans="4:7" x14ac:dyDescent="0.2">
      <c r="D1" t="s">
        <v>25</v>
      </c>
      <c r="E1">
        <v>0</v>
      </c>
      <c r="F1" s="17" t="s">
        <v>27</v>
      </c>
      <c r="G1" s="18">
        <v>0.1</v>
      </c>
    </row>
    <row r="2" spans="4:7" x14ac:dyDescent="0.2">
      <c r="D2" t="s">
        <v>26</v>
      </c>
      <c r="E2">
        <v>0.5</v>
      </c>
    </row>
    <row r="3" spans="4:7" ht="49" customHeight="1" x14ac:dyDescent="0.2">
      <c r="D3" s="1" t="s">
        <v>3</v>
      </c>
      <c r="E3" s="1" t="s">
        <v>4</v>
      </c>
      <c r="F3" s="1"/>
      <c r="G3" s="1"/>
    </row>
    <row r="4" spans="4:7" x14ac:dyDescent="0.2">
      <c r="D4" s="1">
        <v>0</v>
      </c>
      <c r="E4" s="1">
        <f>E1</f>
        <v>0</v>
      </c>
      <c r="F4" s="1">
        <f>1+E4+E4^2+((E4^3)/3)</f>
        <v>1</v>
      </c>
      <c r="G4" s="1">
        <f>-E4+2*EXP(E4)-1</f>
        <v>1</v>
      </c>
    </row>
    <row r="5" spans="4:7" x14ac:dyDescent="0.2">
      <c r="D5" s="1">
        <f>D4+1</f>
        <v>1</v>
      </c>
      <c r="E5" s="1">
        <f>E4+$G$1</f>
        <v>0.1</v>
      </c>
      <c r="F5" s="1">
        <f t="shared" ref="F5:F9" si="0">1+E5+E5^2+((E5^3)/3)</f>
        <v>1.1103333333333334</v>
      </c>
      <c r="G5" s="1">
        <f t="shared" ref="G5:G9" si="1">-E5+2*EXP(E5)-1</f>
        <v>1.1103418361512953</v>
      </c>
    </row>
    <row r="6" spans="4:7" x14ac:dyDescent="0.2">
      <c r="D6" s="1">
        <f t="shared" ref="D6:D9" si="2">D5+1</f>
        <v>2</v>
      </c>
      <c r="E6" s="1">
        <f t="shared" ref="E6:E9" si="3">E5+$G$1</f>
        <v>0.2</v>
      </c>
      <c r="F6" s="1">
        <f t="shared" si="0"/>
        <v>1.2426666666666666</v>
      </c>
      <c r="G6" s="1">
        <f t="shared" si="1"/>
        <v>1.2428055163203395</v>
      </c>
    </row>
    <row r="7" spans="4:7" x14ac:dyDescent="0.2">
      <c r="D7" s="1">
        <f t="shared" si="2"/>
        <v>3</v>
      </c>
      <c r="E7" s="1">
        <f t="shared" si="3"/>
        <v>0.30000000000000004</v>
      </c>
      <c r="F7" s="1">
        <f t="shared" si="0"/>
        <v>1.399</v>
      </c>
      <c r="G7" s="1">
        <f t="shared" si="1"/>
        <v>1.3997176151520065</v>
      </c>
    </row>
    <row r="8" spans="4:7" x14ac:dyDescent="0.2">
      <c r="D8" s="1">
        <f t="shared" si="2"/>
        <v>4</v>
      </c>
      <c r="E8" s="1">
        <f t="shared" si="3"/>
        <v>0.4</v>
      </c>
      <c r="F8" s="1">
        <f t="shared" si="0"/>
        <v>1.5813333333333335</v>
      </c>
      <c r="G8" s="1">
        <f t="shared" si="1"/>
        <v>1.5836493952825408</v>
      </c>
    </row>
    <row r="9" spans="4:7" x14ac:dyDescent="0.2">
      <c r="D9" s="1">
        <f t="shared" si="2"/>
        <v>5</v>
      </c>
      <c r="E9" s="1">
        <f t="shared" si="3"/>
        <v>0.5</v>
      </c>
      <c r="F9" s="1">
        <f t="shared" si="0"/>
        <v>1.7916666666666667</v>
      </c>
      <c r="G9" s="1">
        <f t="shared" si="1"/>
        <v>1.7974425414002564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36240-C31D-9145-826C-2CA933890410}">
  <dimension ref="D1:G9"/>
  <sheetViews>
    <sheetView showGridLines="0" zoomScale="115" zoomScaleNormal="115" workbookViewId="0">
      <selection activeCell="M10" sqref="M10"/>
    </sheetView>
  </sheetViews>
  <sheetFormatPr baseColWidth="10" defaultRowHeight="15" x14ac:dyDescent="0.2"/>
  <cols>
    <col min="4" max="4" width="3.1640625" bestFit="1" customWidth="1"/>
    <col min="5" max="5" width="4.5" bestFit="1" customWidth="1"/>
    <col min="6" max="6" width="21" customWidth="1"/>
    <col min="7" max="7" width="22.1640625" customWidth="1"/>
  </cols>
  <sheetData>
    <row r="1" spans="4:7" x14ac:dyDescent="0.2">
      <c r="D1" t="s">
        <v>25</v>
      </c>
      <c r="E1">
        <v>0</v>
      </c>
      <c r="F1" s="17" t="s">
        <v>27</v>
      </c>
      <c r="G1" s="18">
        <v>0.1</v>
      </c>
    </row>
    <row r="2" spans="4:7" x14ac:dyDescent="0.2">
      <c r="D2" t="s">
        <v>26</v>
      </c>
      <c r="E2">
        <v>0.5</v>
      </c>
    </row>
    <row r="3" spans="4:7" ht="49" customHeight="1" x14ac:dyDescent="0.2">
      <c r="D3" s="1" t="s">
        <v>3</v>
      </c>
      <c r="E3" s="1" t="s">
        <v>4</v>
      </c>
      <c r="F3" s="24"/>
      <c r="G3" s="23"/>
    </row>
    <row r="4" spans="4:7" x14ac:dyDescent="0.2">
      <c r="D4" s="1">
        <v>0</v>
      </c>
      <c r="E4" s="1">
        <f>E1</f>
        <v>0</v>
      </c>
      <c r="F4" s="1">
        <v>1</v>
      </c>
      <c r="G4" s="1">
        <f>-(E4^2)+ (3*EXP((E4^2)/2))-2</f>
        <v>1</v>
      </c>
    </row>
    <row r="5" spans="4:7" x14ac:dyDescent="0.2">
      <c r="D5" s="1">
        <f>D4+1</f>
        <v>1</v>
      </c>
      <c r="E5" s="1">
        <f>E4+$G$1</f>
        <v>0.1</v>
      </c>
      <c r="F5" s="1">
        <f>1+((E5^2)/2)+((3/8)*(E5^4))</f>
        <v>1.0050374999999998</v>
      </c>
      <c r="G5" s="1">
        <f t="shared" ref="G5:G9" si="0">-(E5^2)+ (3*EXP((E5^2)/2))-2</f>
        <v>1.0050375625782033</v>
      </c>
    </row>
    <row r="6" spans="4:7" x14ac:dyDescent="0.2">
      <c r="D6" s="1">
        <f t="shared" ref="D6:D9" si="1">D5+1</f>
        <v>2</v>
      </c>
      <c r="E6" s="1">
        <f t="shared" ref="E6:E9" si="2">E5+$G$1</f>
        <v>0.2</v>
      </c>
      <c r="F6" s="1">
        <f t="shared" ref="F6:F9" si="3">1+((E6^2)/2)+((3/8)*(E6^4))</f>
        <v>1.0206</v>
      </c>
      <c r="G6" s="1">
        <f t="shared" si="0"/>
        <v>1.0206040200802673</v>
      </c>
    </row>
    <row r="7" spans="4:7" x14ac:dyDescent="0.2">
      <c r="D7" s="1">
        <f t="shared" si="1"/>
        <v>3</v>
      </c>
      <c r="E7" s="1">
        <f t="shared" si="2"/>
        <v>0.30000000000000004</v>
      </c>
      <c r="F7" s="1">
        <f t="shared" si="3"/>
        <v>1.0480375</v>
      </c>
      <c r="G7" s="1">
        <f t="shared" si="0"/>
        <v>1.0480835797261507</v>
      </c>
    </row>
    <row r="8" spans="4:7" x14ac:dyDescent="0.2">
      <c r="D8" s="1">
        <f t="shared" si="1"/>
        <v>4</v>
      </c>
      <c r="E8" s="1">
        <f t="shared" si="2"/>
        <v>0.4</v>
      </c>
      <c r="F8" s="1">
        <f t="shared" si="3"/>
        <v>1.0896000000000001</v>
      </c>
      <c r="G8" s="1">
        <f t="shared" si="0"/>
        <v>1.089861203024876</v>
      </c>
    </row>
    <row r="9" spans="4:7" x14ac:dyDescent="0.2">
      <c r="D9" s="1">
        <f t="shared" si="1"/>
        <v>5</v>
      </c>
      <c r="E9" s="1">
        <f t="shared" si="2"/>
        <v>0.5</v>
      </c>
      <c r="F9" s="1">
        <f t="shared" si="3"/>
        <v>1.1484375</v>
      </c>
      <c r="G9" s="1">
        <f t="shared" si="0"/>
        <v>1.1494453592004792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Euler</vt:lpstr>
      <vt:lpstr>Euler_Ej</vt:lpstr>
      <vt:lpstr>Euler_Ej6</vt:lpstr>
      <vt:lpstr>Euler-Gauss_1</vt:lpstr>
      <vt:lpstr>Euler-Gauss_2</vt:lpstr>
      <vt:lpstr>Euler-Gauss_Ej</vt:lpstr>
      <vt:lpstr>taylor_1</vt:lpstr>
      <vt:lpstr>taylor_2</vt:lpstr>
      <vt:lpstr>taylor_3</vt:lpstr>
      <vt:lpstr>taylor_Ej</vt:lpstr>
      <vt:lpstr>RK_2</vt:lpstr>
      <vt:lpstr>RK_2 _2</vt:lpstr>
      <vt:lpstr>RK_2 _2_Ej</vt:lpstr>
      <vt:lpstr>RK_4</vt:lpstr>
      <vt:lpstr>Sistemas E.D</vt:lpstr>
      <vt:lpstr>Sistemas E.D Ej</vt:lpstr>
      <vt:lpstr>Sistemas E.D_2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2020-05-21T19:07:46Z</dcterms:modified>
</cp:coreProperties>
</file>