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085a3fe9bc941f1/Documentos/1. Docencia/2. DIPLOMADOS/Banca y Finanzas/Riesgos Mercado Valores/2022/Empresas/"/>
    </mc:Choice>
  </mc:AlternateContent>
  <xr:revisionPtr revIDLastSave="0" documentId="8_{EDB8CB12-CB40-45D1-AA69-AAA4758AE56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  <sheet name="Screening Criteria" sheetId="4" r:id="rId4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S4" i="1" l="1"/>
  <c r="L6" i="3"/>
  <c r="K6" i="3"/>
  <c r="J6" i="3"/>
  <c r="H6" i="3"/>
  <c r="M4" i="3"/>
  <c r="L4" i="3"/>
  <c r="K4" i="3"/>
  <c r="J4" i="3"/>
  <c r="I4" i="3"/>
  <c r="H4" i="3"/>
  <c r="G4" i="3"/>
  <c r="F4" i="3"/>
  <c r="E4" i="3"/>
  <c r="D4" i="3"/>
  <c r="C4" i="3"/>
  <c r="B4" i="3"/>
  <c r="A4" i="3"/>
  <c r="A3" i="3"/>
  <c r="M4" i="2"/>
  <c r="L4" i="2"/>
  <c r="K4" i="2"/>
  <c r="J4" i="2"/>
  <c r="I4" i="2"/>
  <c r="H4" i="2"/>
  <c r="G4" i="2"/>
  <c r="F4" i="2"/>
  <c r="E4" i="2"/>
  <c r="D4" i="2"/>
  <c r="C4" i="2"/>
  <c r="B4" i="2"/>
  <c r="A4" i="2"/>
  <c r="A3" i="2"/>
  <c r="R4" i="1"/>
  <c r="Q4" i="1"/>
  <c r="P4" i="1"/>
  <c r="O4" i="1"/>
  <c r="N4" i="1"/>
  <c r="M4" i="1"/>
  <c r="L4" i="1"/>
  <c r="K4" i="1"/>
  <c r="J4" i="1"/>
  <c r="I4" i="1"/>
  <c r="H4" i="1"/>
  <c r="G4" i="1"/>
  <c r="F4" i="1"/>
  <c r="E4" i="1"/>
  <c r="D4" i="1"/>
  <c r="C4" i="1"/>
  <c r="B4" i="1"/>
  <c r="A4" i="1"/>
  <c r="A3" i="1"/>
</calcChain>
</file>

<file path=xl/sharedStrings.xml><?xml version="1.0" encoding="utf-8"?>
<sst xmlns="http://schemas.openxmlformats.org/spreadsheetml/2006/main" count="316" uniqueCount="70">
  <si>
    <t>SP_ENTITY_NAME</t>
  </si>
  <si>
    <t>SP_ENTITY_ID</t>
  </si>
  <si>
    <t>SP_PRICE_CLOSE</t>
  </si>
  <si>
    <t>290935</t>
  </si>
  <si>
    <t>290933</t>
  </si>
  <si>
    <t>275618</t>
  </si>
  <si>
    <t>SP_NONCONTROLLING_INTS</t>
  </si>
  <si>
    <t>311681</t>
  </si>
  <si>
    <t>275868</t>
  </si>
  <si>
    <t>275720</t>
  </si>
  <si>
    <t>275622</t>
  </si>
  <si>
    <t>275629</t>
  </si>
  <si>
    <t>275628</t>
  </si>
  <si>
    <t>SP_DILUT_EPS_AFTER_EXTRA</t>
  </si>
  <si>
    <t>290954</t>
  </si>
  <si>
    <t>IQ_PTBV</t>
  </si>
  <si>
    <t>307489</t>
  </si>
  <si>
    <t>SP_NIM</t>
  </si>
  <si>
    <t>275623</t>
  </si>
  <si>
    <t/>
  </si>
  <si>
    <t>LTM</t>
  </si>
  <si>
    <t>Current/Restated</t>
  </si>
  <si>
    <t>Travel + Leisure Co. (NYSE:TNL)</t>
  </si>
  <si>
    <t>NM</t>
  </si>
  <si>
    <t>NA</t>
  </si>
  <si>
    <t>Carnival Corporation &amp; plc (NYSE:CCL)</t>
  </si>
  <si>
    <t>Hilton Grand Vacations Inc. (NYSE:HGV)</t>
  </si>
  <si>
    <t>Marriott International, Inc. (NASDAQGS:MAR)</t>
  </si>
  <si>
    <t>Royal Caribbean Cruises Ltd. (NYSE:RCL)</t>
  </si>
  <si>
    <t>Hyatt Hotels Corporation (NYSE:H)</t>
  </si>
  <si>
    <t>Norwegian Cruise Line Holdings Ltd. (NYSE:NCLH)</t>
  </si>
  <si>
    <t>Hilton Worldwide Holdings Inc. (NYSE:HLT)</t>
  </si>
  <si>
    <t>Wyndham Hotels &amp; Resorts, Inc. (NYSE:WH)</t>
  </si>
  <si>
    <t>Choice Hotels International, Inc. (NYSE:CHH)</t>
  </si>
  <si>
    <t>Marriott Vacations Worldwide Corporation (NYSE:VAC)</t>
  </si>
  <si>
    <t>Minimum</t>
  </si>
  <si>
    <t>Median</t>
  </si>
  <si>
    <t>Average</t>
  </si>
  <si>
    <t>Maximum</t>
  </si>
  <si>
    <t>274477</t>
  </si>
  <si>
    <t>274480</t>
  </si>
  <si>
    <t>274481</t>
  </si>
  <si>
    <t>274478</t>
  </si>
  <si>
    <t>274469</t>
  </si>
  <si>
    <t>306316</t>
  </si>
  <si>
    <t>IQ_DEBT_TO_CAPITAL</t>
  </si>
  <si>
    <t>274468</t>
  </si>
  <si>
    <t>SNL_ROIC</t>
  </si>
  <si>
    <t>298535</t>
  </si>
  <si>
    <t>298534</t>
  </si>
  <si>
    <t>SP_TEV_EBITDA_LTM</t>
  </si>
  <si>
    <t>IQ_TEV_TOTAL_REV_LTM</t>
  </si>
  <si>
    <t>IQ_TEV_EBIT_LTM</t>
  </si>
  <si>
    <t>IQ_PE_LTM</t>
  </si>
  <si>
    <t>IQ_PTBV_X</t>
  </si>
  <si>
    <t>SP_PE_EST</t>
  </si>
  <si>
    <t>SP_PNAVPS_EST</t>
  </si>
  <si>
    <t>SP_TEV_TOTAL_REV_FWD</t>
  </si>
  <si>
    <t>SP_TEV_EBITDA_FWD</t>
  </si>
  <si>
    <t>SP_TEV_EBIT_FWD</t>
  </si>
  <si>
    <t>SP_PBV_FWD</t>
  </si>
  <si>
    <t>FY0</t>
  </si>
  <si>
    <t>Companies: New Screen</t>
  </si>
  <si>
    <t xml:space="preserve">Screening Criteria: </t>
  </si>
  <si>
    <t>1              [ Primary Industry: Hotels, Resorts and Cruise Lines</t>
  </si>
  <si>
    <t xml:space="preserve">                   Geography: All Geographies</t>
  </si>
  <si>
    <t xml:space="preserve">                   Company Type: Public Company</t>
  </si>
  <si>
    <t xml:space="preserve">                   Company Status: Operating, Operating Subsidiary ]</t>
  </si>
  <si>
    <t>2                 Total Revenue [Latest Fiscal Year] ($000) Between 10 - 500</t>
  </si>
  <si>
    <t>3                 Top 10 Rank By Peer Ranking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</si>
</sst>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;\(#,##0.00\)"/>
    <numFmt numFmtId="165" formatCode="#,##0;\(#,##0\)"/>
    <numFmt numFmtId="166" formatCode="#,##0.0;\(#,##0.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Fill="1"/>
    <xf numFmtId="0" fontId="0" fillId="0" borderId="0" xfId="0" applyFont="1" applyFill="1" applyBorder="1" applyAlignment="1">
      <alignment horizontal="center"/>
    </xf>
    <xf numFmtId="0" fontId="0" fillId="0" borderId="0" xfId="0" applyNumberFormat="1" applyFont="1" applyFill="1" applyAlignment="1">
      <alignment horizontal="left" vertical="top"/>
    </xf>
    <xf numFmtId="0" fontId="0" fillId="0" borderId="0" xfId="0" applyNumberFormat="1" applyFont="1" applyFill="1" applyAlignment="1">
      <alignment horizontal="left" wrapText="1"/>
    </xf>
    <xf numFmtId="0" fontId="0" fillId="0" borderId="0" xfId="0" applyNumberFormat="1" applyFont="1" applyFill="1" applyAlignment="1">
      <alignment horizontal="right" wrapText="1"/>
    </xf>
    <xf numFmtId="49" fontId="0" fillId="0" borderId="0" xfId="0" applyNumberFormat="1" applyFont="1" applyFill="1" applyAlignment="1">
      <alignment horizontal="left" vertical="top"/>
    </xf>
    <xf numFmtId="164" fontId="0" fillId="0" borderId="0" xfId="0" applyNumberFormat="1" applyFont="1" applyFill="1" applyAlignment="1">
      <alignment horizontal="right" vertical="top"/>
    </xf>
    <xf numFmtId="165" fontId="0" fillId="0" borderId="0" xfId="0" applyNumberFormat="1" applyFont="1" applyFill="1" applyAlignment="1">
      <alignment horizontal="right" vertical="top"/>
    </xf>
    <xf numFmtId="166" fontId="0" fillId="0" borderId="0" xfId="0" applyNumberFormat="1" applyFont="1" applyFill="1" applyAlignment="1">
      <alignment horizontal="right" vertical="top"/>
    </xf>
    <xf numFmtId="14" fontId="0" fillId="0" borderId="0" xfId="0" applyNumberFormat="1" applyFont="1" applyFill="1" applyAlignment="1">
      <alignment horizontal="right" vertical="top"/>
    </xf>
    <xf numFmtId="0" fontId="0" fillId="0" borderId="0" xfId="0" applyNumberFormat="1" applyFont="1" applyFill="1" applyAlignment="1">
      <alignment horizontal="right" vertical="top"/>
    </xf>
    <xf numFmtId="0" fontId="1" fillId="0" borderId="0" xfId="0" applyNumberFormat="1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</xdr:colOff>
      <xdr:row>0</xdr:row>
      <xdr:rowOff>28575</xdr:rowOff>
    </xdr:from>
    <xdr:ext cx="1524000" cy="4191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28575"/>
          <a:ext cx="1524000" cy="4191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S23"/>
  <sheetViews>
    <sheetView tabSelected="1" workbookViewId="0">
      <selection activeCell="E11" sqref="E11"/>
    </sheetView>
  </sheetViews>
  <sheetFormatPr baseColWidth="10" defaultColWidth="8.88671875" defaultRowHeight="14.4" x14ac:dyDescent="0.3"/>
  <cols>
    <col min="1" max="1" width="48.5546875" customWidth="1"/>
    <col min="2" max="2" width="16.5546875" customWidth="1"/>
    <col min="3" max="3" width="16.109375" customWidth="1"/>
    <col min="4" max="4" width="20.5546875" customWidth="1"/>
    <col min="5" max="5" width="21.109375" customWidth="1"/>
    <col min="6" max="6" width="16.5546875" customWidth="1"/>
    <col min="7" max="7" width="16.109375" customWidth="1"/>
    <col min="8" max="8" width="21.109375" customWidth="1"/>
    <col min="9" max="10" width="16.109375" customWidth="1"/>
    <col min="11" max="11" width="19.33203125" customWidth="1"/>
    <col min="12" max="13" width="15.88671875" customWidth="1"/>
    <col min="14" max="14" width="16.109375" customWidth="1"/>
    <col min="15" max="16" width="21.109375" customWidth="1"/>
    <col min="17" max="17" width="22" customWidth="1"/>
    <col min="18" max="18" width="16.109375" customWidth="1"/>
    <col min="19" max="19" width="15.88671875" customWidth="1"/>
  </cols>
  <sheetData>
    <row r="3" spans="1:19" x14ac:dyDescent="0.3">
      <c r="A3" s="2" t="e">
        <f ca="1">SPGTable($B$8:$B$18,$C$5:$S$5,$C$6:$S$6,"Options:Curr=USD,Mag=Standard,ConvMethod=Recommended,FilingVer=Current/Restated")</f>
        <v>#NAME?</v>
      </c>
    </row>
    <row r="4" spans="1:19" x14ac:dyDescent="0.3">
      <c r="A4" s="3" t="e">
        <f ca="1">SPGLabel(266637,267969,"","Options:Curr=USD,Mag=Standard,ConvMethod=Recommended,FilingVer=Current/Restated")</f>
        <v>#NAME?</v>
      </c>
      <c r="B4" s="3" t="e">
        <f ca="1">SPGLabel(266637,267961,"","Options:Curr=USD,Mag=Standard,ConvMethod=Recommended,FilingVer=Current/Restated")</f>
        <v>#NAME?</v>
      </c>
      <c r="C4" s="4" t="e">
        <f ca="1">SPGLabel(266637,290930,"","Options:Curr=USD,Mag=Standard,ConvMethod=Recommended,FilingVer=Current/Restated")</f>
        <v>#NAME?</v>
      </c>
      <c r="D4" s="4" t="e">
        <f ca="1">SPGLabel(266637,290935,"","Options:Curr=USD,Mag=Standard,ConvMethod=Recommended,FilingVer=Current/Restated")</f>
        <v>#NAME?</v>
      </c>
      <c r="E4" s="4" t="e">
        <f ca="1">SPGLabel(266637,290933,"","Options:Curr=USD,Mag=Standard,ConvMethod=Recommended,FilingVer=Current/Restated")</f>
        <v>#NAME?</v>
      </c>
      <c r="F4" s="4" t="e">
        <f ca="1">SPGLabel(266637,275618,"LTM","Options:Curr=USD,Mag=Standard,ConvMethod=Recommended,FilingVer=Current/Restated")</f>
        <v>#NAME?</v>
      </c>
      <c r="G4" s="4" t="e">
        <f ca="1">SPGLabel(266637,309226,"LTM","Options:Curr=USD,Mag=Standard,ConvMethod=Recommended,FilingVer=Current/Restated")</f>
        <v>#NAME?</v>
      </c>
      <c r="H4" s="4" t="e">
        <f ca="1">SPGLabel(266637,311681,"","Options:Curr=USD,Mag=Standard,ConvMethod=Recommended,FilingVer=Current/Restated")</f>
        <v>#NAME?</v>
      </c>
      <c r="I4" s="4" t="e">
        <f ca="1">SPGLabel(266637,275868,"LTM","Options:Curr=USD,Mag=Standard,ConvMethod=Recommended,FilingVer=Current/Restated")</f>
        <v>#NAME?</v>
      </c>
      <c r="J4" s="4" t="e">
        <f ca="1">SPGLabel(266637,275720,"LTM","Options:Curr=USD,Mag=Standard,ConvMethod=Recommended,FilingVer=Current/Restated")</f>
        <v>#NAME?</v>
      </c>
      <c r="K4" s="4" t="e">
        <f ca="1">SPGLabel(266637,275622,"LTM","Options:Curr=USD,Mag=Standard,ConvMethod=Recommended,FilingVer=Current/Restated")</f>
        <v>#NAME?</v>
      </c>
      <c r="L4" s="4" t="e">
        <f ca="1">SPGLabel(266637,275629,"LTM","Options:Curr=USD,Mag=Standard,ConvMethod=Recommended,FilingVer=Current/Restated")</f>
        <v>#NAME?</v>
      </c>
      <c r="M4" s="4" t="e">
        <f ca="1">SPGLabel(266637,275628,"LTM","Options:Curr=USD,Mag=Standard,ConvMethod=Recommended,FilingVer=Current/Restated")</f>
        <v>#NAME?</v>
      </c>
      <c r="N4" s="4" t="e">
        <f ca="1">SPGLabel(266637,275636,"LTM","Options:Curr=USD,Mag=Standard,ConvMethod=Recommended,FilingVer=Current/Restated")</f>
        <v>#NAME?</v>
      </c>
      <c r="O4" s="4" t="e">
        <f ca="1">SPGLabel(266637,290954,"","Options:Curr=USD,Mag=Standard,ConvMethod=Recommended,FilingVer=Current/Restated")</f>
        <v>#NAME?</v>
      </c>
      <c r="P4" s="4" t="e">
        <f ca="1">SPGLabel(266637,290956,"","Options:Curr=USD,Mag=Standard,ConvMethod=Recommended,FilingVer=Current/Restated")</f>
        <v>#NAME?</v>
      </c>
      <c r="Q4" s="4" t="e">
        <f ca="1">SPGLabel(266637,307489,"LTM","Current/Restated","Options:Curr=USD,Mag=Standard,ConvMethod=Recommended,FilingVer=Current/Restated")</f>
        <v>#NAME?</v>
      </c>
      <c r="R4" s="4" t="e">
        <f ca="1">SPGLabel(266637,275822,"LTM","Options:Curr=USD,Mag=Standard,ConvMethod=Recommended,FilingVer=Current/Restated")</f>
        <v>#NAME?</v>
      </c>
      <c r="S4" s="4" t="e">
        <f ca="1">SPGLabel(266637,275623,"LTM","Options:Curr=USD,Mag=Standard,ConvMethod=Recommended,FilingVer=Current/Restated")</f>
        <v>#NAME?</v>
      </c>
    </row>
    <row r="5" spans="1:19" ht="28.8" x14ac:dyDescent="0.3">
      <c r="A5" s="3" t="s">
        <v>0</v>
      </c>
      <c r="B5" s="3" t="s">
        <v>1</v>
      </c>
      <c r="C5" s="4" t="s">
        <v>2</v>
      </c>
      <c r="D5" s="4" t="s">
        <v>3</v>
      </c>
      <c r="E5" s="4" t="s">
        <v>4</v>
      </c>
      <c r="F5" s="4" t="s">
        <v>5</v>
      </c>
      <c r="G5" s="4" t="s">
        <v>6</v>
      </c>
      <c r="H5" s="4" t="s">
        <v>7</v>
      </c>
      <c r="I5" s="4" t="s">
        <v>8</v>
      </c>
      <c r="J5" s="4" t="s">
        <v>9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4" t="s">
        <v>15</v>
      </c>
      <c r="Q5" s="4" t="s">
        <v>16</v>
      </c>
      <c r="R5" s="4" t="s">
        <v>17</v>
      </c>
      <c r="S5" s="4" t="s">
        <v>18</v>
      </c>
    </row>
    <row r="6" spans="1:19" x14ac:dyDescent="0.3">
      <c r="A6" s="3" t="s">
        <v>19</v>
      </c>
      <c r="B6" s="3" t="s">
        <v>19</v>
      </c>
      <c r="C6" s="4" t="s">
        <v>19</v>
      </c>
      <c r="D6" s="4" t="s">
        <v>19</v>
      </c>
      <c r="E6" s="4" t="s">
        <v>19</v>
      </c>
      <c r="F6" s="4" t="s">
        <v>20</v>
      </c>
      <c r="G6" s="4" t="s">
        <v>20</v>
      </c>
      <c r="H6" s="4" t="s">
        <v>19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19</v>
      </c>
      <c r="P6" s="4" t="s">
        <v>19</v>
      </c>
      <c r="Q6" s="4" t="s">
        <v>20</v>
      </c>
      <c r="R6" s="4" t="s">
        <v>20</v>
      </c>
      <c r="S6" s="4" t="s">
        <v>20</v>
      </c>
    </row>
    <row r="7" spans="1:19" x14ac:dyDescent="0.3">
      <c r="A7" s="3" t="s">
        <v>19</v>
      </c>
      <c r="B7" s="3" t="s">
        <v>19</v>
      </c>
      <c r="C7" s="4" t="s">
        <v>19</v>
      </c>
      <c r="D7" s="4" t="s">
        <v>19</v>
      </c>
      <c r="E7" s="4" t="s">
        <v>19</v>
      </c>
      <c r="F7" s="4" t="s">
        <v>19</v>
      </c>
      <c r="G7" s="4" t="s">
        <v>19</v>
      </c>
      <c r="H7" s="4" t="s">
        <v>19</v>
      </c>
      <c r="I7" s="4" t="s">
        <v>19</v>
      </c>
      <c r="J7" s="4" t="s">
        <v>19</v>
      </c>
      <c r="K7" s="4" t="s">
        <v>19</v>
      </c>
      <c r="L7" s="4" t="s">
        <v>19</v>
      </c>
      <c r="M7" s="4" t="s">
        <v>19</v>
      </c>
      <c r="N7" s="4" t="s">
        <v>19</v>
      </c>
      <c r="O7" s="4" t="s">
        <v>19</v>
      </c>
      <c r="P7" s="4" t="s">
        <v>19</v>
      </c>
      <c r="Q7" s="4" t="s">
        <v>21</v>
      </c>
      <c r="R7" s="4" t="s">
        <v>19</v>
      </c>
      <c r="S7" s="4" t="s">
        <v>19</v>
      </c>
    </row>
    <row r="8" spans="1:19" x14ac:dyDescent="0.3">
      <c r="A8" s="2" t="s">
        <v>22</v>
      </c>
      <c r="B8" s="5">
        <v>4154740</v>
      </c>
      <c r="C8" s="6">
        <v>54.11</v>
      </c>
      <c r="D8" s="7">
        <v>85531784</v>
      </c>
      <c r="E8" s="8">
        <v>4628.1248322399997</v>
      </c>
      <c r="F8" s="7">
        <v>5449000</v>
      </c>
      <c r="G8" s="7">
        <v>7000</v>
      </c>
      <c r="H8" s="8">
        <v>9669.1248322400006</v>
      </c>
      <c r="I8" s="6">
        <v>-9.3219999999999992</v>
      </c>
      <c r="J8" s="9">
        <v>44561</v>
      </c>
      <c r="K8" s="7">
        <v>3134000</v>
      </c>
      <c r="L8" s="7">
        <v>773000</v>
      </c>
      <c r="M8" s="7">
        <v>649000</v>
      </c>
      <c r="N8" s="6">
        <v>3.5230000000000001</v>
      </c>
      <c r="O8" s="6">
        <v>15.3590689753051</v>
      </c>
      <c r="P8" s="10" t="s">
        <v>23</v>
      </c>
      <c r="Q8" s="6">
        <v>-36.6309171597633</v>
      </c>
      <c r="R8" s="10" t="s">
        <v>24</v>
      </c>
      <c r="S8" s="7">
        <v>308000</v>
      </c>
    </row>
    <row r="9" spans="1:19" x14ac:dyDescent="0.3">
      <c r="A9" s="2" t="s">
        <v>25</v>
      </c>
      <c r="B9" s="5">
        <v>4980730</v>
      </c>
      <c r="C9" s="6">
        <v>19.510000000000002</v>
      </c>
      <c r="D9" s="7">
        <v>1138522769</v>
      </c>
      <c r="E9" s="8">
        <v>22010.166298256201</v>
      </c>
      <c r="F9" s="7">
        <v>36232000</v>
      </c>
      <c r="G9" s="10" t="s">
        <v>24</v>
      </c>
      <c r="H9" s="8">
        <v>51313.166298256197</v>
      </c>
      <c r="I9" s="6">
        <v>9.0530000000000008</v>
      </c>
      <c r="J9" s="9">
        <v>44620</v>
      </c>
      <c r="K9" s="7">
        <v>3505000</v>
      </c>
      <c r="L9" s="7">
        <v>-4011000</v>
      </c>
      <c r="M9" s="7">
        <v>-6246000</v>
      </c>
      <c r="N9" s="6">
        <v>-8.31</v>
      </c>
      <c r="O9" s="10" t="s">
        <v>23</v>
      </c>
      <c r="P9" s="6">
        <v>259.890768615958</v>
      </c>
      <c r="Q9" s="10" t="s">
        <v>24</v>
      </c>
      <c r="R9" s="10" t="s">
        <v>24</v>
      </c>
      <c r="S9" s="7">
        <v>-9419000</v>
      </c>
    </row>
    <row r="10" spans="1:19" x14ac:dyDescent="0.3">
      <c r="A10" s="2" t="s">
        <v>26</v>
      </c>
      <c r="B10" s="5">
        <v>4813313</v>
      </c>
      <c r="C10" s="6">
        <v>50.1</v>
      </c>
      <c r="D10" s="7">
        <v>120127873</v>
      </c>
      <c r="E10" s="8">
        <v>6018.4064373000001</v>
      </c>
      <c r="F10" s="7">
        <v>4328000</v>
      </c>
      <c r="G10" s="10" t="s">
        <v>24</v>
      </c>
      <c r="H10" s="8">
        <v>9914.4064373000001</v>
      </c>
      <c r="I10" s="6">
        <v>16.579999999999998</v>
      </c>
      <c r="J10" s="9">
        <v>44561</v>
      </c>
      <c r="K10" s="7">
        <v>2133000</v>
      </c>
      <c r="L10" s="7">
        <v>659000</v>
      </c>
      <c r="M10" s="7">
        <v>533000</v>
      </c>
      <c r="N10" s="6">
        <v>1.75</v>
      </c>
      <c r="O10" s="6">
        <v>28.628571428571401</v>
      </c>
      <c r="P10" s="10" t="s">
        <v>23</v>
      </c>
      <c r="Q10" s="10" t="s">
        <v>24</v>
      </c>
      <c r="R10" s="10" t="s">
        <v>24</v>
      </c>
      <c r="S10" s="7">
        <v>176000</v>
      </c>
    </row>
    <row r="11" spans="1:19" x14ac:dyDescent="0.3">
      <c r="A11" s="2" t="s">
        <v>27</v>
      </c>
      <c r="B11" s="5">
        <v>4046286</v>
      </c>
      <c r="C11" s="6">
        <v>184.17</v>
      </c>
      <c r="D11" s="7">
        <v>327254156</v>
      </c>
      <c r="E11" s="10" t="s">
        <v>24</v>
      </c>
      <c r="F11" s="7">
        <v>11386000</v>
      </c>
      <c r="G11" s="10" t="s">
        <v>24</v>
      </c>
      <c r="H11" s="10" t="s">
        <v>24</v>
      </c>
      <c r="I11" s="6">
        <v>4.3330000000000002</v>
      </c>
      <c r="J11" s="9">
        <v>44561</v>
      </c>
      <c r="K11" s="7">
        <v>3415000</v>
      </c>
      <c r="L11" s="7">
        <v>2015000</v>
      </c>
      <c r="M11" s="7">
        <v>1712000</v>
      </c>
      <c r="N11" s="6">
        <v>3.34</v>
      </c>
      <c r="O11" s="6">
        <v>55.140718562874198</v>
      </c>
      <c r="P11" s="10" t="s">
        <v>23</v>
      </c>
      <c r="Q11" s="6">
        <v>-219.552554937781</v>
      </c>
      <c r="R11" s="10" t="s">
        <v>24</v>
      </c>
      <c r="S11" s="7">
        <v>1099000</v>
      </c>
    </row>
    <row r="12" spans="1:19" x14ac:dyDescent="0.3">
      <c r="A12" s="2" t="s">
        <v>28</v>
      </c>
      <c r="B12" s="5">
        <v>4980858</v>
      </c>
      <c r="C12" s="6">
        <v>83.4</v>
      </c>
      <c r="D12" s="7">
        <v>255060065</v>
      </c>
      <c r="E12" s="8">
        <v>21272.009420999999</v>
      </c>
      <c r="F12" s="7">
        <v>21756068</v>
      </c>
      <c r="G12" s="10" t="s">
        <v>24</v>
      </c>
      <c r="H12" s="8">
        <v>40319.829421000002</v>
      </c>
      <c r="I12" s="6">
        <v>19.957000000000001</v>
      </c>
      <c r="J12" s="9">
        <v>44561</v>
      </c>
      <c r="K12" s="7">
        <v>1532133</v>
      </c>
      <c r="L12" s="7">
        <v>-2495455</v>
      </c>
      <c r="M12" s="7">
        <v>-3788333</v>
      </c>
      <c r="N12" s="6">
        <v>-20.890999999999998</v>
      </c>
      <c r="O12" s="10" t="s">
        <v>23</v>
      </c>
      <c r="P12" s="6">
        <v>553.19713451843995</v>
      </c>
      <c r="Q12" s="10" t="s">
        <v>24</v>
      </c>
      <c r="R12" s="10" t="s">
        <v>24</v>
      </c>
      <c r="S12" s="7">
        <v>-5260499</v>
      </c>
    </row>
    <row r="13" spans="1:19" x14ac:dyDescent="0.3">
      <c r="A13" s="2" t="s">
        <v>29</v>
      </c>
      <c r="B13" s="5">
        <v>4239194</v>
      </c>
      <c r="C13" s="6">
        <v>97.06</v>
      </c>
      <c r="D13" s="7">
        <v>110290897</v>
      </c>
      <c r="E13" s="10" t="s">
        <v>24</v>
      </c>
      <c r="F13" s="7">
        <v>4362000</v>
      </c>
      <c r="G13" s="7">
        <v>3000</v>
      </c>
      <c r="H13" s="10" t="s">
        <v>24</v>
      </c>
      <c r="I13" s="6">
        <v>32.398000000000003</v>
      </c>
      <c r="J13" s="9">
        <v>44561</v>
      </c>
      <c r="K13" s="7">
        <v>1445000</v>
      </c>
      <c r="L13" s="7">
        <v>67000</v>
      </c>
      <c r="M13" s="7">
        <v>-243000</v>
      </c>
      <c r="N13" s="6">
        <v>-2.1349999999999998</v>
      </c>
      <c r="O13" s="10" t="s">
        <v>23</v>
      </c>
      <c r="P13" s="10" t="s">
        <v>23</v>
      </c>
      <c r="Q13" s="6">
        <v>-27.503526093088901</v>
      </c>
      <c r="R13" s="10" t="s">
        <v>24</v>
      </c>
      <c r="S13" s="7">
        <v>-222000</v>
      </c>
    </row>
    <row r="14" spans="1:19" x14ac:dyDescent="0.3">
      <c r="A14" s="2" t="s">
        <v>30</v>
      </c>
      <c r="B14" s="5">
        <v>4232236</v>
      </c>
      <c r="C14" s="6">
        <v>21.84</v>
      </c>
      <c r="D14" s="7">
        <v>417086224</v>
      </c>
      <c r="E14" s="8">
        <v>9109.1631321599998</v>
      </c>
      <c r="F14" s="7">
        <v>13152154</v>
      </c>
      <c r="G14" s="10" t="s">
        <v>24</v>
      </c>
      <c r="H14" s="8">
        <v>20514.670132160001</v>
      </c>
      <c r="I14" s="6">
        <v>5.835</v>
      </c>
      <c r="J14" s="9">
        <v>44561</v>
      </c>
      <c r="K14" s="7">
        <v>647986</v>
      </c>
      <c r="L14" s="7">
        <v>-1794137</v>
      </c>
      <c r="M14" s="7">
        <v>-2552741</v>
      </c>
      <c r="N14" s="6">
        <v>-12.332000000000001</v>
      </c>
      <c r="O14" s="10" t="s">
        <v>23</v>
      </c>
      <c r="P14" s="6">
        <v>496.47647192543798</v>
      </c>
      <c r="Q14" s="10" t="s">
        <v>24</v>
      </c>
      <c r="R14" s="10" t="s">
        <v>24</v>
      </c>
      <c r="S14" s="7">
        <v>-4506587</v>
      </c>
    </row>
    <row r="15" spans="1:19" x14ac:dyDescent="0.3">
      <c r="A15" s="2" t="s">
        <v>31</v>
      </c>
      <c r="B15" s="5">
        <v>4019144</v>
      </c>
      <c r="C15" s="6">
        <v>156.96</v>
      </c>
      <c r="D15" s="7">
        <v>279221973</v>
      </c>
      <c r="E15" s="8">
        <v>43826.68088208</v>
      </c>
      <c r="F15" s="7">
        <v>9817000</v>
      </c>
      <c r="G15" s="7">
        <v>2000</v>
      </c>
      <c r="H15" s="8">
        <v>52218.68088208</v>
      </c>
      <c r="I15" s="6">
        <v>-2.9420000000000002</v>
      </c>
      <c r="J15" s="9">
        <v>44561</v>
      </c>
      <c r="K15" s="7">
        <v>2444000</v>
      </c>
      <c r="L15" s="7">
        <v>1220000</v>
      </c>
      <c r="M15" s="7">
        <v>1032000</v>
      </c>
      <c r="N15" s="6">
        <v>1.46</v>
      </c>
      <c r="O15" s="6">
        <v>107.506849315069</v>
      </c>
      <c r="P15" s="10" t="s">
        <v>23</v>
      </c>
      <c r="Q15" s="10" t="s">
        <v>23</v>
      </c>
      <c r="R15" s="10" t="s">
        <v>24</v>
      </c>
      <c r="S15" s="7">
        <v>407000</v>
      </c>
    </row>
    <row r="16" spans="1:19" x14ac:dyDescent="0.3">
      <c r="A16" s="2" t="s">
        <v>32</v>
      </c>
      <c r="B16" s="5">
        <v>10348007</v>
      </c>
      <c r="C16" s="6">
        <v>89.6</v>
      </c>
      <c r="D16" s="7">
        <v>92305604</v>
      </c>
      <c r="E16" s="10" t="s">
        <v>24</v>
      </c>
      <c r="F16" s="7">
        <v>2121000</v>
      </c>
      <c r="G16" s="10" t="s">
        <v>24</v>
      </c>
      <c r="H16" s="10" t="s">
        <v>24</v>
      </c>
      <c r="I16" s="6">
        <v>11.798</v>
      </c>
      <c r="J16" s="9">
        <v>44561</v>
      </c>
      <c r="K16" s="7">
        <v>1245000</v>
      </c>
      <c r="L16" s="7">
        <v>550000</v>
      </c>
      <c r="M16" s="7">
        <v>455000</v>
      </c>
      <c r="N16" s="6">
        <v>2.6</v>
      </c>
      <c r="O16" s="6">
        <v>34.461538461538503</v>
      </c>
      <c r="P16" s="10" t="s">
        <v>23</v>
      </c>
      <c r="Q16" s="6">
        <v>-197.47427502338601</v>
      </c>
      <c r="R16" s="10" t="s">
        <v>24</v>
      </c>
      <c r="S16" s="7">
        <v>244000</v>
      </c>
    </row>
    <row r="17" spans="1:19" x14ac:dyDescent="0.3">
      <c r="A17" s="2" t="s">
        <v>33</v>
      </c>
      <c r="B17" s="5">
        <v>4046290</v>
      </c>
      <c r="C17" s="6">
        <v>144.54</v>
      </c>
      <c r="D17" s="7">
        <v>55327038</v>
      </c>
      <c r="E17" s="10" t="s">
        <v>24</v>
      </c>
      <c r="F17" s="7">
        <v>1107964</v>
      </c>
      <c r="G17" s="10" t="s">
        <v>24</v>
      </c>
      <c r="H17" s="10" t="s">
        <v>24</v>
      </c>
      <c r="I17" s="6">
        <v>4.8019999999999996</v>
      </c>
      <c r="J17" s="9">
        <v>44561</v>
      </c>
      <c r="K17" s="7">
        <v>1069298</v>
      </c>
      <c r="L17" s="7">
        <v>466305</v>
      </c>
      <c r="M17" s="7">
        <v>429911</v>
      </c>
      <c r="N17" s="6">
        <v>5.15</v>
      </c>
      <c r="O17" s="6">
        <v>28.066019417475701</v>
      </c>
      <c r="P17" s="10" t="s">
        <v>23</v>
      </c>
      <c r="Q17" s="6">
        <v>-14.0869405624696</v>
      </c>
      <c r="R17" s="10" t="s">
        <v>24</v>
      </c>
      <c r="S17" s="7">
        <v>288957</v>
      </c>
    </row>
    <row r="18" spans="1:19" x14ac:dyDescent="0.3">
      <c r="A18" s="2" t="s">
        <v>34</v>
      </c>
      <c r="B18" s="5">
        <v>4981115</v>
      </c>
      <c r="C18" s="6">
        <v>154.79</v>
      </c>
      <c r="D18" s="7">
        <v>41958486</v>
      </c>
      <c r="E18" s="10" t="s">
        <v>24</v>
      </c>
      <c r="F18" s="7">
        <v>4613000</v>
      </c>
      <c r="G18" s="7">
        <v>10000</v>
      </c>
      <c r="H18" s="10" t="s">
        <v>24</v>
      </c>
      <c r="I18" s="6">
        <v>70.382000000000005</v>
      </c>
      <c r="J18" s="9">
        <v>44561</v>
      </c>
      <c r="K18" s="7">
        <v>2762000</v>
      </c>
      <c r="L18" s="7">
        <v>609000</v>
      </c>
      <c r="M18" s="7">
        <v>463000</v>
      </c>
      <c r="N18" s="6">
        <v>1.1299999999999999</v>
      </c>
      <c r="O18" s="6">
        <v>136.982300884956</v>
      </c>
      <c r="P18" s="10" t="s">
        <v>23</v>
      </c>
      <c r="Q18" s="10" t="s">
        <v>24</v>
      </c>
      <c r="R18" s="10" t="s">
        <v>24</v>
      </c>
      <c r="S18" s="7">
        <v>53000</v>
      </c>
    </row>
    <row r="20" spans="1:19" x14ac:dyDescent="0.3">
      <c r="A20" s="11" t="s">
        <v>35</v>
      </c>
      <c r="B20" s="2" t="s">
        <v>19</v>
      </c>
      <c r="C20" s="6">
        <v>19.510000000000002</v>
      </c>
      <c r="D20" s="7">
        <v>55327038</v>
      </c>
      <c r="E20" s="8">
        <v>4628.1000000000004</v>
      </c>
      <c r="F20" s="7">
        <v>1107964</v>
      </c>
      <c r="G20" s="7">
        <v>2000</v>
      </c>
      <c r="H20" s="8">
        <v>9669.1</v>
      </c>
      <c r="I20" s="6">
        <v>-9.32</v>
      </c>
      <c r="J20" s="2" t="s">
        <v>19</v>
      </c>
      <c r="K20" s="7">
        <v>647986</v>
      </c>
      <c r="L20" s="7">
        <v>-4011000</v>
      </c>
      <c r="M20" s="7">
        <v>-6246000</v>
      </c>
      <c r="N20" s="6">
        <v>-20.89</v>
      </c>
      <c r="O20" s="6">
        <v>15.36</v>
      </c>
      <c r="P20" s="6">
        <v>259.89</v>
      </c>
      <c r="Q20" s="6">
        <v>-219.55</v>
      </c>
      <c r="R20" s="10" t="s">
        <v>24</v>
      </c>
      <c r="S20" s="7">
        <v>-9419000</v>
      </c>
    </row>
    <row r="21" spans="1:19" x14ac:dyDescent="0.3">
      <c r="A21" s="11" t="s">
        <v>36</v>
      </c>
      <c r="B21" s="2" t="s">
        <v>19</v>
      </c>
      <c r="C21" s="6">
        <v>86.5</v>
      </c>
      <c r="D21" s="7">
        <v>187593969</v>
      </c>
      <c r="E21" s="8">
        <v>15190.6</v>
      </c>
      <c r="F21" s="7">
        <v>7633000</v>
      </c>
      <c r="G21" s="7">
        <v>3000</v>
      </c>
      <c r="H21" s="8">
        <v>30417.200000000001</v>
      </c>
      <c r="I21" s="6">
        <v>7.44</v>
      </c>
      <c r="J21" s="2" t="s">
        <v>19</v>
      </c>
      <c r="K21" s="7">
        <v>1832567</v>
      </c>
      <c r="L21" s="7">
        <v>508153</v>
      </c>
      <c r="M21" s="7">
        <v>442456</v>
      </c>
      <c r="N21" s="6">
        <v>1.61</v>
      </c>
      <c r="O21" s="6">
        <v>31.55</v>
      </c>
      <c r="P21" s="6">
        <v>496.48</v>
      </c>
      <c r="Q21" s="6">
        <v>-36.630000000000003</v>
      </c>
      <c r="R21" s="10" t="s">
        <v>24</v>
      </c>
      <c r="S21" s="7">
        <v>210000</v>
      </c>
    </row>
    <row r="22" spans="1:19" x14ac:dyDescent="0.3">
      <c r="A22" s="11" t="s">
        <v>37</v>
      </c>
      <c r="B22" s="2" t="s">
        <v>19</v>
      </c>
      <c r="C22" s="6">
        <v>90.13</v>
      </c>
      <c r="D22" s="7">
        <v>288072838</v>
      </c>
      <c r="E22" s="8">
        <v>17810.8</v>
      </c>
      <c r="F22" s="7">
        <v>10971119</v>
      </c>
      <c r="G22" s="7">
        <v>4000</v>
      </c>
      <c r="H22" s="8">
        <v>30658.3</v>
      </c>
      <c r="I22" s="6">
        <v>9.25</v>
      </c>
      <c r="J22" s="2" t="s">
        <v>19</v>
      </c>
      <c r="K22" s="7">
        <v>2057042</v>
      </c>
      <c r="L22" s="7">
        <v>-255029</v>
      </c>
      <c r="M22" s="7">
        <v>-801916</v>
      </c>
      <c r="N22" s="6">
        <v>-2.59</v>
      </c>
      <c r="O22" s="6">
        <v>44.86</v>
      </c>
      <c r="P22" s="6">
        <v>436.52</v>
      </c>
      <c r="Q22" s="6">
        <v>-99.05</v>
      </c>
      <c r="R22" s="10" t="s">
        <v>24</v>
      </c>
      <c r="S22" s="7">
        <v>-1688513</v>
      </c>
    </row>
    <row r="23" spans="1:19" x14ac:dyDescent="0.3">
      <c r="A23" s="11" t="s">
        <v>38</v>
      </c>
      <c r="B23" s="2" t="s">
        <v>19</v>
      </c>
      <c r="C23" s="6">
        <v>184.17</v>
      </c>
      <c r="D23" s="7">
        <v>1138522769</v>
      </c>
      <c r="E23" s="8">
        <v>43826.7</v>
      </c>
      <c r="F23" s="7">
        <v>36232000</v>
      </c>
      <c r="G23" s="7">
        <v>7000</v>
      </c>
      <c r="H23" s="8">
        <v>52218.7</v>
      </c>
      <c r="I23" s="6">
        <v>32.4</v>
      </c>
      <c r="J23" s="2" t="s">
        <v>19</v>
      </c>
      <c r="K23" s="7">
        <v>3505000</v>
      </c>
      <c r="L23" s="7">
        <v>2015000</v>
      </c>
      <c r="M23" s="7">
        <v>1712000</v>
      </c>
      <c r="N23" s="6">
        <v>5.15</v>
      </c>
      <c r="O23" s="6">
        <v>107.51</v>
      </c>
      <c r="P23" s="6">
        <v>553.20000000000005</v>
      </c>
      <c r="Q23" s="6">
        <v>-14.09</v>
      </c>
      <c r="R23" s="10" t="s">
        <v>24</v>
      </c>
      <c r="S23" s="7">
        <v>1099000</v>
      </c>
    </row>
  </sheetData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M23"/>
  <sheetViews>
    <sheetView workbookViewId="0"/>
  </sheetViews>
  <sheetFormatPr baseColWidth="10" defaultColWidth="8.88671875" defaultRowHeight="14.4" x14ac:dyDescent="0.3"/>
  <cols>
    <col min="1" max="1" width="48.5546875" customWidth="1"/>
    <col min="2" max="2" width="16.5546875" customWidth="1"/>
    <col min="3" max="5" width="19.5546875" customWidth="1"/>
    <col min="6" max="7" width="16.109375" customWidth="1"/>
    <col min="8" max="9" width="18" customWidth="1"/>
    <col min="10" max="10" width="16.109375" customWidth="1"/>
    <col min="11" max="11" width="22.44140625" customWidth="1"/>
    <col min="12" max="12" width="22" customWidth="1"/>
    <col min="13" max="13" width="21.109375" customWidth="1"/>
  </cols>
  <sheetData>
    <row r="3" spans="1:13" x14ac:dyDescent="0.3">
      <c r="A3" s="2" t="e">
        <f ca="1">SPGTable($B$8:$B$18,$C$5:$M$5,$C$6:$M$6,"Options:Curr=USD,Mag=Standard,ConvMethod=Recommended,FilingVer=Current/Restated")</f>
        <v>#NAME?</v>
      </c>
    </row>
    <row r="4" spans="1:13" x14ac:dyDescent="0.3">
      <c r="A4" s="3" t="e">
        <f ca="1">SPGLabel(266637,267969,"","Options:Curr=USD,Mag=Standard,ConvMethod=Recommended,FilingVer=Current/Restated")</f>
        <v>#NAME?</v>
      </c>
      <c r="B4" s="3" t="e">
        <f ca="1">SPGLabel(266637,267961,"","Options:Curr=USD,Mag=Standard,ConvMethod=Recommended,FilingVer=Current/Restated")</f>
        <v>#NAME?</v>
      </c>
      <c r="C4" s="4" t="e">
        <f ca="1">SPGLabel(266637,274477,"LTM","Current/Restated","Options:Curr=USD,Mag=Standard,ConvMethod=Recommended,FilingVer=Current/Restated")</f>
        <v>#NAME?</v>
      </c>
      <c r="D4" s="4" t="e">
        <f ca="1">SPGLabel(266637,274480,"LTM","Current/Restated","Options:Curr=USD,Mag=Standard,ConvMethod=Recommended,FilingVer=Current/Restated")</f>
        <v>#NAME?</v>
      </c>
      <c r="E4" s="4" t="e">
        <f ca="1">SPGLabel(266637,274481,"LTM","Current/Restated","Options:Curr=USD,Mag=Standard,ConvMethod=Recommended,FilingVer=Current/Restated")</f>
        <v>#NAME?</v>
      </c>
      <c r="F4" s="4" t="e">
        <f ca="1">SPGLabel(266637,274478,"LTM","Current/Restated","Options:Curr=USD,Mag=Standard,ConvMethod=Recommended,FilingVer=Current/Restated")</f>
        <v>#NAME?</v>
      </c>
      <c r="G4" s="4" t="e">
        <f ca="1">SPGLabel(266637,274469,"LTM","Current/Restated","Options:Curr=USD,Mag=Standard,ConvMethod=Recommended,FilingVer=Current/Restated")</f>
        <v>#NAME?</v>
      </c>
      <c r="H4" s="4" t="e">
        <f ca="1">SPGLabel(266637,306316,"LTM","Current/Restated","Options:Curr=USD,Mag=Standard,ConvMethod=Recommended,FilingVer=Current/Restated")</f>
        <v>#NAME?</v>
      </c>
      <c r="I4" s="4" t="e">
        <f ca="1">SPGLabel(266637,274467,"LTM","Current/Restated","Options:Curr=USD,Mag=Standard,ConvMethod=Recommended,FilingVer=Current/Restated")</f>
        <v>#NAME?</v>
      </c>
      <c r="J4" s="4" t="e">
        <f ca="1">SPGLabel(266637,274468,"LTM","Current/Restated","Options:Curr=USD,Mag=Standard,ConvMethod=Recommended,FilingVer=Current/Restated")</f>
        <v>#NAME?</v>
      </c>
      <c r="K4" s="4" t="e">
        <f ca="1">SPGLabel(266637,298537,"LTM","Current/Restated","Options:Curr=USD,Mag=Standard,ConvMethod=Recommended,FilingVer=Current/Restated")</f>
        <v>#NAME?</v>
      </c>
      <c r="L4" s="4" t="e">
        <f ca="1">SPGLabel(266637,298535,"LTM","Current/Restated","Options:Curr=USD,Mag=Standard,ConvMethod=Recommended,FilingVer=Current/Restated")</f>
        <v>#NAME?</v>
      </c>
      <c r="M4" s="4" t="e">
        <f ca="1">SPGLabel(266637,298534,"LTM","Current/Restated","Options:Curr=USD,Mag=Standard,ConvMethod=Recommended,FilingVer=Current/Restated")</f>
        <v>#NAME?</v>
      </c>
    </row>
    <row r="5" spans="1:13" ht="28.8" x14ac:dyDescent="0.3">
      <c r="A5" s="3" t="s">
        <v>0</v>
      </c>
      <c r="B5" s="3" t="s">
        <v>1</v>
      </c>
      <c r="C5" s="4" t="s">
        <v>39</v>
      </c>
      <c r="D5" s="4" t="s">
        <v>40</v>
      </c>
      <c r="E5" s="4" t="s">
        <v>41</v>
      </c>
      <c r="F5" s="4" t="s">
        <v>42</v>
      </c>
      <c r="G5" s="4" t="s">
        <v>43</v>
      </c>
      <c r="H5" s="4" t="s">
        <v>44</v>
      </c>
      <c r="I5" s="4" t="s">
        <v>45</v>
      </c>
      <c r="J5" s="4" t="s">
        <v>46</v>
      </c>
      <c r="K5" s="4" t="s">
        <v>47</v>
      </c>
      <c r="L5" s="4" t="s">
        <v>48</v>
      </c>
      <c r="M5" s="4" t="s">
        <v>49</v>
      </c>
    </row>
    <row r="6" spans="1:13" x14ac:dyDescent="0.3">
      <c r="A6" s="3" t="s">
        <v>19</v>
      </c>
      <c r="B6" s="3" t="s">
        <v>19</v>
      </c>
      <c r="C6" s="4" t="s">
        <v>20</v>
      </c>
      <c r="D6" s="4" t="s">
        <v>20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</row>
    <row r="7" spans="1:13" x14ac:dyDescent="0.3">
      <c r="A7" s="3" t="s">
        <v>19</v>
      </c>
      <c r="B7" s="3" t="s">
        <v>19</v>
      </c>
      <c r="C7" s="4" t="s">
        <v>21</v>
      </c>
      <c r="D7" s="4" t="s">
        <v>21</v>
      </c>
      <c r="E7" s="4" t="s">
        <v>21</v>
      </c>
      <c r="F7" s="4" t="s">
        <v>21</v>
      </c>
      <c r="G7" s="4" t="s">
        <v>21</v>
      </c>
      <c r="H7" s="4" t="s">
        <v>21</v>
      </c>
      <c r="I7" s="4" t="s">
        <v>21</v>
      </c>
      <c r="J7" s="4" t="s">
        <v>21</v>
      </c>
      <c r="K7" s="4" t="s">
        <v>21</v>
      </c>
      <c r="L7" s="4" t="s">
        <v>21</v>
      </c>
      <c r="M7" s="4" t="s">
        <v>21</v>
      </c>
    </row>
    <row r="8" spans="1:13" x14ac:dyDescent="0.3">
      <c r="A8" s="2" t="s">
        <v>22</v>
      </c>
      <c r="B8" s="5">
        <v>4154740</v>
      </c>
      <c r="C8" s="6">
        <v>50.095999999999997</v>
      </c>
      <c r="D8" s="6">
        <v>24.664999999999999</v>
      </c>
      <c r="E8" s="6">
        <v>20.707999999999998</v>
      </c>
      <c r="F8" s="6">
        <v>9.8279999999999994</v>
      </c>
      <c r="G8" s="6">
        <v>45.093000000000004</v>
      </c>
      <c r="H8" s="6">
        <v>277.07299999999998</v>
      </c>
      <c r="I8" s="6">
        <v>117.057</v>
      </c>
      <c r="J8" s="6">
        <v>6.7439999999999998</v>
      </c>
      <c r="K8" s="8">
        <v>12.8014735509123</v>
      </c>
      <c r="L8" s="10" t="s">
        <v>23</v>
      </c>
      <c r="M8" s="6">
        <v>4.5514158523745296</v>
      </c>
    </row>
    <row r="9" spans="1:13" x14ac:dyDescent="0.3">
      <c r="A9" s="2" t="s">
        <v>25</v>
      </c>
      <c r="B9" s="5">
        <v>4980730</v>
      </c>
      <c r="C9" s="6">
        <v>-9.2720000000000002</v>
      </c>
      <c r="D9" s="6">
        <v>-114.437</v>
      </c>
      <c r="E9" s="6">
        <v>-178.203</v>
      </c>
      <c r="F9" s="6">
        <v>-268.73</v>
      </c>
      <c r="G9" s="10" t="s">
        <v>23</v>
      </c>
      <c r="H9" s="6">
        <v>-10.047000000000001</v>
      </c>
      <c r="I9" s="6">
        <v>77.846000000000004</v>
      </c>
      <c r="J9" s="10" t="s">
        <v>23</v>
      </c>
      <c r="K9" s="10" t="s">
        <v>24</v>
      </c>
      <c r="L9" s="10" t="s">
        <v>24</v>
      </c>
      <c r="M9" s="10" t="s">
        <v>24</v>
      </c>
    </row>
    <row r="10" spans="1:13" x14ac:dyDescent="0.3">
      <c r="A10" s="2" t="s">
        <v>26</v>
      </c>
      <c r="B10" s="5">
        <v>4813313</v>
      </c>
      <c r="C10" s="6">
        <v>36.334000000000003</v>
      </c>
      <c r="D10" s="6">
        <v>30.895</v>
      </c>
      <c r="E10" s="6">
        <v>24.988</v>
      </c>
      <c r="F10" s="6">
        <v>8.2509999999999994</v>
      </c>
      <c r="G10" s="6">
        <v>181.77</v>
      </c>
      <c r="H10" s="10" t="s">
        <v>23</v>
      </c>
      <c r="I10" s="6">
        <v>68.524000000000001</v>
      </c>
      <c r="J10" s="6">
        <v>6.3550000000000004</v>
      </c>
      <c r="K10" s="10" t="s">
        <v>24</v>
      </c>
      <c r="L10" s="10" t="s">
        <v>24</v>
      </c>
      <c r="M10" s="10" t="s">
        <v>24</v>
      </c>
    </row>
    <row r="11" spans="1:13" x14ac:dyDescent="0.3">
      <c r="A11" s="2" t="s">
        <v>27</v>
      </c>
      <c r="B11" s="5">
        <v>4046286</v>
      </c>
      <c r="C11" s="6">
        <v>77.686999999999998</v>
      </c>
      <c r="D11" s="6">
        <v>59.003999999999998</v>
      </c>
      <c r="E11" s="6">
        <v>50.131999999999998</v>
      </c>
      <c r="F11" s="6">
        <v>32.182000000000002</v>
      </c>
      <c r="G11" s="6">
        <v>61.161000000000001</v>
      </c>
      <c r="H11" s="6">
        <v>127.42700000000001</v>
      </c>
      <c r="I11" s="6">
        <v>88.953000000000003</v>
      </c>
      <c r="J11" s="6">
        <v>5.14</v>
      </c>
      <c r="K11" s="10" t="s">
        <v>24</v>
      </c>
      <c r="L11" s="6">
        <v>153.170731707317</v>
      </c>
      <c r="M11" s="6">
        <v>4.4626723245284596</v>
      </c>
    </row>
    <row r="12" spans="1:13" x14ac:dyDescent="0.3">
      <c r="A12" s="2" t="s">
        <v>28</v>
      </c>
      <c r="B12" s="5">
        <v>4980858</v>
      </c>
      <c r="C12" s="6">
        <v>-70.703000000000003</v>
      </c>
      <c r="D12" s="6">
        <v>-162.875</v>
      </c>
      <c r="E12" s="6">
        <v>-247.25899999999999</v>
      </c>
      <c r="F12" s="10" t="s">
        <v>23</v>
      </c>
      <c r="G12" s="6">
        <v>-30.635000000000002</v>
      </c>
      <c r="H12" s="6">
        <v>42.116</v>
      </c>
      <c r="I12" s="6">
        <v>81.052999999999997</v>
      </c>
      <c r="J12" s="10" t="s">
        <v>23</v>
      </c>
      <c r="K12" s="10" t="s">
        <v>24</v>
      </c>
      <c r="L12" s="10" t="s">
        <v>24</v>
      </c>
      <c r="M12" s="10" t="s">
        <v>24</v>
      </c>
    </row>
    <row r="13" spans="1:13" x14ac:dyDescent="0.3">
      <c r="A13" s="2" t="s">
        <v>29</v>
      </c>
      <c r="B13" s="5">
        <v>4239194</v>
      </c>
      <c r="C13" s="6">
        <v>33.286999999999999</v>
      </c>
      <c r="D13" s="6">
        <v>4.6369999999999996</v>
      </c>
      <c r="E13" s="6">
        <v>-16.817</v>
      </c>
      <c r="F13" s="6">
        <v>-15.363</v>
      </c>
      <c r="G13" s="6">
        <v>85.256</v>
      </c>
      <c r="H13" s="10" t="s">
        <v>23</v>
      </c>
      <c r="I13" s="6">
        <v>55.02</v>
      </c>
      <c r="J13" s="6">
        <v>24.369</v>
      </c>
      <c r="K13" s="8">
        <v>0.75891464809231701</v>
      </c>
      <c r="L13" s="6">
        <v>-6.9505322479649303</v>
      </c>
      <c r="M13" s="6">
        <v>-2.3323002573934999</v>
      </c>
    </row>
    <row r="14" spans="1:13" x14ac:dyDescent="0.3">
      <c r="A14" s="2" t="s">
        <v>30</v>
      </c>
      <c r="B14" s="5">
        <v>4232236</v>
      </c>
      <c r="C14" s="6">
        <v>-148.15899999999999</v>
      </c>
      <c r="D14" s="6">
        <v>-276.87900000000002</v>
      </c>
      <c r="E14" s="10" t="s">
        <v>23</v>
      </c>
      <c r="F14" s="10" t="s">
        <v>23</v>
      </c>
      <c r="G14" s="6">
        <v>-49.372999999999998</v>
      </c>
      <c r="H14" s="6">
        <v>57.777999999999999</v>
      </c>
      <c r="I14" s="6">
        <v>84.391000000000005</v>
      </c>
      <c r="J14" s="10" t="s">
        <v>23</v>
      </c>
      <c r="K14" s="10" t="s">
        <v>24</v>
      </c>
      <c r="L14" s="10" t="s">
        <v>24</v>
      </c>
      <c r="M14" s="10" t="s">
        <v>24</v>
      </c>
    </row>
    <row r="15" spans="1:13" x14ac:dyDescent="0.3">
      <c r="A15" s="2" t="s">
        <v>31</v>
      </c>
      <c r="B15" s="5">
        <v>4019144</v>
      </c>
      <c r="C15" s="6">
        <v>72.218000000000004</v>
      </c>
      <c r="D15" s="6">
        <v>49.917999999999999</v>
      </c>
      <c r="E15" s="6">
        <v>42.225999999999999</v>
      </c>
      <c r="F15" s="6">
        <v>16.776</v>
      </c>
      <c r="G15" s="6">
        <v>52.75</v>
      </c>
      <c r="H15" s="6">
        <v>208.08099999999999</v>
      </c>
      <c r="I15" s="6">
        <v>109.102</v>
      </c>
      <c r="J15" s="6">
        <v>7.2990000000000004</v>
      </c>
      <c r="K15" s="10" t="s">
        <v>24</v>
      </c>
      <c r="L15" s="10" t="s">
        <v>23</v>
      </c>
      <c r="M15" s="6">
        <v>2.60580062744094</v>
      </c>
    </row>
    <row r="16" spans="1:13" x14ac:dyDescent="0.3">
      <c r="A16" s="2" t="s">
        <v>32</v>
      </c>
      <c r="B16" s="5">
        <v>10348007</v>
      </c>
      <c r="C16" s="6">
        <v>70.683000000000007</v>
      </c>
      <c r="D16" s="6">
        <v>44.177</v>
      </c>
      <c r="E16" s="6">
        <v>36.545999999999999</v>
      </c>
      <c r="F16" s="6">
        <v>19.597999999999999</v>
      </c>
      <c r="G16" s="6">
        <v>31.053000000000001</v>
      </c>
      <c r="H16" s="6">
        <v>79.739000000000004</v>
      </c>
      <c r="I16" s="6">
        <v>66.075000000000003</v>
      </c>
      <c r="J16" s="6">
        <v>3.8290000000000002</v>
      </c>
      <c r="K16" s="8">
        <v>33.464925599757102</v>
      </c>
      <c r="L16" s="6">
        <v>23.238095238095202</v>
      </c>
      <c r="M16" s="6">
        <v>5.5305284034565796</v>
      </c>
    </row>
    <row r="17" spans="1:13" x14ac:dyDescent="0.3">
      <c r="A17" s="2" t="s">
        <v>33</v>
      </c>
      <c r="B17" s="5">
        <v>4046290</v>
      </c>
      <c r="C17" s="6">
        <v>56.073999999999998</v>
      </c>
      <c r="D17" s="6">
        <v>43.609000000000002</v>
      </c>
      <c r="E17" s="6">
        <v>40.204999999999998</v>
      </c>
      <c r="F17" s="6">
        <v>27.023</v>
      </c>
      <c r="G17" s="6">
        <v>38.139000000000003</v>
      </c>
      <c r="H17" s="6">
        <v>162.10499999999999</v>
      </c>
      <c r="I17" s="6">
        <v>80.647000000000006</v>
      </c>
      <c r="J17" s="6">
        <v>2.3279999999999998</v>
      </c>
      <c r="K17" s="8">
        <v>31.321981310793799</v>
      </c>
      <c r="L17" s="6">
        <v>247.830198186454</v>
      </c>
      <c r="M17" s="6">
        <v>16.6583158516293</v>
      </c>
    </row>
    <row r="18" spans="1:13" x14ac:dyDescent="0.3">
      <c r="A18" s="2" t="s">
        <v>34</v>
      </c>
      <c r="B18" s="5">
        <v>4981115</v>
      </c>
      <c r="C18" s="6">
        <v>52.606999999999999</v>
      </c>
      <c r="D18" s="6">
        <v>22.048999999999999</v>
      </c>
      <c r="E18" s="6">
        <v>16.763000000000002</v>
      </c>
      <c r="F18" s="6">
        <v>1.774</v>
      </c>
      <c r="G18" s="6">
        <v>49.783000000000001</v>
      </c>
      <c r="H18" s="6">
        <v>290.38499999999999</v>
      </c>
      <c r="I18" s="6">
        <v>60.704999999999998</v>
      </c>
      <c r="J18" s="6">
        <v>7.141</v>
      </c>
      <c r="K18" s="10" t="s">
        <v>24</v>
      </c>
      <c r="L18" s="10" t="s">
        <v>24</v>
      </c>
      <c r="M18" s="10" t="s">
        <v>24</v>
      </c>
    </row>
    <row r="20" spans="1:13" x14ac:dyDescent="0.3">
      <c r="A20" s="11" t="s">
        <v>35</v>
      </c>
      <c r="B20" s="2" t="s">
        <v>19</v>
      </c>
      <c r="C20" s="6">
        <v>-148.16</v>
      </c>
      <c r="D20" s="6">
        <v>-276.88</v>
      </c>
      <c r="E20" s="6">
        <v>-247.26</v>
      </c>
      <c r="F20" s="6">
        <v>-268.73</v>
      </c>
      <c r="G20" s="6">
        <v>-49.37</v>
      </c>
      <c r="H20" s="6">
        <v>-10.050000000000001</v>
      </c>
      <c r="I20" s="6">
        <v>55.02</v>
      </c>
      <c r="J20" s="6">
        <v>2.33</v>
      </c>
      <c r="K20" s="8">
        <v>0.8</v>
      </c>
      <c r="L20" s="6">
        <v>-6.95</v>
      </c>
      <c r="M20" s="6">
        <v>-2.33</v>
      </c>
    </row>
    <row r="21" spans="1:13" x14ac:dyDescent="0.3">
      <c r="A21" s="11" t="s">
        <v>36</v>
      </c>
      <c r="B21" s="2" t="s">
        <v>19</v>
      </c>
      <c r="C21" s="6">
        <v>43.22</v>
      </c>
      <c r="D21" s="6">
        <v>27.78</v>
      </c>
      <c r="E21" s="6">
        <v>24.99</v>
      </c>
      <c r="F21" s="6">
        <v>13.3</v>
      </c>
      <c r="G21" s="6">
        <v>45.09</v>
      </c>
      <c r="H21" s="6">
        <v>103.58</v>
      </c>
      <c r="I21" s="6">
        <v>80.849999999999994</v>
      </c>
      <c r="J21" s="6">
        <v>6.36</v>
      </c>
      <c r="K21" s="8">
        <v>22.1</v>
      </c>
      <c r="L21" s="6">
        <v>88.2</v>
      </c>
      <c r="M21" s="6">
        <v>4.51</v>
      </c>
    </row>
    <row r="22" spans="1:13" x14ac:dyDescent="0.3">
      <c r="A22" s="11" t="s">
        <v>37</v>
      </c>
      <c r="B22" s="2" t="s">
        <v>19</v>
      </c>
      <c r="C22" s="6">
        <v>16.829999999999998</v>
      </c>
      <c r="D22" s="6">
        <v>-29.73</v>
      </c>
      <c r="E22" s="6">
        <v>-25.27</v>
      </c>
      <c r="F22" s="6">
        <v>-21.3</v>
      </c>
      <c r="G22" s="6">
        <v>46.13</v>
      </c>
      <c r="H22" s="6">
        <v>118.04</v>
      </c>
      <c r="I22" s="6">
        <v>82.87</v>
      </c>
      <c r="J22" s="6">
        <v>8.01</v>
      </c>
      <c r="K22" s="8">
        <v>19.600000000000001</v>
      </c>
      <c r="L22" s="6">
        <v>104.32</v>
      </c>
      <c r="M22" s="6">
        <v>5.25</v>
      </c>
    </row>
    <row r="23" spans="1:13" x14ac:dyDescent="0.3">
      <c r="A23" s="11" t="s">
        <v>38</v>
      </c>
      <c r="B23" s="2" t="s">
        <v>19</v>
      </c>
      <c r="C23" s="6">
        <v>77.69</v>
      </c>
      <c r="D23" s="6">
        <v>59</v>
      </c>
      <c r="E23" s="6">
        <v>50.13</v>
      </c>
      <c r="F23" s="6">
        <v>32.18</v>
      </c>
      <c r="G23" s="6">
        <v>181.77</v>
      </c>
      <c r="H23" s="6">
        <v>277.07</v>
      </c>
      <c r="I23" s="6">
        <v>117.06</v>
      </c>
      <c r="J23" s="6">
        <v>24.37</v>
      </c>
      <c r="K23" s="8">
        <v>33.5</v>
      </c>
      <c r="L23" s="6">
        <v>247.83</v>
      </c>
      <c r="M23" s="6">
        <v>16.66</v>
      </c>
    </row>
  </sheetData>
  <pageMargins left="0.7" right="0.7" top="0.75" bottom="0.75" header="0.3" footer="0.3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M23"/>
  <sheetViews>
    <sheetView workbookViewId="0"/>
  </sheetViews>
  <sheetFormatPr baseColWidth="10" defaultColWidth="8.88671875" defaultRowHeight="14.4" x14ac:dyDescent="0.3"/>
  <cols>
    <col min="1" max="1" width="48.5546875" customWidth="1"/>
    <col min="2" max="2" width="16.5546875" customWidth="1"/>
    <col min="3" max="9" width="21.109375" customWidth="1"/>
    <col min="10" max="10" width="29.44140625" customWidth="1"/>
    <col min="11" max="13" width="21.109375" customWidth="1"/>
  </cols>
  <sheetData>
    <row r="3" spans="1:13" x14ac:dyDescent="0.3">
      <c r="A3" s="2" t="e">
        <f ca="1">SPGTable($B$8:$B$18,$C$5:$M$5,$C$6:$M$6,"Options:Curr=USD,Mag=Standard,ConvMethod=Recommended,FilingVer=Current/Restated")</f>
        <v>#NAME?</v>
      </c>
    </row>
    <row r="4" spans="1:13" x14ac:dyDescent="0.3">
      <c r="A4" s="3" t="e">
        <f ca="1">SPGLabel(266637,267969,"","Options:Curr=USD,Mag=Standard,ConvMethod=Recommended,FilingVer=Current/Restated")</f>
        <v>#NAME?</v>
      </c>
      <c r="B4" s="3" t="e">
        <f ca="1">SPGLabel(266637,267961,"","Options:Curr=USD,Mag=Standard,ConvMethod=Recommended,FilingVer=Current/Restated")</f>
        <v>#NAME?</v>
      </c>
      <c r="C4" s="4" t="e">
        <f ca="1">SPGLabel(266637,329262,"","Options:Curr=USD,Mag=Standard,ConvMethod=Recommended,FilingVer=Current/Restated")</f>
        <v>#NAME?</v>
      </c>
      <c r="D4" s="4" t="e">
        <f ca="1">SPGLabel(266637,328546,"","Options:Curr=USD,Mag=Standard,ConvMethod=Recommended,FilingVer=Current/Restated")</f>
        <v>#NAME?</v>
      </c>
      <c r="E4" s="4" t="e">
        <f ca="1">SPGLabel(266637,328549,"","Options:Curr=USD,Mag=Standard,ConvMethod=Recommended,FilingVer=Current/Restated")</f>
        <v>#NAME?</v>
      </c>
      <c r="F4" s="4" t="e">
        <f ca="1">SPGLabel(266637,329310,"","Options:Curr=USD,Mag=Standard,ConvMethod=Recommended,FilingVer=Current/Restated")</f>
        <v>#NAME?</v>
      </c>
      <c r="G4" s="4" t="e">
        <f ca="1">SPGLabel(266637,328499,"","Options:Curr=USD,Mag=Standard,ConvMethod=Recommended,FilingVer=Current/Restated")</f>
        <v>#NAME?</v>
      </c>
      <c r="H4" s="4" t="e">
        <f ca="1">SPGLabel(266637,290890,"NTM","Options:Curr=USD,Mag=Standard,ConvMethod=Recommended,FilingVer=Current/Restated")</f>
        <v>#NAME?</v>
      </c>
      <c r="I4" s="4" t="e">
        <f ca="1">SPGLabel(266637,290896,"","Options:Curr=USD,Mag=Standard,ConvMethod=Recommended,FilingVer=Current/Restated")</f>
        <v>#NAME?</v>
      </c>
      <c r="J4" s="4" t="e">
        <f ca="1">SPGLabel(266637,317678,"NTM","Options:Curr=USD,Mag=Standard,ConvMethod=Recommended,FilingVer=Current/Restated")</f>
        <v>#NAME?</v>
      </c>
      <c r="K4" s="4" t="e">
        <f ca="1">SPGLabel(266637,317682,"NTM","Options:Curr=USD,Mag=Standard,ConvMethod=Recommended,FilingVer=Current/Restated")</f>
        <v>#NAME?</v>
      </c>
      <c r="L4" s="4" t="e">
        <f ca="1">SPGLabel(266637,317683,"NTM","Options:Curr=USD,Mag=Standard,ConvMethod=Recommended,FilingVer=Current/Restated")</f>
        <v>#NAME?</v>
      </c>
      <c r="M4" s="4" t="e">
        <f ca="1">SPGLabel(266637,317681,"FY0","Options:Curr=USD,Mag=Standard,ConvMethod=Recommended,FilingVer=Current/Restated")</f>
        <v>#NAME?</v>
      </c>
    </row>
    <row r="5" spans="1:13" ht="28.8" x14ac:dyDescent="0.3">
      <c r="A5" s="3" t="s">
        <v>0</v>
      </c>
      <c r="B5" s="3" t="s">
        <v>1</v>
      </c>
      <c r="C5" s="4" t="s">
        <v>50</v>
      </c>
      <c r="D5" s="4" t="s">
        <v>51</v>
      </c>
      <c r="E5" s="4" t="s">
        <v>52</v>
      </c>
      <c r="F5" s="4" t="s">
        <v>53</v>
      </c>
      <c r="G5" s="4" t="s">
        <v>54</v>
      </c>
      <c r="H5" s="4" t="s">
        <v>55</v>
      </c>
      <c r="I5" s="4" t="s">
        <v>56</v>
      </c>
      <c r="J5" s="4" t="s">
        <v>57</v>
      </c>
      <c r="K5" s="4" t="s">
        <v>58</v>
      </c>
      <c r="L5" s="4" t="s">
        <v>59</v>
      </c>
      <c r="M5" s="4" t="s">
        <v>60</v>
      </c>
    </row>
    <row r="6" spans="1:13" x14ac:dyDescent="0.3">
      <c r="A6" s="3" t="s">
        <v>19</v>
      </c>
      <c r="B6" s="3" t="s">
        <v>19</v>
      </c>
      <c r="C6" s="4" t="s">
        <v>19</v>
      </c>
      <c r="D6" s="4" t="s">
        <v>19</v>
      </c>
      <c r="E6" s="4" t="s">
        <v>19</v>
      </c>
      <c r="F6" s="4" t="s">
        <v>19</v>
      </c>
      <c r="G6" s="4" t="s">
        <v>19</v>
      </c>
      <c r="H6" s="4" t="e">
        <f ca="1">SPGLabel(266637,290890,"&lt;&gt;NTM","Options:Curr=USD,Mag=Standard,ConvMethod=Recommended,FilingVer=Current/Restated")</f>
        <v>#NAME?</v>
      </c>
      <c r="I6" s="4" t="s">
        <v>19</v>
      </c>
      <c r="J6" s="4" t="e">
        <f ca="1">SPGLabel(266637,317678,"&lt;&gt;NTM","Options:Curr=USD,Mag=Standard,ConvMethod=Recommended,FilingVer=Current/Restated")</f>
        <v>#NAME?</v>
      </c>
      <c r="K6" s="4" t="e">
        <f ca="1">SPGLabel(266637,317682,"&lt;&gt;NTM","Options:Curr=USD,Mag=Standard,ConvMethod=Recommended,FilingVer=Current/Restated")</f>
        <v>#NAME?</v>
      </c>
      <c r="L6" s="4" t="e">
        <f ca="1">SPGLabel(266637,317683,"&lt;&gt;NTM","Options:Curr=USD,Mag=Standard,ConvMethod=Recommended,FilingVer=Current/Restated")</f>
        <v>#NAME?</v>
      </c>
      <c r="M6" s="4" t="s">
        <v>61</v>
      </c>
    </row>
    <row r="7" spans="1:13" x14ac:dyDescent="0.3">
      <c r="A7" s="3" t="s">
        <v>19</v>
      </c>
      <c r="B7" s="3" t="s">
        <v>19</v>
      </c>
      <c r="C7" s="4" t="s">
        <v>19</v>
      </c>
      <c r="D7" s="4" t="s">
        <v>19</v>
      </c>
      <c r="E7" s="4" t="s">
        <v>19</v>
      </c>
      <c r="F7" s="4" t="s">
        <v>19</v>
      </c>
      <c r="G7" s="4" t="s">
        <v>19</v>
      </c>
      <c r="H7" s="4" t="s">
        <v>19</v>
      </c>
      <c r="I7" s="4" t="s">
        <v>19</v>
      </c>
      <c r="J7" s="4" t="s">
        <v>19</v>
      </c>
      <c r="K7" s="4" t="s">
        <v>19</v>
      </c>
      <c r="L7" s="4" t="s">
        <v>19</v>
      </c>
      <c r="M7" s="4" t="s">
        <v>19</v>
      </c>
    </row>
    <row r="8" spans="1:13" x14ac:dyDescent="0.3">
      <c r="A8" s="2" t="s">
        <v>22</v>
      </c>
      <c r="B8" s="5">
        <v>4154740</v>
      </c>
      <c r="C8" s="6">
        <v>11.9667386537624</v>
      </c>
      <c r="D8" s="6">
        <v>3.0852344710402</v>
      </c>
      <c r="E8" s="6">
        <v>14.8984974302619</v>
      </c>
      <c r="F8" s="6">
        <v>15.3590689753051</v>
      </c>
      <c r="G8" s="10" t="s">
        <v>23</v>
      </c>
      <c r="H8" s="8">
        <v>12.1935829889264</v>
      </c>
      <c r="I8" s="10" t="s">
        <v>24</v>
      </c>
      <c r="J8" s="6">
        <v>2.7126955811331999</v>
      </c>
      <c r="K8" s="6">
        <v>11.2247740069584</v>
      </c>
      <c r="L8" s="6">
        <v>13.801331157159799</v>
      </c>
      <c r="M8" s="10" t="s">
        <v>23</v>
      </c>
    </row>
    <row r="9" spans="1:13" x14ac:dyDescent="0.3">
      <c r="A9" s="2" t="s">
        <v>25</v>
      </c>
      <c r="B9" s="5">
        <v>4980730</v>
      </c>
      <c r="C9" s="10" t="s">
        <v>23</v>
      </c>
      <c r="D9" s="6">
        <v>14.6399903846665</v>
      </c>
      <c r="E9" s="10" t="s">
        <v>23</v>
      </c>
      <c r="F9" s="10" t="s">
        <v>23</v>
      </c>
      <c r="G9" s="6">
        <v>2.5989076861595799</v>
      </c>
      <c r="H9" s="10" t="s">
        <v>23</v>
      </c>
      <c r="I9" s="10" t="s">
        <v>24</v>
      </c>
      <c r="J9" s="6">
        <v>1.3151144725841</v>
      </c>
      <c r="K9" s="10" t="s">
        <v>24</v>
      </c>
      <c r="L9" s="6">
        <v>8.3694566130332007</v>
      </c>
      <c r="M9" s="8">
        <v>1.5656127044160999</v>
      </c>
    </row>
    <row r="10" spans="1:13" x14ac:dyDescent="0.3">
      <c r="A10" s="2" t="s">
        <v>26</v>
      </c>
      <c r="B10" s="5">
        <v>4813313</v>
      </c>
      <c r="C10" s="6">
        <v>14.3479109078148</v>
      </c>
      <c r="D10" s="6">
        <v>4.6481042837787196</v>
      </c>
      <c r="E10" s="6">
        <v>18.258575390976102</v>
      </c>
      <c r="F10" s="6">
        <v>28.628571428571401</v>
      </c>
      <c r="G10" s="10" t="s">
        <v>23</v>
      </c>
      <c r="H10" s="8">
        <v>15.274390243902401</v>
      </c>
      <c r="I10" s="10" t="s">
        <v>24</v>
      </c>
      <c r="J10" s="6">
        <v>2.7892079848426001</v>
      </c>
      <c r="K10" s="6">
        <v>10.648248247877</v>
      </c>
      <c r="L10" s="6">
        <v>14.409950855419501</v>
      </c>
      <c r="M10" s="8">
        <v>2.7866738312735002</v>
      </c>
    </row>
    <row r="11" spans="1:13" x14ac:dyDescent="0.3">
      <c r="A11" s="2" t="s">
        <v>27</v>
      </c>
      <c r="B11" s="5">
        <v>4046286</v>
      </c>
      <c r="C11" s="6">
        <v>32.069099913518897</v>
      </c>
      <c r="D11" s="6">
        <v>20.5749335023485</v>
      </c>
      <c r="E11" s="6">
        <v>41.625235728981004</v>
      </c>
      <c r="F11" s="6">
        <v>55.140718562874198</v>
      </c>
      <c r="G11" s="10" t="s">
        <v>23</v>
      </c>
      <c r="H11" s="8">
        <v>33.477115700271</v>
      </c>
      <c r="I11" s="8">
        <v>128.34146341463401</v>
      </c>
      <c r="J11" s="6">
        <v>3.7514672818411001</v>
      </c>
      <c r="K11" s="6">
        <v>21.287929703490502</v>
      </c>
      <c r="L11" s="6">
        <v>26.722284539191602</v>
      </c>
      <c r="M11" s="8">
        <v>45.710794449498799</v>
      </c>
    </row>
    <row r="12" spans="1:13" x14ac:dyDescent="0.3">
      <c r="A12" s="2" t="s">
        <v>28</v>
      </c>
      <c r="B12" s="5">
        <v>4980858</v>
      </c>
      <c r="C12" s="10" t="s">
        <v>23</v>
      </c>
      <c r="D12" s="6">
        <v>26.316141889118001</v>
      </c>
      <c r="E12" s="10" t="s">
        <v>23</v>
      </c>
      <c r="F12" s="10" t="s">
        <v>23</v>
      </c>
      <c r="G12" s="6">
        <v>5.5319713451843997</v>
      </c>
      <c r="H12" s="10" t="s">
        <v>23</v>
      </c>
      <c r="I12" s="10" t="s">
        <v>24</v>
      </c>
      <c r="J12" s="6">
        <v>4.3144982968173</v>
      </c>
      <c r="K12" s="6">
        <v>27.369943290622398</v>
      </c>
      <c r="L12" s="10" t="s">
        <v>23</v>
      </c>
      <c r="M12" s="8">
        <v>3.8034367041227002</v>
      </c>
    </row>
    <row r="13" spans="1:13" x14ac:dyDescent="0.3">
      <c r="A13" s="2" t="s">
        <v>29</v>
      </c>
      <c r="B13" s="5">
        <v>4239194</v>
      </c>
      <c r="C13" s="6">
        <v>67.066833153719799</v>
      </c>
      <c r="D13" s="6">
        <v>9.6074978981453292</v>
      </c>
      <c r="E13" s="10" t="s">
        <v>23</v>
      </c>
      <c r="F13" s="10" t="s">
        <v>23</v>
      </c>
      <c r="G13" s="10" t="s">
        <v>23</v>
      </c>
      <c r="H13" s="10" t="s">
        <v>23</v>
      </c>
      <c r="I13" s="10" t="s">
        <v>24</v>
      </c>
      <c r="J13" s="6">
        <v>2.7925710055391999</v>
      </c>
      <c r="K13" s="6">
        <v>21.096582650911699</v>
      </c>
      <c r="L13" s="6">
        <v>135.30044597541999</v>
      </c>
      <c r="M13" s="8">
        <v>3.6606366390556002</v>
      </c>
    </row>
    <row r="14" spans="1:13" x14ac:dyDescent="0.3">
      <c r="A14" s="2" t="s">
        <v>30</v>
      </c>
      <c r="B14" s="5">
        <v>4232236</v>
      </c>
      <c r="C14" s="10" t="s">
        <v>23</v>
      </c>
      <c r="D14" s="6">
        <v>31.659125555428702</v>
      </c>
      <c r="E14" s="10" t="s">
        <v>23</v>
      </c>
      <c r="F14" s="10" t="s">
        <v>23</v>
      </c>
      <c r="G14" s="6">
        <v>4.9647647192543802</v>
      </c>
      <c r="H14" s="10" t="s">
        <v>23</v>
      </c>
      <c r="I14" s="10" t="s">
        <v>24</v>
      </c>
      <c r="J14" s="6">
        <v>3.6078946499771001</v>
      </c>
      <c r="K14" s="6">
        <v>22.390189261490399</v>
      </c>
      <c r="L14" s="10" t="s">
        <v>24</v>
      </c>
      <c r="M14" s="8">
        <v>2.4875076565976002</v>
      </c>
    </row>
    <row r="15" spans="1:13" x14ac:dyDescent="0.3">
      <c r="A15" s="2" t="s">
        <v>31</v>
      </c>
      <c r="B15" s="5">
        <v>4019144</v>
      </c>
      <c r="C15" s="6">
        <v>38.8242980535911</v>
      </c>
      <c r="D15" s="6">
        <v>21.3660723740098</v>
      </c>
      <c r="E15" s="6">
        <v>50.599496978759703</v>
      </c>
      <c r="F15" s="6">
        <v>107.506849315069</v>
      </c>
      <c r="G15" s="10" t="s">
        <v>23</v>
      </c>
      <c r="H15" s="8">
        <v>38.160162793354999</v>
      </c>
      <c r="I15" s="10" t="s">
        <v>24</v>
      </c>
      <c r="J15" s="6">
        <v>6.3414853497259003</v>
      </c>
      <c r="K15" s="6">
        <v>22.4564628335593</v>
      </c>
      <c r="L15" s="6">
        <v>28.0338898251572</v>
      </c>
      <c r="M15" s="10" t="s">
        <v>23</v>
      </c>
    </row>
    <row r="16" spans="1:13" x14ac:dyDescent="0.3">
      <c r="A16" s="2" t="s">
        <v>32</v>
      </c>
      <c r="B16" s="5">
        <v>10348007</v>
      </c>
      <c r="C16" s="6">
        <v>18.448704184837499</v>
      </c>
      <c r="D16" s="6">
        <v>8.2093029063453802</v>
      </c>
      <c r="E16" s="6">
        <v>22.462817842637399</v>
      </c>
      <c r="F16" s="6">
        <v>34.461538461538503</v>
      </c>
      <c r="G16" s="10" t="s">
        <v>23</v>
      </c>
      <c r="H16" s="8">
        <v>26.170899478626598</v>
      </c>
      <c r="I16" s="10" t="s">
        <v>24</v>
      </c>
      <c r="J16" s="6">
        <v>6.5789794715366003</v>
      </c>
      <c r="K16" s="6">
        <v>16.6194733233785</v>
      </c>
      <c r="L16" s="6">
        <v>21.193075000574201</v>
      </c>
      <c r="M16" s="8">
        <v>7.0268510984540002</v>
      </c>
    </row>
    <row r="17" spans="1:13" x14ac:dyDescent="0.3">
      <c r="A17" s="2" t="s">
        <v>33</v>
      </c>
      <c r="B17" s="5">
        <v>4046290</v>
      </c>
      <c r="C17" s="6">
        <v>18.6763186752123</v>
      </c>
      <c r="D17" s="6">
        <v>8.0364211590407901</v>
      </c>
      <c r="E17" s="6">
        <v>20.755078852077698</v>
      </c>
      <c r="F17" s="6">
        <v>28.066019417475701</v>
      </c>
      <c r="G17" s="10" t="s">
        <v>23</v>
      </c>
      <c r="H17" s="8">
        <v>29.6490483135488</v>
      </c>
      <c r="I17" s="10" t="s">
        <v>24</v>
      </c>
      <c r="J17" s="6">
        <v>7.2121054735573003</v>
      </c>
      <c r="K17" s="6">
        <v>19.808919591941901</v>
      </c>
      <c r="L17" s="6">
        <v>21.758133842448299</v>
      </c>
      <c r="M17" s="8">
        <v>31.665968451921099</v>
      </c>
    </row>
    <row r="18" spans="1:13" x14ac:dyDescent="0.3">
      <c r="A18" s="2" t="s">
        <v>34</v>
      </c>
      <c r="B18" s="5">
        <v>4981115</v>
      </c>
      <c r="C18" s="6">
        <v>16.680733820340599</v>
      </c>
      <c r="D18" s="6">
        <v>3.9014315886821098</v>
      </c>
      <c r="E18" s="6">
        <v>23.273766842202999</v>
      </c>
      <c r="F18" s="6">
        <v>136.982300884956</v>
      </c>
      <c r="G18" s="10" t="s">
        <v>23</v>
      </c>
      <c r="H18" s="8">
        <v>16.7957899305556</v>
      </c>
      <c r="I18" s="10" t="s">
        <v>24</v>
      </c>
      <c r="J18" s="6">
        <v>2.3632180599787</v>
      </c>
      <c r="K18" s="6">
        <v>11.9714368539791</v>
      </c>
      <c r="L18" s="6">
        <v>15.195791303970401</v>
      </c>
      <c r="M18" s="8">
        <v>2.3329547459514002</v>
      </c>
    </row>
    <row r="20" spans="1:13" x14ac:dyDescent="0.3">
      <c r="A20" s="11" t="s">
        <v>35</v>
      </c>
      <c r="B20" s="2" t="s">
        <v>19</v>
      </c>
      <c r="C20" s="6">
        <v>11.97</v>
      </c>
      <c r="D20" s="6">
        <v>3.09</v>
      </c>
      <c r="E20" s="6">
        <v>14.9</v>
      </c>
      <c r="F20" s="6">
        <v>15.36</v>
      </c>
      <c r="G20" s="6">
        <v>2.6</v>
      </c>
      <c r="H20" s="8">
        <v>12.2</v>
      </c>
      <c r="I20" s="8">
        <v>128.30000000000001</v>
      </c>
      <c r="J20" s="6">
        <v>1.32</v>
      </c>
      <c r="K20" s="6">
        <v>10.65</v>
      </c>
      <c r="L20" s="6">
        <v>8.3699999999999992</v>
      </c>
      <c r="M20" s="8">
        <v>1.6</v>
      </c>
    </row>
    <row r="21" spans="1:13" x14ac:dyDescent="0.3">
      <c r="A21" s="11" t="s">
        <v>36</v>
      </c>
      <c r="B21" s="2" t="s">
        <v>19</v>
      </c>
      <c r="C21" s="6">
        <v>18.68</v>
      </c>
      <c r="D21" s="6">
        <v>12.12</v>
      </c>
      <c r="E21" s="6">
        <v>21.61</v>
      </c>
      <c r="F21" s="6">
        <v>31.55</v>
      </c>
      <c r="G21" s="6">
        <v>4.96</v>
      </c>
      <c r="H21" s="8">
        <v>27.9</v>
      </c>
      <c r="I21" s="8">
        <v>128.30000000000001</v>
      </c>
      <c r="J21" s="6">
        <v>3.68</v>
      </c>
      <c r="K21" s="6">
        <v>21.1</v>
      </c>
      <c r="L21" s="6">
        <v>21.48</v>
      </c>
      <c r="M21" s="8">
        <v>3.7</v>
      </c>
    </row>
    <row r="22" spans="1:13" x14ac:dyDescent="0.3">
      <c r="A22" s="11" t="s">
        <v>37</v>
      </c>
      <c r="B22" s="2" t="s">
        <v>19</v>
      </c>
      <c r="C22" s="6">
        <v>28.77</v>
      </c>
      <c r="D22" s="6">
        <v>14.82</v>
      </c>
      <c r="E22" s="6">
        <v>28.1</v>
      </c>
      <c r="F22" s="6">
        <v>44.86</v>
      </c>
      <c r="G22" s="6">
        <v>4.3600000000000003</v>
      </c>
      <c r="H22" s="8">
        <v>25.8</v>
      </c>
      <c r="I22" s="8">
        <v>128.30000000000001</v>
      </c>
      <c r="J22" s="6">
        <v>4.1399999999999997</v>
      </c>
      <c r="K22" s="6">
        <v>19.21</v>
      </c>
      <c r="L22" s="6">
        <v>33.700000000000003</v>
      </c>
      <c r="M22" s="8">
        <v>12.4</v>
      </c>
    </row>
    <row r="23" spans="1:13" x14ac:dyDescent="0.3">
      <c r="A23" s="11" t="s">
        <v>38</v>
      </c>
      <c r="B23" s="2" t="s">
        <v>19</v>
      </c>
      <c r="C23" s="6">
        <v>67.069999999999993</v>
      </c>
      <c r="D23" s="6">
        <v>31.66</v>
      </c>
      <c r="E23" s="6">
        <v>50.6</v>
      </c>
      <c r="F23" s="6">
        <v>107.51</v>
      </c>
      <c r="G23" s="6">
        <v>5.53</v>
      </c>
      <c r="H23" s="8">
        <v>38.200000000000003</v>
      </c>
      <c r="I23" s="8">
        <v>128.30000000000001</v>
      </c>
      <c r="J23" s="6">
        <v>7.21</v>
      </c>
      <c r="K23" s="6">
        <v>27.37</v>
      </c>
      <c r="L23" s="6">
        <v>135.30000000000001</v>
      </c>
      <c r="M23" s="8">
        <v>45.7</v>
      </c>
    </row>
  </sheetData>
  <pageMargins left="0.7" right="0.7" top="0.75" bottom="0.75" header="0.3" footer="0.3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"/>
  <sheetViews>
    <sheetView workbookViewId="0">
      <selection sqref="A1:D1"/>
    </sheetView>
  </sheetViews>
  <sheetFormatPr baseColWidth="10" defaultColWidth="8.88671875" defaultRowHeight="14.4" x14ac:dyDescent="0.3"/>
  <cols>
    <col min="1" max="1" width="48.5546875" customWidth="1"/>
  </cols>
  <sheetData>
    <row r="1" spans="1:4" ht="40.049999999999997" customHeight="1" x14ac:dyDescent="0.3">
      <c r="A1" s="1"/>
      <c r="B1" s="1"/>
      <c r="C1" s="1"/>
      <c r="D1" s="1"/>
    </row>
    <row r="3" spans="1:4" x14ac:dyDescent="0.3">
      <c r="A3" s="11" t="s">
        <v>62</v>
      </c>
    </row>
    <row r="4" spans="1:4" x14ac:dyDescent="0.3">
      <c r="A4" s="11" t="s">
        <v>63</v>
      </c>
    </row>
    <row r="5" spans="1:4" x14ac:dyDescent="0.3">
      <c r="A5" s="2" t="s">
        <v>64</v>
      </c>
    </row>
    <row r="6" spans="1:4" x14ac:dyDescent="0.3">
      <c r="A6" s="2" t="s">
        <v>65</v>
      </c>
    </row>
    <row r="7" spans="1:4" x14ac:dyDescent="0.3">
      <c r="A7" s="2" t="s">
        <v>66</v>
      </c>
    </row>
    <row r="8" spans="1:4" x14ac:dyDescent="0.3">
      <c r="A8" s="2" t="s">
        <v>67</v>
      </c>
    </row>
    <row r="9" spans="1:4" x14ac:dyDescent="0.3">
      <c r="A9" s="2" t="s">
        <v>68</v>
      </c>
    </row>
    <row r="10" spans="1:4" x14ac:dyDescent="0.3">
      <c r="A10" s="2" t="s">
        <v>69</v>
      </c>
    </row>
  </sheetData>
  <mergeCells count="1">
    <mergeCell ref="A1:D1"/>
  </mergeCells>
  <pageMargins left="0.75" right="0.75" top="1" bottom="1" header="0.5" footer="0.5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Screening Criteria</vt:lpstr>
    </vt:vector>
  </TitlesOfParts>
  <Manager/>
  <Company>SoftArtisans,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ALEJANDRO VARGAS</dc:creator>
  <cp:keywords/>
  <dc:description/>
  <cp:lastModifiedBy>ALEJANDRO VARGAS</cp:lastModifiedBy>
  <dcterms:created xsi:type="dcterms:W3CDTF">2022-04-21T22:18:03Z</dcterms:created>
  <dcterms:modified xsi:type="dcterms:W3CDTF">2022-04-21T22:18:03Z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xcelWriter version">
    <vt:lpwstr/>
  </property>
  <property fmtid="{D5CDD505-2E9C-101B-9397-08002B2CF9AE}" pid="3" name="{A44787D4-0540-4523-9961-78E4036D8C6D}">
    <vt:lpwstr>{74257BCE-3163-4AC2-9ECB-6A0731417FA3}</vt:lpwstr>
  </property>
</Properties>
</file>