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085a3fe9bc941f1/Documentos/1. Docencia/2. DIPLOMADOS/Banca y Finanzas/Riesgos Mercado Valores/2022/Empresas/"/>
    </mc:Choice>
  </mc:AlternateContent>
  <xr:revisionPtr revIDLastSave="0" documentId="8_{FE63D8E4-29BF-4065-A440-ABA9E8103B3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  <sheet name="Screening Criteria" sheetId="4" r:id="rId4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4" i="1" l="1"/>
  <c r="L6" i="3"/>
  <c r="K6" i="3"/>
  <c r="J6" i="3"/>
  <c r="H6" i="3"/>
  <c r="M4" i="3"/>
  <c r="L4" i="3"/>
  <c r="K4" i="3"/>
  <c r="J4" i="3"/>
  <c r="I4" i="3"/>
  <c r="H4" i="3"/>
  <c r="G4" i="3"/>
  <c r="F4" i="3"/>
  <c r="E4" i="3"/>
  <c r="D4" i="3"/>
  <c r="C4" i="3"/>
  <c r="B4" i="3"/>
  <c r="A4" i="3"/>
  <c r="A3" i="3"/>
  <c r="M4" i="2"/>
  <c r="L4" i="2"/>
  <c r="K4" i="2"/>
  <c r="J4" i="2"/>
  <c r="I4" i="2"/>
  <c r="H4" i="2"/>
  <c r="G4" i="2"/>
  <c r="F4" i="2"/>
  <c r="E4" i="2"/>
  <c r="D4" i="2"/>
  <c r="C4" i="2"/>
  <c r="B4" i="2"/>
  <c r="A4" i="2"/>
  <c r="A3" i="2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3" i="1"/>
</calcChain>
</file>

<file path=xl/sharedStrings.xml><?xml version="1.0" encoding="utf-8"?>
<sst xmlns="http://schemas.openxmlformats.org/spreadsheetml/2006/main" count="278" uniqueCount="70">
  <si>
    <t>SP_ENTITY_NAME</t>
  </si>
  <si>
    <t>SP_ENTITY_ID</t>
  </si>
  <si>
    <t>SP_PRICE_CLOSE</t>
  </si>
  <si>
    <t>290935</t>
  </si>
  <si>
    <t>290933</t>
  </si>
  <si>
    <t>275618</t>
  </si>
  <si>
    <t>SP_NONCONTROLLING_INTS</t>
  </si>
  <si>
    <t>311681</t>
  </si>
  <si>
    <t>275868</t>
  </si>
  <si>
    <t>275720</t>
  </si>
  <si>
    <t>275622</t>
  </si>
  <si>
    <t>275629</t>
  </si>
  <si>
    <t>275628</t>
  </si>
  <si>
    <t>SP_DILUT_EPS_AFTER_EXTRA</t>
  </si>
  <si>
    <t>290954</t>
  </si>
  <si>
    <t>IQ_PTBV</t>
  </si>
  <si>
    <t>307489</t>
  </si>
  <si>
    <t>SP_NIM</t>
  </si>
  <si>
    <t>275623</t>
  </si>
  <si>
    <t/>
  </si>
  <si>
    <t>LTM</t>
  </si>
  <si>
    <t>Current/Restated</t>
  </si>
  <si>
    <t>Fox Corporation (NASDAQGS:FOXA)</t>
  </si>
  <si>
    <t>NA</t>
  </si>
  <si>
    <t>Altice USA, Inc. (NYSE:ATUS)</t>
  </si>
  <si>
    <t>NM</t>
  </si>
  <si>
    <t>Sirius XM Holdings Inc. (NASDAQGS:SIRI)</t>
  </si>
  <si>
    <t>Lions Gate Entertainment Corp. (NYSE:LGF.A)</t>
  </si>
  <si>
    <t>The Walt Disney Company (NYSE:DIS)</t>
  </si>
  <si>
    <t>Comcast Corporation (NASDAQGS:CMCS.A)</t>
  </si>
  <si>
    <t>Sinclair Broadcast Group, Inc. (NASDAQGS:SBGI)</t>
  </si>
  <si>
    <t>Warner Bros. Discovery, Inc. (NASDAQGS:WBD)</t>
  </si>
  <si>
    <t>Paramount Global (NASDAQGS:PARA)</t>
  </si>
  <si>
    <t>TEGNA Inc. (NYSE:TGNA)</t>
  </si>
  <si>
    <t>Netflix, Inc. (NASDAQGS:NFLX)</t>
  </si>
  <si>
    <t>Minimum</t>
  </si>
  <si>
    <t>Median</t>
  </si>
  <si>
    <t>Average</t>
  </si>
  <si>
    <t>Maximum</t>
  </si>
  <si>
    <t>274477</t>
  </si>
  <si>
    <t>274480</t>
  </si>
  <si>
    <t>274481</t>
  </si>
  <si>
    <t>274478</t>
  </si>
  <si>
    <t>274469</t>
  </si>
  <si>
    <t>306316</t>
  </si>
  <si>
    <t>IQ_DEBT_TO_CAPITAL</t>
  </si>
  <si>
    <t>274468</t>
  </si>
  <si>
    <t>SNL_ROIC</t>
  </si>
  <si>
    <t>298535</t>
  </si>
  <si>
    <t>298534</t>
  </si>
  <si>
    <t>SP_TEV_EBITDA_LTM</t>
  </si>
  <si>
    <t>IQ_TEV_TOTAL_REV_LTM</t>
  </si>
  <si>
    <t>IQ_TEV_EBIT_LTM</t>
  </si>
  <si>
    <t>IQ_PE_LTM</t>
  </si>
  <si>
    <t>IQ_PTBV_X</t>
  </si>
  <si>
    <t>SP_PE_EST</t>
  </si>
  <si>
    <t>SP_PNAVPS_EST</t>
  </si>
  <si>
    <t>SP_TEV_TOTAL_REV_FWD</t>
  </si>
  <si>
    <t>SP_TEV_EBITDA_FWD</t>
  </si>
  <si>
    <t>SP_TEV_EBIT_FWD</t>
  </si>
  <si>
    <t>SP_PBV_FWD</t>
  </si>
  <si>
    <t>FY0</t>
  </si>
  <si>
    <t>Companies: New Screen</t>
  </si>
  <si>
    <t xml:space="preserve">Screening Criteria: </t>
  </si>
  <si>
    <t>1              [ Primary Industry: Broadcasting, Cable and Satellite, Movies and Entertainment</t>
  </si>
  <si>
    <t xml:space="preserve">                   Geography: All Geographies</t>
  </si>
  <si>
    <t xml:space="preserve">                   Company Type: Public Company</t>
  </si>
  <si>
    <t xml:space="preserve">                   Company Status: Operating, Operating Subsidiary ]</t>
  </si>
  <si>
    <t>2                 Total Revenue [Latest Fiscal Year] ($000) Between 10 - 500</t>
  </si>
  <si>
    <t>3                 Top 10 Rank By Peer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</si>
</sst>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;\(#,##0.00\)"/>
    <numFmt numFmtId="165" formatCode="#,##0;\(#,##0\)"/>
    <numFmt numFmtId="166" formatCode="#,##0.0;\(#,##0.0\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Fill="1"/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Alignment="1">
      <alignment horizontal="left" vertical="top"/>
    </xf>
    <xf numFmtId="0" fontId="0" fillId="0" borderId="0" xfId="0" applyNumberFormat="1" applyFont="1" applyFill="1" applyAlignment="1">
      <alignment horizontal="left" wrapText="1"/>
    </xf>
    <xf numFmtId="0" fontId="0" fillId="0" borderId="0" xfId="0" applyNumberFormat="1" applyFont="1" applyFill="1" applyAlignment="1">
      <alignment horizontal="right" wrapText="1"/>
    </xf>
    <xf numFmtId="49" fontId="0" fillId="0" borderId="0" xfId="0" applyNumberFormat="1" applyFont="1" applyFill="1" applyAlignment="1">
      <alignment horizontal="left" vertical="top"/>
    </xf>
    <xf numFmtId="164" fontId="0" fillId="0" borderId="0" xfId="0" applyNumberFormat="1" applyFont="1" applyFill="1" applyAlignment="1">
      <alignment horizontal="right" vertical="top"/>
    </xf>
    <xf numFmtId="165" fontId="0" fillId="0" borderId="0" xfId="0" applyNumberFormat="1" applyFont="1" applyFill="1" applyAlignment="1">
      <alignment horizontal="right" vertical="top"/>
    </xf>
    <xf numFmtId="166" fontId="0" fillId="0" borderId="0" xfId="0" applyNumberFormat="1" applyFont="1" applyFill="1" applyAlignment="1">
      <alignment horizontal="right" vertical="top"/>
    </xf>
    <xf numFmtId="14" fontId="0" fillId="0" borderId="0" xfId="0" applyNumberFormat="1" applyFont="1" applyFill="1" applyAlignment="1">
      <alignment horizontal="right" vertical="top"/>
    </xf>
    <xf numFmtId="0" fontId="0" fillId="0" borderId="0" xfId="0" applyNumberFormat="1" applyFont="1" applyFill="1" applyAlignment="1">
      <alignment horizontal="right" vertical="top"/>
    </xf>
    <xf numFmtId="0" fontId="1" fillId="0" borderId="0" xfId="0" applyNumberFormat="1" applyFont="1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28575</xdr:rowOff>
    </xdr:from>
    <xdr:ext cx="1524000" cy="41910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8575"/>
          <a:ext cx="1524000" cy="4191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S23"/>
  <sheetViews>
    <sheetView tabSelected="1" workbookViewId="0"/>
  </sheetViews>
  <sheetFormatPr baseColWidth="10" defaultColWidth="8.88671875" defaultRowHeight="14.4" x14ac:dyDescent="0.3"/>
  <cols>
    <col min="1" max="1" width="48.5546875" customWidth="1"/>
    <col min="2" max="2" width="16.5546875" customWidth="1"/>
    <col min="3" max="3" width="16.109375" customWidth="1"/>
    <col min="4" max="4" width="20.5546875" customWidth="1"/>
    <col min="5" max="5" width="27.44140625" customWidth="1"/>
    <col min="6" max="6" width="18.5546875" customWidth="1"/>
    <col min="7" max="7" width="16.5546875" customWidth="1"/>
    <col min="8" max="8" width="29.44140625" customWidth="1"/>
    <col min="9" max="10" width="16.109375" customWidth="1"/>
    <col min="11" max="11" width="18.5546875" customWidth="1"/>
    <col min="12" max="13" width="16.5546875" customWidth="1"/>
    <col min="14" max="14" width="16.109375" customWidth="1"/>
    <col min="15" max="16" width="21.109375" customWidth="1"/>
    <col min="17" max="17" width="22" customWidth="1"/>
    <col min="18" max="18" width="16.109375" customWidth="1"/>
    <col min="19" max="19" width="16.5546875" customWidth="1"/>
  </cols>
  <sheetData>
    <row r="3" spans="1:19" x14ac:dyDescent="0.3">
      <c r="A3" s="2" t="e">
        <f ca="1">SPGTable($B$8:$B$18,$C$5:$S$5,$C$6:$S$6,"Options:Curr=USD,Mag=Standard,ConvMethod=Recommended,FilingVer=Current/Restated")</f>
        <v>#NAME?</v>
      </c>
    </row>
    <row r="4" spans="1:19" x14ac:dyDescent="0.3">
      <c r="A4" s="3" t="e">
        <f ca="1">SPGLabel(266637,267969,"","Options:Curr=USD,Mag=Standard,ConvMethod=Recommended,FilingVer=Current/Restated")</f>
        <v>#NAME?</v>
      </c>
      <c r="B4" s="3" t="e">
        <f ca="1">SPGLabel(266637,267961,"","Options:Curr=USD,Mag=Standard,ConvMethod=Recommended,FilingVer=Current/Restated")</f>
        <v>#NAME?</v>
      </c>
      <c r="C4" s="4" t="e">
        <f ca="1">SPGLabel(266637,290930,"","Options:Curr=USD,Mag=Standard,ConvMethod=Recommended,FilingVer=Current/Restated")</f>
        <v>#NAME?</v>
      </c>
      <c r="D4" s="4" t="e">
        <f ca="1">SPGLabel(266637,290935,"","Options:Curr=USD,Mag=Standard,ConvMethod=Recommended,FilingVer=Current/Restated")</f>
        <v>#NAME?</v>
      </c>
      <c r="E4" s="4" t="e">
        <f ca="1">SPGLabel(266637,290933,"","Options:Curr=USD,Mag=Standard,ConvMethod=Recommended,FilingVer=Current/Restated")</f>
        <v>#NAME?</v>
      </c>
      <c r="F4" s="4" t="e">
        <f ca="1">SPGLabel(266637,275618,"LTM","Options:Curr=USD,Mag=Standard,ConvMethod=Recommended,FilingVer=Current/Restated")</f>
        <v>#NAME?</v>
      </c>
      <c r="G4" s="4" t="e">
        <f ca="1">SPGLabel(266637,309226,"LTM","Options:Curr=USD,Mag=Standard,ConvMethod=Recommended,FilingVer=Current/Restated")</f>
        <v>#NAME?</v>
      </c>
      <c r="H4" s="4" t="e">
        <f ca="1">SPGLabel(266637,311681,"","Options:Curr=USD,Mag=Standard,ConvMethod=Recommended,FilingVer=Current/Restated")</f>
        <v>#NAME?</v>
      </c>
      <c r="I4" s="4" t="e">
        <f ca="1">SPGLabel(266637,275868,"LTM","Options:Curr=USD,Mag=Standard,ConvMethod=Recommended,FilingVer=Current/Restated")</f>
        <v>#NAME?</v>
      </c>
      <c r="J4" s="4" t="e">
        <f ca="1">SPGLabel(266637,275720,"LTM","Options:Curr=USD,Mag=Standard,ConvMethod=Recommended,FilingVer=Current/Restated")</f>
        <v>#NAME?</v>
      </c>
      <c r="K4" s="4" t="e">
        <f ca="1">SPGLabel(266637,275622,"LTM","Options:Curr=USD,Mag=Standard,ConvMethod=Recommended,FilingVer=Current/Restated")</f>
        <v>#NAME?</v>
      </c>
      <c r="L4" s="4" t="e">
        <f ca="1">SPGLabel(266637,275629,"LTM","Options:Curr=USD,Mag=Standard,ConvMethod=Recommended,FilingVer=Current/Restated")</f>
        <v>#NAME?</v>
      </c>
      <c r="M4" s="4" t="e">
        <f ca="1">SPGLabel(266637,275628,"LTM","Options:Curr=USD,Mag=Standard,ConvMethod=Recommended,FilingVer=Current/Restated")</f>
        <v>#NAME?</v>
      </c>
      <c r="N4" s="4" t="e">
        <f ca="1">SPGLabel(266637,275636,"LTM","Options:Curr=USD,Mag=Standard,ConvMethod=Recommended,FilingVer=Current/Restated")</f>
        <v>#NAME?</v>
      </c>
      <c r="O4" s="4" t="e">
        <f ca="1">SPGLabel(266637,290954,"","Options:Curr=USD,Mag=Standard,ConvMethod=Recommended,FilingVer=Current/Restated")</f>
        <v>#NAME?</v>
      </c>
      <c r="P4" s="4" t="e">
        <f ca="1">SPGLabel(266637,290956,"","Options:Curr=USD,Mag=Standard,ConvMethod=Recommended,FilingVer=Current/Restated")</f>
        <v>#NAME?</v>
      </c>
      <c r="Q4" s="4" t="e">
        <f ca="1">SPGLabel(266637,307489,"LTM","Current/Restated","Options:Curr=USD,Mag=Standard,ConvMethod=Recommended,FilingVer=Current/Restated")</f>
        <v>#NAME?</v>
      </c>
      <c r="R4" s="4" t="e">
        <f ca="1">SPGLabel(266637,275822,"LTM","Options:Curr=USD,Mag=Standard,ConvMethod=Recommended,FilingVer=Current/Restated")</f>
        <v>#NAME?</v>
      </c>
      <c r="S4" s="4" t="e">
        <f ca="1">SPGLabel(266637,275623,"LTM","Options:Curr=USD,Mag=Standard,ConvMethod=Recommended,FilingVer=Current/Restated")</f>
        <v>#NAME?</v>
      </c>
    </row>
    <row r="5" spans="1:19" ht="28.8" x14ac:dyDescent="0.3">
      <c r="A5" s="3" t="s">
        <v>0</v>
      </c>
      <c r="B5" s="3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4" t="s">
        <v>10</v>
      </c>
      <c r="L5" s="4" t="s">
        <v>11</v>
      </c>
      <c r="M5" s="4" t="s">
        <v>12</v>
      </c>
      <c r="N5" s="4" t="s">
        <v>13</v>
      </c>
      <c r="O5" s="4" t="s">
        <v>14</v>
      </c>
      <c r="P5" s="4" t="s">
        <v>15</v>
      </c>
      <c r="Q5" s="4" t="s">
        <v>16</v>
      </c>
      <c r="R5" s="4" t="s">
        <v>17</v>
      </c>
      <c r="S5" s="4" t="s">
        <v>18</v>
      </c>
    </row>
    <row r="6" spans="1:19" x14ac:dyDescent="0.3">
      <c r="A6" s="3" t="s">
        <v>19</v>
      </c>
      <c r="B6" s="3" t="s">
        <v>19</v>
      </c>
      <c r="C6" s="4" t="s">
        <v>19</v>
      </c>
      <c r="D6" s="4" t="s">
        <v>19</v>
      </c>
      <c r="E6" s="4" t="s">
        <v>19</v>
      </c>
      <c r="F6" s="4" t="s">
        <v>20</v>
      </c>
      <c r="G6" s="4" t="s">
        <v>20</v>
      </c>
      <c r="H6" s="4" t="s">
        <v>19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  <c r="N6" s="4" t="s">
        <v>20</v>
      </c>
      <c r="O6" s="4" t="s">
        <v>19</v>
      </c>
      <c r="P6" s="4" t="s">
        <v>19</v>
      </c>
      <c r="Q6" s="4" t="s">
        <v>20</v>
      </c>
      <c r="R6" s="4" t="s">
        <v>20</v>
      </c>
      <c r="S6" s="4" t="s">
        <v>20</v>
      </c>
    </row>
    <row r="7" spans="1:19" x14ac:dyDescent="0.3">
      <c r="A7" s="3" t="s">
        <v>19</v>
      </c>
      <c r="B7" s="3" t="s">
        <v>19</v>
      </c>
      <c r="C7" s="4" t="s">
        <v>19</v>
      </c>
      <c r="D7" s="4" t="s">
        <v>19</v>
      </c>
      <c r="E7" s="4" t="s">
        <v>19</v>
      </c>
      <c r="F7" s="4" t="s">
        <v>19</v>
      </c>
      <c r="G7" s="4" t="s">
        <v>19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  <c r="N7" s="4" t="s">
        <v>19</v>
      </c>
      <c r="O7" s="4" t="s">
        <v>19</v>
      </c>
      <c r="P7" s="4" t="s">
        <v>19</v>
      </c>
      <c r="Q7" s="4" t="s">
        <v>21</v>
      </c>
      <c r="R7" s="4" t="s">
        <v>19</v>
      </c>
      <c r="S7" s="4" t="s">
        <v>19</v>
      </c>
    </row>
    <row r="8" spans="1:19" x14ac:dyDescent="0.3">
      <c r="A8" s="2" t="s">
        <v>22</v>
      </c>
      <c r="B8" s="5">
        <v>13518181</v>
      </c>
      <c r="C8" s="6">
        <v>38.93</v>
      </c>
      <c r="D8" s="7">
        <v>562902614</v>
      </c>
      <c r="E8" s="8">
        <v>21160.154944319998</v>
      </c>
      <c r="F8" s="7">
        <v>8465000</v>
      </c>
      <c r="G8" s="7">
        <v>187000</v>
      </c>
      <c r="H8" s="8">
        <v>25557.154944319998</v>
      </c>
      <c r="I8" s="6">
        <v>19.981999999999999</v>
      </c>
      <c r="J8" s="9">
        <v>44561</v>
      </c>
      <c r="K8" s="7">
        <v>13591000</v>
      </c>
      <c r="L8" s="7">
        <v>2990000</v>
      </c>
      <c r="M8" s="7">
        <v>2636000</v>
      </c>
      <c r="N8" s="6">
        <v>2.4660000000000002</v>
      </c>
      <c r="O8" s="6">
        <v>15.786699107866999</v>
      </c>
      <c r="P8" s="6">
        <v>542.42719799359099</v>
      </c>
      <c r="Q8" s="6">
        <v>27.998758920260599</v>
      </c>
      <c r="R8" s="10" t="s">
        <v>23</v>
      </c>
      <c r="S8" s="7">
        <v>1489000</v>
      </c>
    </row>
    <row r="9" spans="1:19" x14ac:dyDescent="0.3">
      <c r="A9" s="2" t="s">
        <v>24</v>
      </c>
      <c r="B9" s="5">
        <v>4973976</v>
      </c>
      <c r="C9" s="6">
        <v>11.68</v>
      </c>
      <c r="D9" s="7">
        <v>454654354</v>
      </c>
      <c r="E9" s="8">
        <v>5310.3628547199996</v>
      </c>
      <c r="F9" s="7">
        <v>26940963</v>
      </c>
      <c r="G9" s="7">
        <v>-51114</v>
      </c>
      <c r="H9" s="8">
        <v>32001.507854719999</v>
      </c>
      <c r="I9" s="6">
        <v>-1.8029999999999999</v>
      </c>
      <c r="J9" s="9">
        <v>44561</v>
      </c>
      <c r="K9" s="7">
        <v>10090849</v>
      </c>
      <c r="L9" s="7">
        <v>4332815</v>
      </c>
      <c r="M9" s="7">
        <v>2545663</v>
      </c>
      <c r="N9" s="6">
        <v>2.14</v>
      </c>
      <c r="O9" s="6">
        <v>5.4579439252336401</v>
      </c>
      <c r="P9" s="10" t="s">
        <v>25</v>
      </c>
      <c r="Q9" s="10" t="s">
        <v>25</v>
      </c>
      <c r="R9" s="10" t="s">
        <v>23</v>
      </c>
      <c r="S9" s="7">
        <v>1010932</v>
      </c>
    </row>
    <row r="10" spans="1:19" x14ac:dyDescent="0.3">
      <c r="A10" s="2" t="s">
        <v>26</v>
      </c>
      <c r="B10" s="5">
        <v>4104069</v>
      </c>
      <c r="C10" s="6">
        <v>6.35</v>
      </c>
      <c r="D10" s="7">
        <v>3939111459</v>
      </c>
      <c r="E10" s="8">
        <v>25013.357764650002</v>
      </c>
      <c r="F10" s="7">
        <v>9243000</v>
      </c>
      <c r="G10" s="10" t="s">
        <v>23</v>
      </c>
      <c r="H10" s="8">
        <v>34065.357764649998</v>
      </c>
      <c r="I10" s="6">
        <v>-0.66200000000000003</v>
      </c>
      <c r="J10" s="9">
        <v>44561</v>
      </c>
      <c r="K10" s="7">
        <v>8696000</v>
      </c>
      <c r="L10" s="7">
        <v>2568000</v>
      </c>
      <c r="M10" s="7">
        <v>2035000</v>
      </c>
      <c r="N10" s="6">
        <v>0.31900000000000001</v>
      </c>
      <c r="O10" s="6">
        <v>19.905956112852699</v>
      </c>
      <c r="P10" s="10" t="s">
        <v>25</v>
      </c>
      <c r="Q10" s="6">
        <v>-227.63525527051101</v>
      </c>
      <c r="R10" s="10" t="s">
        <v>23</v>
      </c>
      <c r="S10" s="7">
        <v>1314000</v>
      </c>
    </row>
    <row r="11" spans="1:19" x14ac:dyDescent="0.3">
      <c r="A11" s="2" t="s">
        <v>27</v>
      </c>
      <c r="B11" s="5">
        <v>4121683</v>
      </c>
      <c r="C11" s="6">
        <v>14.01</v>
      </c>
      <c r="D11" s="7">
        <v>225199746</v>
      </c>
      <c r="E11" s="8">
        <v>3017.3464363600001</v>
      </c>
      <c r="F11" s="7">
        <v>3860500</v>
      </c>
      <c r="G11" s="7">
        <v>256800</v>
      </c>
      <c r="H11" s="8">
        <v>6820.2464363600002</v>
      </c>
      <c r="I11" s="6">
        <v>12.154999999999999</v>
      </c>
      <c r="J11" s="9">
        <v>44561</v>
      </c>
      <c r="K11" s="7">
        <v>3550900</v>
      </c>
      <c r="L11" s="7">
        <v>309200</v>
      </c>
      <c r="M11" s="7">
        <v>36500</v>
      </c>
      <c r="N11" s="6">
        <v>-0.54900000000000004</v>
      </c>
      <c r="O11" s="10" t="s">
        <v>25</v>
      </c>
      <c r="P11" s="10" t="s">
        <v>25</v>
      </c>
      <c r="Q11" s="6">
        <v>-33.055055143020297</v>
      </c>
      <c r="R11" s="10" t="s">
        <v>23</v>
      </c>
      <c r="S11" s="7">
        <v>-139200</v>
      </c>
    </row>
    <row r="12" spans="1:19" x14ac:dyDescent="0.3">
      <c r="A12" s="2" t="s">
        <v>28</v>
      </c>
      <c r="B12" s="5">
        <v>4097175</v>
      </c>
      <c r="C12" s="6">
        <v>121.66</v>
      </c>
      <c r="D12" s="7">
        <v>1820633408</v>
      </c>
      <c r="E12" s="10" t="s">
        <v>23</v>
      </c>
      <c r="F12" s="7">
        <v>54132000</v>
      </c>
      <c r="G12" s="7">
        <v>13729000</v>
      </c>
      <c r="H12" s="10" t="s">
        <v>23</v>
      </c>
      <c r="I12" s="6">
        <v>49.869</v>
      </c>
      <c r="J12" s="9">
        <v>44562</v>
      </c>
      <c r="K12" s="7">
        <v>72988000</v>
      </c>
      <c r="L12" s="7">
        <v>10560000</v>
      </c>
      <c r="M12" s="7">
        <v>5478000</v>
      </c>
      <c r="N12" s="6">
        <v>1.6830000000000001</v>
      </c>
      <c r="O12" s="6">
        <v>72.287581699346404</v>
      </c>
      <c r="P12" s="10" t="s">
        <v>25</v>
      </c>
      <c r="Q12" s="6">
        <v>-4.3814693839996304</v>
      </c>
      <c r="R12" s="10" t="s">
        <v>23</v>
      </c>
      <c r="S12" s="7">
        <v>3641000</v>
      </c>
    </row>
    <row r="13" spans="1:19" x14ac:dyDescent="0.3">
      <c r="A13" s="2" t="s">
        <v>29</v>
      </c>
      <c r="B13" s="5">
        <v>4057180</v>
      </c>
      <c r="C13" s="6">
        <v>46.94</v>
      </c>
      <c r="D13" s="7">
        <v>4533230325</v>
      </c>
      <c r="E13" s="8">
        <v>212789.83145550001</v>
      </c>
      <c r="F13" s="7">
        <v>107259000</v>
      </c>
      <c r="G13" s="7">
        <v>1917000</v>
      </c>
      <c r="H13" s="8">
        <v>313254.83145549998</v>
      </c>
      <c r="I13" s="6">
        <v>21.196999999999999</v>
      </c>
      <c r="J13" s="9">
        <v>44561</v>
      </c>
      <c r="K13" s="7">
        <v>116385000</v>
      </c>
      <c r="L13" s="7">
        <v>34621000</v>
      </c>
      <c r="M13" s="7">
        <v>20817000</v>
      </c>
      <c r="N13" s="6">
        <v>3.04</v>
      </c>
      <c r="O13" s="6">
        <v>15.4407894736842</v>
      </c>
      <c r="P13" s="10" t="s">
        <v>25</v>
      </c>
      <c r="Q13" s="6">
        <v>-59.449681212368397</v>
      </c>
      <c r="R13" s="10" t="s">
        <v>23</v>
      </c>
      <c r="S13" s="7">
        <v>13834000</v>
      </c>
    </row>
    <row r="14" spans="1:19" x14ac:dyDescent="0.3">
      <c r="A14" s="2" t="s">
        <v>30</v>
      </c>
      <c r="B14" s="5">
        <v>4121692</v>
      </c>
      <c r="C14" s="6">
        <v>23.19</v>
      </c>
      <c r="D14" s="7">
        <v>72037248</v>
      </c>
      <c r="E14" s="8">
        <v>1670.5437811199999</v>
      </c>
      <c r="F14" s="7">
        <v>12580000</v>
      </c>
      <c r="G14" s="7">
        <v>261000</v>
      </c>
      <c r="H14" s="8">
        <v>13695.543781120001</v>
      </c>
      <c r="I14" s="6">
        <v>-24.216999999999999</v>
      </c>
      <c r="J14" s="9">
        <v>44561</v>
      </c>
      <c r="K14" s="7">
        <v>6134000</v>
      </c>
      <c r="L14" s="7">
        <v>713000</v>
      </c>
      <c r="M14" s="7">
        <v>45000</v>
      </c>
      <c r="N14" s="6">
        <v>-5.516</v>
      </c>
      <c r="O14" s="10" t="s">
        <v>25</v>
      </c>
      <c r="P14" s="10" t="s">
        <v>25</v>
      </c>
      <c r="Q14" s="6">
        <v>-174.41994247363399</v>
      </c>
      <c r="R14" s="10" t="s">
        <v>23</v>
      </c>
      <c r="S14" s="7">
        <v>-326000</v>
      </c>
    </row>
    <row r="15" spans="1:19" x14ac:dyDescent="0.3">
      <c r="A15" s="2" t="s">
        <v>31</v>
      </c>
      <c r="B15" s="5">
        <v>4216584</v>
      </c>
      <c r="C15" s="6">
        <v>21.45</v>
      </c>
      <c r="D15" s="7">
        <v>2426605846</v>
      </c>
      <c r="E15" s="10" t="s">
        <v>23</v>
      </c>
      <c r="F15" s="7">
        <v>15648000</v>
      </c>
      <c r="G15" s="7">
        <v>1797000</v>
      </c>
      <c r="H15" s="10" t="s">
        <v>23</v>
      </c>
      <c r="I15" s="6">
        <v>17.696000000000002</v>
      </c>
      <c r="J15" s="9">
        <v>44561</v>
      </c>
      <c r="K15" s="7">
        <v>12191000</v>
      </c>
      <c r="L15" s="7">
        <v>3655000</v>
      </c>
      <c r="M15" s="7">
        <v>2073000</v>
      </c>
      <c r="N15" s="6">
        <v>1.3779999999999999</v>
      </c>
      <c r="O15" s="6">
        <v>15.5660377358491</v>
      </c>
      <c r="P15" s="10" t="s">
        <v>25</v>
      </c>
      <c r="Q15" s="6">
        <v>-50.203974207132497</v>
      </c>
      <c r="R15" s="10" t="s">
        <v>23</v>
      </c>
      <c r="S15" s="7">
        <v>1197000</v>
      </c>
    </row>
    <row r="16" spans="1:19" x14ac:dyDescent="0.3">
      <c r="A16" s="2" t="s">
        <v>32</v>
      </c>
      <c r="B16" s="5">
        <v>4074329</v>
      </c>
      <c r="C16" s="6">
        <v>32.31</v>
      </c>
      <c r="D16" s="7">
        <v>649085556</v>
      </c>
      <c r="E16" s="10" t="s">
        <v>23</v>
      </c>
      <c r="F16" s="7">
        <v>19632000</v>
      </c>
      <c r="G16" s="7">
        <v>675000</v>
      </c>
      <c r="H16" s="10" t="s">
        <v>23</v>
      </c>
      <c r="I16" s="6">
        <v>34.570999999999998</v>
      </c>
      <c r="J16" s="9">
        <v>44561</v>
      </c>
      <c r="K16" s="7">
        <v>28586000</v>
      </c>
      <c r="L16" s="7">
        <v>4391000</v>
      </c>
      <c r="M16" s="7">
        <v>4001000</v>
      </c>
      <c r="N16" s="6">
        <v>6.9359999999999999</v>
      </c>
      <c r="O16" s="6">
        <v>4.6583044982699002</v>
      </c>
      <c r="P16" s="10" t="s">
        <v>25</v>
      </c>
      <c r="Q16" s="6">
        <v>5.21088019559902</v>
      </c>
      <c r="R16" s="10" t="s">
        <v>23</v>
      </c>
      <c r="S16" s="7">
        <v>4631000</v>
      </c>
    </row>
    <row r="17" spans="1:19" x14ac:dyDescent="0.3">
      <c r="A17" s="2" t="s">
        <v>33</v>
      </c>
      <c r="B17" s="5">
        <v>4121647</v>
      </c>
      <c r="C17" s="6">
        <v>22.72</v>
      </c>
      <c r="D17" s="7">
        <v>221543635</v>
      </c>
      <c r="E17" s="8">
        <v>5033.4713872000002</v>
      </c>
      <c r="F17" s="7">
        <v>3332807</v>
      </c>
      <c r="G17" s="7">
        <v>16129</v>
      </c>
      <c r="H17" s="8">
        <v>8325.4183871999994</v>
      </c>
      <c r="I17" s="6">
        <v>11.381</v>
      </c>
      <c r="J17" s="9">
        <v>44561</v>
      </c>
      <c r="K17" s="7">
        <v>2991093</v>
      </c>
      <c r="L17" s="7">
        <v>960914</v>
      </c>
      <c r="M17" s="7">
        <v>833062</v>
      </c>
      <c r="N17" s="6">
        <v>2.14</v>
      </c>
      <c r="O17" s="6">
        <v>10.616822429906501</v>
      </c>
      <c r="P17" s="10" t="s">
        <v>25</v>
      </c>
      <c r="Q17" s="6">
        <v>-194.24764698364999</v>
      </c>
      <c r="R17" s="10" t="s">
        <v>23</v>
      </c>
      <c r="S17" s="7">
        <v>478197</v>
      </c>
    </row>
    <row r="18" spans="1:19" x14ac:dyDescent="0.3">
      <c r="A18" s="2" t="s">
        <v>34</v>
      </c>
      <c r="B18" s="5">
        <v>4104060</v>
      </c>
      <c r="C18" s="6">
        <v>218.22</v>
      </c>
      <c r="D18" s="7">
        <v>443963107</v>
      </c>
      <c r="E18" s="8">
        <v>96881.629209539999</v>
      </c>
      <c r="F18" s="7">
        <v>14534561</v>
      </c>
      <c r="G18" s="10" t="s">
        <v>23</v>
      </c>
      <c r="H18" s="8">
        <v>107974.67120954</v>
      </c>
      <c r="I18" s="6">
        <v>39.500999999999998</v>
      </c>
      <c r="J18" s="9">
        <v>44651</v>
      </c>
      <c r="K18" s="7">
        <v>30402329</v>
      </c>
      <c r="L18" s="7">
        <v>6453552</v>
      </c>
      <c r="M18" s="7">
        <v>6206279</v>
      </c>
      <c r="N18" s="6">
        <v>11.015000000000001</v>
      </c>
      <c r="O18" s="6">
        <v>19.811166591012299</v>
      </c>
      <c r="P18" s="10" t="s">
        <v>25</v>
      </c>
      <c r="Q18" s="10" t="s">
        <v>23</v>
      </c>
      <c r="R18" s="10" t="s">
        <v>23</v>
      </c>
      <c r="S18" s="7">
        <v>5006960</v>
      </c>
    </row>
    <row r="20" spans="1:19" x14ac:dyDescent="0.3">
      <c r="A20" s="11" t="s">
        <v>35</v>
      </c>
      <c r="B20" s="2" t="s">
        <v>19</v>
      </c>
      <c r="C20" s="6">
        <v>6.35</v>
      </c>
      <c r="D20" s="7">
        <v>72037248</v>
      </c>
      <c r="E20" s="8">
        <v>1670.5</v>
      </c>
      <c r="F20" s="7">
        <v>3332807</v>
      </c>
      <c r="G20" s="7">
        <v>-51114</v>
      </c>
      <c r="H20" s="8">
        <v>6820.2</v>
      </c>
      <c r="I20" s="6">
        <v>-24.22</v>
      </c>
      <c r="J20" s="2" t="s">
        <v>19</v>
      </c>
      <c r="K20" s="7">
        <v>2991093</v>
      </c>
      <c r="L20" s="7">
        <v>309200</v>
      </c>
      <c r="M20" s="7">
        <v>36500</v>
      </c>
      <c r="N20" s="6">
        <v>-5.52</v>
      </c>
      <c r="O20" s="6">
        <v>4.66</v>
      </c>
      <c r="P20" s="6">
        <v>542.42999999999995</v>
      </c>
      <c r="Q20" s="6">
        <v>-227.64</v>
      </c>
      <c r="R20" s="10" t="s">
        <v>23</v>
      </c>
      <c r="S20" s="7">
        <v>-326000</v>
      </c>
    </row>
    <row r="21" spans="1:19" x14ac:dyDescent="0.3">
      <c r="A21" s="11" t="s">
        <v>36</v>
      </c>
      <c r="B21" s="2" t="s">
        <v>19</v>
      </c>
      <c r="C21" s="6">
        <v>22.96</v>
      </c>
      <c r="D21" s="7">
        <v>605994085</v>
      </c>
      <c r="E21" s="8">
        <v>5310.4</v>
      </c>
      <c r="F21" s="7">
        <v>14114000</v>
      </c>
      <c r="G21" s="7">
        <v>261000</v>
      </c>
      <c r="H21" s="8">
        <v>25557.200000000001</v>
      </c>
      <c r="I21" s="6">
        <v>14.93</v>
      </c>
      <c r="J21" s="2" t="s">
        <v>19</v>
      </c>
      <c r="K21" s="7">
        <v>11140925</v>
      </c>
      <c r="L21" s="7">
        <v>3322500</v>
      </c>
      <c r="M21" s="7">
        <v>2309332</v>
      </c>
      <c r="N21" s="6">
        <v>1.91</v>
      </c>
      <c r="O21" s="6">
        <v>15.5</v>
      </c>
      <c r="P21" s="6">
        <v>542.42999999999995</v>
      </c>
      <c r="Q21" s="6">
        <v>-50.2</v>
      </c>
      <c r="R21" s="10" t="s">
        <v>23</v>
      </c>
      <c r="S21" s="7">
        <v>1255500</v>
      </c>
    </row>
    <row r="22" spans="1:19" x14ac:dyDescent="0.3">
      <c r="A22" s="11" t="s">
        <v>37</v>
      </c>
      <c r="B22" s="2" t="s">
        <v>19</v>
      </c>
      <c r="C22" s="6">
        <v>33.92</v>
      </c>
      <c r="D22" s="7">
        <v>1490500419</v>
      </c>
      <c r="E22" s="8">
        <v>39142.199999999997</v>
      </c>
      <c r="F22" s="7">
        <v>26109327</v>
      </c>
      <c r="G22" s="7">
        <v>2087535</v>
      </c>
      <c r="H22" s="8">
        <v>61960</v>
      </c>
      <c r="I22" s="6">
        <v>14.02</v>
      </c>
      <c r="J22" s="2" t="s">
        <v>19</v>
      </c>
      <c r="K22" s="7">
        <v>27520384</v>
      </c>
      <c r="L22" s="7">
        <v>6510093</v>
      </c>
      <c r="M22" s="7">
        <v>4050023</v>
      </c>
      <c r="N22" s="6">
        <v>1.4</v>
      </c>
      <c r="O22" s="6">
        <v>19.97</v>
      </c>
      <c r="P22" s="6">
        <v>542.42999999999995</v>
      </c>
      <c r="Q22" s="6">
        <v>-78.91</v>
      </c>
      <c r="R22" s="10" t="s">
        <v>23</v>
      </c>
      <c r="S22" s="7">
        <v>2712993</v>
      </c>
    </row>
    <row r="23" spans="1:19" x14ac:dyDescent="0.3">
      <c r="A23" s="11" t="s">
        <v>38</v>
      </c>
      <c r="B23" s="2" t="s">
        <v>19</v>
      </c>
      <c r="C23" s="6">
        <v>121.66</v>
      </c>
      <c r="D23" s="7">
        <v>4533230325</v>
      </c>
      <c r="E23" s="8">
        <v>212789.8</v>
      </c>
      <c r="F23" s="7">
        <v>107259000</v>
      </c>
      <c r="G23" s="7">
        <v>13729000</v>
      </c>
      <c r="H23" s="8">
        <v>313254.8</v>
      </c>
      <c r="I23" s="6">
        <v>49.87</v>
      </c>
      <c r="J23" s="2" t="s">
        <v>19</v>
      </c>
      <c r="K23" s="7">
        <v>116385000</v>
      </c>
      <c r="L23" s="7">
        <v>34621000</v>
      </c>
      <c r="M23" s="7">
        <v>20817000</v>
      </c>
      <c r="N23" s="6">
        <v>6.94</v>
      </c>
      <c r="O23" s="6">
        <v>72.290000000000006</v>
      </c>
      <c r="P23" s="6">
        <v>542.42999999999995</v>
      </c>
      <c r="Q23" s="6">
        <v>28</v>
      </c>
      <c r="R23" s="10" t="s">
        <v>23</v>
      </c>
      <c r="S23" s="7">
        <v>13834000</v>
      </c>
    </row>
  </sheetData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23"/>
  <sheetViews>
    <sheetView workbookViewId="0"/>
  </sheetViews>
  <sheetFormatPr baseColWidth="10" defaultColWidth="8.88671875" defaultRowHeight="14.4" x14ac:dyDescent="0.3"/>
  <cols>
    <col min="1" max="1" width="48.5546875" customWidth="1"/>
    <col min="2" max="2" width="16.5546875" customWidth="1"/>
    <col min="3" max="8" width="16.109375" customWidth="1"/>
    <col min="9" max="9" width="18" customWidth="1"/>
    <col min="10" max="10" width="16.109375" customWidth="1"/>
    <col min="11" max="11" width="21.109375" customWidth="1"/>
    <col min="12" max="13" width="22" customWidth="1"/>
  </cols>
  <sheetData>
    <row r="3" spans="1:13" x14ac:dyDescent="0.3">
      <c r="A3" s="2" t="e">
        <f ca="1">SPGTable($B$8:$B$18,$C$5:$M$5,$C$6:$M$6,"Options:Curr=USD,Mag=Standard,ConvMethod=Recommended,FilingVer=Current/Restated")</f>
        <v>#NAME?</v>
      </c>
    </row>
    <row r="4" spans="1:13" x14ac:dyDescent="0.3">
      <c r="A4" s="3" t="e">
        <f ca="1">SPGLabel(266637,267969,"","Options:Curr=USD,Mag=Standard,ConvMethod=Recommended,FilingVer=Current/Restated")</f>
        <v>#NAME?</v>
      </c>
      <c r="B4" s="3" t="e">
        <f ca="1">SPGLabel(266637,267961,"","Options:Curr=USD,Mag=Standard,ConvMethod=Recommended,FilingVer=Current/Restated")</f>
        <v>#NAME?</v>
      </c>
      <c r="C4" s="4" t="e">
        <f ca="1">SPGLabel(266637,274477,"LTM","Current/Restated","Options:Curr=USD,Mag=Standard,ConvMethod=Recommended,FilingVer=Current/Restated")</f>
        <v>#NAME?</v>
      </c>
      <c r="D4" s="4" t="e">
        <f ca="1">SPGLabel(266637,274480,"LTM","Current/Restated","Options:Curr=USD,Mag=Standard,ConvMethod=Recommended,FilingVer=Current/Restated")</f>
        <v>#NAME?</v>
      </c>
      <c r="E4" s="4" t="e">
        <f ca="1">SPGLabel(266637,274481,"LTM","Current/Restated","Options:Curr=USD,Mag=Standard,ConvMethod=Recommended,FilingVer=Current/Restated")</f>
        <v>#NAME?</v>
      </c>
      <c r="F4" s="4" t="e">
        <f ca="1">SPGLabel(266637,274478,"LTM","Current/Restated","Options:Curr=USD,Mag=Standard,ConvMethod=Recommended,FilingVer=Current/Restated")</f>
        <v>#NAME?</v>
      </c>
      <c r="G4" s="4" t="e">
        <f ca="1">SPGLabel(266637,274469,"LTM","Current/Restated","Options:Curr=USD,Mag=Standard,ConvMethod=Recommended,FilingVer=Current/Restated")</f>
        <v>#NAME?</v>
      </c>
      <c r="H4" s="4" t="e">
        <f ca="1">SPGLabel(266637,306316,"LTM","Current/Restated","Options:Curr=USD,Mag=Standard,ConvMethod=Recommended,FilingVer=Current/Restated")</f>
        <v>#NAME?</v>
      </c>
      <c r="I4" s="4" t="e">
        <f ca="1">SPGLabel(266637,274467,"LTM","Current/Restated","Options:Curr=USD,Mag=Standard,ConvMethod=Recommended,FilingVer=Current/Restated")</f>
        <v>#NAME?</v>
      </c>
      <c r="J4" s="4" t="e">
        <f ca="1">SPGLabel(266637,274468,"LTM","Current/Restated","Options:Curr=USD,Mag=Standard,ConvMethod=Recommended,FilingVer=Current/Restated")</f>
        <v>#NAME?</v>
      </c>
      <c r="K4" s="4" t="e">
        <f ca="1">SPGLabel(266637,298537,"LTM","Current/Restated","Options:Curr=USD,Mag=Standard,ConvMethod=Recommended,FilingVer=Current/Restated")</f>
        <v>#NAME?</v>
      </c>
      <c r="L4" s="4" t="e">
        <f ca="1">SPGLabel(266637,298535,"LTM","Current/Restated","Options:Curr=USD,Mag=Standard,ConvMethod=Recommended,FilingVer=Current/Restated")</f>
        <v>#NAME?</v>
      </c>
      <c r="M4" s="4" t="e">
        <f ca="1">SPGLabel(266637,298534,"LTM","Current/Restated","Options:Curr=USD,Mag=Standard,ConvMethod=Recommended,FilingVer=Current/Restated")</f>
        <v>#NAME?</v>
      </c>
    </row>
    <row r="5" spans="1:13" ht="28.8" x14ac:dyDescent="0.3">
      <c r="A5" s="3" t="s">
        <v>0</v>
      </c>
      <c r="B5" s="3" t="s">
        <v>1</v>
      </c>
      <c r="C5" s="4" t="s">
        <v>39</v>
      </c>
      <c r="D5" s="4" t="s">
        <v>40</v>
      </c>
      <c r="E5" s="4" t="s">
        <v>41</v>
      </c>
      <c r="F5" s="4" t="s">
        <v>42</v>
      </c>
      <c r="G5" s="4" t="s">
        <v>43</v>
      </c>
      <c r="H5" s="4" t="s">
        <v>44</v>
      </c>
      <c r="I5" s="4" t="s">
        <v>45</v>
      </c>
      <c r="J5" s="4" t="s">
        <v>46</v>
      </c>
      <c r="K5" s="4" t="s">
        <v>47</v>
      </c>
      <c r="L5" s="4" t="s">
        <v>48</v>
      </c>
      <c r="M5" s="4" t="s">
        <v>49</v>
      </c>
    </row>
    <row r="6" spans="1:13" x14ac:dyDescent="0.3">
      <c r="A6" s="3" t="s">
        <v>19</v>
      </c>
      <c r="B6" s="3" t="s">
        <v>19</v>
      </c>
      <c r="C6" s="4" t="s">
        <v>20</v>
      </c>
      <c r="D6" s="4" t="s">
        <v>20</v>
      </c>
      <c r="E6" s="4" t="s">
        <v>20</v>
      </c>
      <c r="F6" s="4" t="s">
        <v>20</v>
      </c>
      <c r="G6" s="4" t="s">
        <v>20</v>
      </c>
      <c r="H6" s="4" t="s">
        <v>20</v>
      </c>
      <c r="I6" s="4" t="s">
        <v>20</v>
      </c>
      <c r="J6" s="4" t="s">
        <v>20</v>
      </c>
      <c r="K6" s="4" t="s">
        <v>20</v>
      </c>
      <c r="L6" s="4" t="s">
        <v>20</v>
      </c>
      <c r="M6" s="4" t="s">
        <v>20</v>
      </c>
    </row>
    <row r="7" spans="1:13" x14ac:dyDescent="0.3">
      <c r="A7" s="3" t="s">
        <v>19</v>
      </c>
      <c r="B7" s="3" t="s">
        <v>19</v>
      </c>
      <c r="C7" s="4" t="s">
        <v>21</v>
      </c>
      <c r="D7" s="4" t="s">
        <v>21</v>
      </c>
      <c r="E7" s="4" t="s">
        <v>21</v>
      </c>
      <c r="F7" s="4" t="s">
        <v>21</v>
      </c>
      <c r="G7" s="4" t="s">
        <v>21</v>
      </c>
      <c r="H7" s="4" t="s">
        <v>21</v>
      </c>
      <c r="I7" s="4" t="s">
        <v>21</v>
      </c>
      <c r="J7" s="4" t="s">
        <v>21</v>
      </c>
      <c r="K7" s="4" t="s">
        <v>21</v>
      </c>
      <c r="L7" s="4" t="s">
        <v>21</v>
      </c>
      <c r="M7" s="4" t="s">
        <v>21</v>
      </c>
    </row>
    <row r="8" spans="1:13" x14ac:dyDescent="0.3">
      <c r="A8" s="2" t="s">
        <v>22</v>
      </c>
      <c r="B8" s="5">
        <v>13518181</v>
      </c>
      <c r="C8" s="6">
        <v>35.537999999999997</v>
      </c>
      <c r="D8" s="6">
        <v>22</v>
      </c>
      <c r="E8" s="6">
        <v>19.395</v>
      </c>
      <c r="F8" s="6">
        <v>10.566000000000001</v>
      </c>
      <c r="G8" s="6">
        <v>7.3369999999999997</v>
      </c>
      <c r="H8" s="6">
        <v>-4.5640000000000001</v>
      </c>
      <c r="I8" s="6">
        <v>42.48</v>
      </c>
      <c r="J8" s="6">
        <v>2.7170000000000001</v>
      </c>
      <c r="K8" s="10" t="s">
        <v>23</v>
      </c>
      <c r="L8" s="6">
        <v>13.311133211903099</v>
      </c>
      <c r="M8" s="6">
        <v>6.4873107504629104</v>
      </c>
    </row>
    <row r="9" spans="1:13" x14ac:dyDescent="0.3">
      <c r="A9" s="2" t="s">
        <v>24</v>
      </c>
      <c r="B9" s="5">
        <v>4973976</v>
      </c>
      <c r="C9" s="6">
        <v>66.483000000000004</v>
      </c>
      <c r="D9" s="6">
        <v>42.938000000000002</v>
      </c>
      <c r="E9" s="6">
        <v>25.227</v>
      </c>
      <c r="F9" s="6">
        <v>9.8140000000000001</v>
      </c>
      <c r="G9" s="6">
        <v>1.9830000000000001</v>
      </c>
      <c r="H9" s="6">
        <v>1.028</v>
      </c>
      <c r="I9" s="6">
        <v>103.34099999999999</v>
      </c>
      <c r="J9" s="6">
        <v>6.085</v>
      </c>
      <c r="K9" s="8">
        <v>26.534840821425799</v>
      </c>
      <c r="L9" s="10" t="s">
        <v>25</v>
      </c>
      <c r="M9" s="6">
        <v>3.0305911843016</v>
      </c>
    </row>
    <row r="10" spans="1:13" x14ac:dyDescent="0.3">
      <c r="A10" s="2" t="s">
        <v>26</v>
      </c>
      <c r="B10" s="5">
        <v>4104069</v>
      </c>
      <c r="C10" s="6">
        <v>50.631999999999998</v>
      </c>
      <c r="D10" s="6">
        <v>29.530999999999999</v>
      </c>
      <c r="E10" s="6">
        <v>23.402000000000001</v>
      </c>
      <c r="F10" s="6">
        <v>15.11</v>
      </c>
      <c r="G10" s="6">
        <v>8.1590000000000007</v>
      </c>
      <c r="H10" s="6">
        <v>8.4459999999999997</v>
      </c>
      <c r="I10" s="6">
        <v>139.66499999999999</v>
      </c>
      <c r="J10" s="6">
        <v>3.5009999999999999</v>
      </c>
      <c r="K10" s="10" t="s">
        <v>23</v>
      </c>
      <c r="L10" s="10" t="s">
        <v>25</v>
      </c>
      <c r="M10" s="6">
        <v>12.6387168912989</v>
      </c>
    </row>
    <row r="11" spans="1:13" x14ac:dyDescent="0.3">
      <c r="A11" s="2" t="s">
        <v>27</v>
      </c>
      <c r="B11" s="5">
        <v>4121683</v>
      </c>
      <c r="C11" s="6">
        <v>44.484000000000002</v>
      </c>
      <c r="D11" s="6">
        <v>8.7080000000000002</v>
      </c>
      <c r="E11" s="6">
        <v>1.028</v>
      </c>
      <c r="F11" s="6">
        <v>-3.4129999999999998</v>
      </c>
      <c r="G11" s="6">
        <v>6.3369999999999997</v>
      </c>
      <c r="H11" s="6">
        <v>-42.366999999999997</v>
      </c>
      <c r="I11" s="6">
        <v>56.35</v>
      </c>
      <c r="J11" s="6">
        <v>12.378</v>
      </c>
      <c r="K11" s="10" t="s">
        <v>23</v>
      </c>
      <c r="L11" s="6">
        <v>-5.0536703051520799</v>
      </c>
      <c r="M11" s="6">
        <v>-1.65510686013872</v>
      </c>
    </row>
    <row r="12" spans="1:13" x14ac:dyDescent="0.3">
      <c r="A12" s="2" t="s">
        <v>28</v>
      </c>
      <c r="B12" s="5">
        <v>4097175</v>
      </c>
      <c r="C12" s="6">
        <v>34.341000000000001</v>
      </c>
      <c r="D12" s="6">
        <v>14.468</v>
      </c>
      <c r="E12" s="6">
        <v>7.5049999999999999</v>
      </c>
      <c r="F12" s="6">
        <v>4.2229999999999999</v>
      </c>
      <c r="G12" s="6">
        <v>20.125</v>
      </c>
      <c r="H12" s="6">
        <v>62.137</v>
      </c>
      <c r="I12" s="6">
        <v>34.32</v>
      </c>
      <c r="J12" s="6">
        <v>4.577</v>
      </c>
      <c r="K12" s="10" t="s">
        <v>23</v>
      </c>
      <c r="L12" s="6">
        <v>3.9853545608283798</v>
      </c>
      <c r="M12" s="6">
        <v>1.80096070198391</v>
      </c>
    </row>
    <row r="13" spans="1:13" x14ac:dyDescent="0.3">
      <c r="A13" s="2" t="s">
        <v>29</v>
      </c>
      <c r="B13" s="5">
        <v>4057180</v>
      </c>
      <c r="C13" s="6">
        <v>66.962999999999994</v>
      </c>
      <c r="D13" s="6">
        <v>29.747</v>
      </c>
      <c r="E13" s="6">
        <v>17.885999999999999</v>
      </c>
      <c r="F13" s="6">
        <v>12.166</v>
      </c>
      <c r="G13" s="6">
        <v>12.38</v>
      </c>
      <c r="H13" s="6">
        <v>13.166</v>
      </c>
      <c r="I13" s="6">
        <v>52.253</v>
      </c>
      <c r="J13" s="6">
        <v>2.9940000000000002</v>
      </c>
      <c r="K13" s="8">
        <v>21.682657381196901</v>
      </c>
      <c r="L13" s="6">
        <v>14.4645209862601</v>
      </c>
      <c r="M13" s="6">
        <v>4.9962843002429898</v>
      </c>
    </row>
    <row r="14" spans="1:13" x14ac:dyDescent="0.3">
      <c r="A14" s="2" t="s">
        <v>30</v>
      </c>
      <c r="B14" s="5">
        <v>4121692</v>
      </c>
      <c r="C14" s="6">
        <v>27.6</v>
      </c>
      <c r="D14" s="6">
        <v>11.624000000000001</v>
      </c>
      <c r="E14" s="6">
        <v>0.73399999999999999</v>
      </c>
      <c r="F14" s="6">
        <v>-6.7489999999999997</v>
      </c>
      <c r="G14" s="6">
        <v>3.214</v>
      </c>
      <c r="H14" s="6">
        <v>-68.549000000000007</v>
      </c>
      <c r="I14" s="6">
        <v>113.63</v>
      </c>
      <c r="J14" s="6">
        <v>16.274000000000001</v>
      </c>
      <c r="K14" s="8">
        <v>11.9736618315232</v>
      </c>
      <c r="L14" s="10" t="s">
        <v>25</v>
      </c>
      <c r="M14" s="6">
        <v>-2.5213414928893898</v>
      </c>
    </row>
    <row r="15" spans="1:13" x14ac:dyDescent="0.3">
      <c r="A15" s="2" t="s">
        <v>31</v>
      </c>
      <c r="B15" s="5">
        <v>4216584</v>
      </c>
      <c r="C15" s="6">
        <v>62.143999999999998</v>
      </c>
      <c r="D15" s="6">
        <v>29.981000000000002</v>
      </c>
      <c r="E15" s="6">
        <v>17.004000000000001</v>
      </c>
      <c r="F15" s="6">
        <v>8.2520000000000007</v>
      </c>
      <c r="G15" s="6">
        <v>14.244</v>
      </c>
      <c r="H15" s="6">
        <v>-11.779</v>
      </c>
      <c r="I15" s="6">
        <v>53.877000000000002</v>
      </c>
      <c r="J15" s="6">
        <v>4.1559999999999997</v>
      </c>
      <c r="K15" s="8">
        <v>24.298229634168599</v>
      </c>
      <c r="L15" s="6">
        <v>9.4388534592372793</v>
      </c>
      <c r="M15" s="6">
        <v>3.5007165209253399</v>
      </c>
    </row>
    <row r="16" spans="1:13" x14ac:dyDescent="0.3">
      <c r="A16" s="2" t="s">
        <v>32</v>
      </c>
      <c r="B16" s="5">
        <v>4074329</v>
      </c>
      <c r="C16" s="6">
        <v>37.927999999999997</v>
      </c>
      <c r="D16" s="6">
        <v>15.361000000000001</v>
      </c>
      <c r="E16" s="6">
        <v>13.996</v>
      </c>
      <c r="F16" s="6">
        <v>15.891999999999999</v>
      </c>
      <c r="G16" s="6">
        <v>13.055</v>
      </c>
      <c r="H16" s="6">
        <v>-13.186999999999999</v>
      </c>
      <c r="I16" s="6">
        <v>45.966999999999999</v>
      </c>
      <c r="J16" s="6">
        <v>4.4290000000000003</v>
      </c>
      <c r="K16" s="8">
        <v>11.263901412684101</v>
      </c>
      <c r="L16" s="6">
        <v>22.846289512956201</v>
      </c>
      <c r="M16" s="6">
        <v>8.36182828098163</v>
      </c>
    </row>
    <row r="17" spans="1:13" x14ac:dyDescent="0.3">
      <c r="A17" s="2" t="s">
        <v>33</v>
      </c>
      <c r="B17" s="5">
        <v>4121647</v>
      </c>
      <c r="C17" s="6">
        <v>46.548999999999999</v>
      </c>
      <c r="D17" s="6">
        <v>32.125999999999998</v>
      </c>
      <c r="E17" s="6">
        <v>27.850999999999999</v>
      </c>
      <c r="F17" s="6">
        <v>15.946</v>
      </c>
      <c r="G17" s="6">
        <v>1.8149999999999999</v>
      </c>
      <c r="H17" s="6">
        <v>-6.6680000000000001</v>
      </c>
      <c r="I17" s="6">
        <v>56.787999999999997</v>
      </c>
      <c r="J17" s="6">
        <v>3.4049999999999998</v>
      </c>
      <c r="K17" s="8">
        <v>47.222949211955097</v>
      </c>
      <c r="L17" s="6">
        <v>20.861237057960398</v>
      </c>
      <c r="M17" s="6">
        <v>6.9518709483622798</v>
      </c>
    </row>
    <row r="18" spans="1:13" x14ac:dyDescent="0.3">
      <c r="A18" s="2" t="s">
        <v>34</v>
      </c>
      <c r="B18" s="5">
        <v>4104060</v>
      </c>
      <c r="C18" s="6">
        <v>41.62</v>
      </c>
      <c r="D18" s="6">
        <v>21.227</v>
      </c>
      <c r="E18" s="6">
        <v>20.414000000000001</v>
      </c>
      <c r="F18" s="6">
        <v>16.469000000000001</v>
      </c>
      <c r="G18" s="6">
        <v>15.196999999999999</v>
      </c>
      <c r="H18" s="6">
        <v>13.025</v>
      </c>
      <c r="I18" s="6">
        <v>49.362000000000002</v>
      </c>
      <c r="J18" s="6">
        <v>2.4359999999999999</v>
      </c>
      <c r="K18" s="10" t="s">
        <v>23</v>
      </c>
      <c r="L18" s="6">
        <v>33.245755432372498</v>
      </c>
      <c r="M18" s="6">
        <v>11.7106498206598</v>
      </c>
    </row>
    <row r="20" spans="1:13" x14ac:dyDescent="0.3">
      <c r="A20" s="11" t="s">
        <v>35</v>
      </c>
      <c r="B20" s="2" t="s">
        <v>19</v>
      </c>
      <c r="C20" s="6">
        <v>27.6</v>
      </c>
      <c r="D20" s="6">
        <v>8.7100000000000009</v>
      </c>
      <c r="E20" s="6">
        <v>0.73</v>
      </c>
      <c r="F20" s="6">
        <v>-6.75</v>
      </c>
      <c r="G20" s="6">
        <v>1.82</v>
      </c>
      <c r="H20" s="6">
        <v>-68.55</v>
      </c>
      <c r="I20" s="6">
        <v>34.32</v>
      </c>
      <c r="J20" s="6">
        <v>2.72</v>
      </c>
      <c r="K20" s="8">
        <v>11.3</v>
      </c>
      <c r="L20" s="6">
        <v>-5.05</v>
      </c>
      <c r="M20" s="6">
        <v>-2.52</v>
      </c>
    </row>
    <row r="21" spans="1:13" x14ac:dyDescent="0.3">
      <c r="A21" s="11" t="s">
        <v>36</v>
      </c>
      <c r="B21" s="2" t="s">
        <v>19</v>
      </c>
      <c r="C21" s="6">
        <v>45.52</v>
      </c>
      <c r="D21" s="6">
        <v>25.77</v>
      </c>
      <c r="E21" s="6">
        <v>17.45</v>
      </c>
      <c r="F21" s="6">
        <v>10.19</v>
      </c>
      <c r="G21" s="6">
        <v>7.75</v>
      </c>
      <c r="H21" s="6">
        <v>-5.62</v>
      </c>
      <c r="I21" s="6">
        <v>55.11</v>
      </c>
      <c r="J21" s="6">
        <v>4.29</v>
      </c>
      <c r="K21" s="8">
        <v>23</v>
      </c>
      <c r="L21" s="6">
        <v>13.31</v>
      </c>
      <c r="M21" s="6">
        <v>4.25</v>
      </c>
    </row>
    <row r="22" spans="1:13" x14ac:dyDescent="0.3">
      <c r="A22" s="11" t="s">
        <v>37</v>
      </c>
      <c r="B22" s="2" t="s">
        <v>19</v>
      </c>
      <c r="C22" s="6">
        <v>47.27</v>
      </c>
      <c r="D22" s="6">
        <v>23.65</v>
      </c>
      <c r="E22" s="6">
        <v>15.4</v>
      </c>
      <c r="F22" s="6">
        <v>8.18</v>
      </c>
      <c r="G22" s="6">
        <v>8.8699999999999992</v>
      </c>
      <c r="H22" s="6">
        <v>-6.23</v>
      </c>
      <c r="I22" s="6">
        <v>69.87</v>
      </c>
      <c r="J22" s="6">
        <v>6.05</v>
      </c>
      <c r="K22" s="8">
        <v>23.8</v>
      </c>
      <c r="L22" s="6">
        <v>11.41</v>
      </c>
      <c r="M22" s="6">
        <v>4.3600000000000003</v>
      </c>
    </row>
    <row r="23" spans="1:13" x14ac:dyDescent="0.3">
      <c r="A23" s="11" t="s">
        <v>38</v>
      </c>
      <c r="B23" s="2" t="s">
        <v>19</v>
      </c>
      <c r="C23" s="6">
        <v>66.959999999999994</v>
      </c>
      <c r="D23" s="6">
        <v>42.94</v>
      </c>
      <c r="E23" s="6">
        <v>27.85</v>
      </c>
      <c r="F23" s="6">
        <v>15.95</v>
      </c>
      <c r="G23" s="6">
        <v>20.13</v>
      </c>
      <c r="H23" s="6">
        <v>62.14</v>
      </c>
      <c r="I23" s="6">
        <v>139.66999999999999</v>
      </c>
      <c r="J23" s="6">
        <v>16.27</v>
      </c>
      <c r="K23" s="8">
        <v>47.2</v>
      </c>
      <c r="L23" s="6">
        <v>22.85</v>
      </c>
      <c r="M23" s="6">
        <v>12.64</v>
      </c>
    </row>
  </sheetData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M23"/>
  <sheetViews>
    <sheetView workbookViewId="0"/>
  </sheetViews>
  <sheetFormatPr baseColWidth="10" defaultColWidth="8.88671875" defaultRowHeight="14.4" x14ac:dyDescent="0.3"/>
  <cols>
    <col min="1" max="1" width="48.5546875" customWidth="1"/>
    <col min="2" max="2" width="16.5546875" customWidth="1"/>
    <col min="3" max="8" width="21.109375" customWidth="1"/>
    <col min="9" max="9" width="16.109375" customWidth="1"/>
    <col min="10" max="10" width="29.44140625" customWidth="1"/>
    <col min="11" max="13" width="21.109375" customWidth="1"/>
  </cols>
  <sheetData>
    <row r="3" spans="1:13" x14ac:dyDescent="0.3">
      <c r="A3" s="2" t="e">
        <f ca="1">SPGTable($B$8:$B$18,$C$5:$M$5,$C$6:$M$6,"Options:Curr=USD,Mag=Standard,ConvMethod=Recommended,FilingVer=Current/Restated")</f>
        <v>#NAME?</v>
      </c>
    </row>
    <row r="4" spans="1:13" x14ac:dyDescent="0.3">
      <c r="A4" s="3" t="e">
        <f ca="1">SPGLabel(266637,267969,"","Options:Curr=USD,Mag=Standard,ConvMethod=Recommended,FilingVer=Current/Restated")</f>
        <v>#NAME?</v>
      </c>
      <c r="B4" s="3" t="e">
        <f ca="1">SPGLabel(266637,267961,"","Options:Curr=USD,Mag=Standard,ConvMethod=Recommended,FilingVer=Current/Restated")</f>
        <v>#NAME?</v>
      </c>
      <c r="C4" s="4" t="e">
        <f ca="1">SPGLabel(266637,329262,"","Options:Curr=USD,Mag=Standard,ConvMethod=Recommended,FilingVer=Current/Restated")</f>
        <v>#NAME?</v>
      </c>
      <c r="D4" s="4" t="e">
        <f ca="1">SPGLabel(266637,328546,"","Options:Curr=USD,Mag=Standard,ConvMethod=Recommended,FilingVer=Current/Restated")</f>
        <v>#NAME?</v>
      </c>
      <c r="E4" s="4" t="e">
        <f ca="1">SPGLabel(266637,328549,"","Options:Curr=USD,Mag=Standard,ConvMethod=Recommended,FilingVer=Current/Restated")</f>
        <v>#NAME?</v>
      </c>
      <c r="F4" s="4" t="e">
        <f ca="1">SPGLabel(266637,329310,"","Options:Curr=USD,Mag=Standard,ConvMethod=Recommended,FilingVer=Current/Restated")</f>
        <v>#NAME?</v>
      </c>
      <c r="G4" s="4" t="e">
        <f ca="1">SPGLabel(266637,328499,"","Options:Curr=USD,Mag=Standard,ConvMethod=Recommended,FilingVer=Current/Restated")</f>
        <v>#NAME?</v>
      </c>
      <c r="H4" s="4" t="e">
        <f ca="1">SPGLabel(266637,290890,"NTM","Options:Curr=USD,Mag=Standard,ConvMethod=Recommended,FilingVer=Current/Restated")</f>
        <v>#NAME?</v>
      </c>
      <c r="I4" s="4" t="e">
        <f ca="1">SPGLabel(266637,290896,"","Options:Curr=USD,Mag=Standard,ConvMethod=Recommended,FilingVer=Current/Restated")</f>
        <v>#NAME?</v>
      </c>
      <c r="J4" s="4" t="e">
        <f ca="1">SPGLabel(266637,317678,"NTM","Options:Curr=USD,Mag=Standard,ConvMethod=Recommended,FilingVer=Current/Restated")</f>
        <v>#NAME?</v>
      </c>
      <c r="K4" s="4" t="e">
        <f ca="1">SPGLabel(266637,317682,"NTM","Options:Curr=USD,Mag=Standard,ConvMethod=Recommended,FilingVer=Current/Restated")</f>
        <v>#NAME?</v>
      </c>
      <c r="L4" s="4" t="e">
        <f ca="1">SPGLabel(266637,317683,"NTM","Options:Curr=USD,Mag=Standard,ConvMethod=Recommended,FilingVer=Current/Restated")</f>
        <v>#NAME?</v>
      </c>
      <c r="M4" s="4" t="e">
        <f ca="1">SPGLabel(266637,317681,"FY0","Options:Curr=USD,Mag=Standard,ConvMethod=Recommended,FilingVer=Current/Restated")</f>
        <v>#NAME?</v>
      </c>
    </row>
    <row r="5" spans="1:13" ht="28.8" x14ac:dyDescent="0.3">
      <c r="A5" s="3" t="s">
        <v>0</v>
      </c>
      <c r="B5" s="3" t="s">
        <v>1</v>
      </c>
      <c r="C5" s="4" t="s">
        <v>50</v>
      </c>
      <c r="D5" s="4" t="s">
        <v>51</v>
      </c>
      <c r="E5" s="4" t="s">
        <v>52</v>
      </c>
      <c r="F5" s="4" t="s">
        <v>53</v>
      </c>
      <c r="G5" s="4" t="s">
        <v>54</v>
      </c>
      <c r="H5" s="4" t="s">
        <v>55</v>
      </c>
      <c r="I5" s="4" t="s">
        <v>56</v>
      </c>
      <c r="J5" s="4" t="s">
        <v>57</v>
      </c>
      <c r="K5" s="4" t="s">
        <v>58</v>
      </c>
      <c r="L5" s="4" t="s">
        <v>59</v>
      </c>
      <c r="M5" s="4" t="s">
        <v>60</v>
      </c>
    </row>
    <row r="6" spans="1:13" x14ac:dyDescent="0.3">
      <c r="A6" s="3" t="s">
        <v>19</v>
      </c>
      <c r="B6" s="3" t="s">
        <v>19</v>
      </c>
      <c r="C6" s="4" t="s">
        <v>19</v>
      </c>
      <c r="D6" s="4" t="s">
        <v>19</v>
      </c>
      <c r="E6" s="4" t="s">
        <v>19</v>
      </c>
      <c r="F6" s="4" t="s">
        <v>19</v>
      </c>
      <c r="G6" s="4" t="s">
        <v>19</v>
      </c>
      <c r="H6" s="4" t="e">
        <f ca="1">SPGLabel(266637,290890,"&lt;&gt;NTM","Options:Curr=USD,Mag=Standard,ConvMethod=Recommended,FilingVer=Current/Restated")</f>
        <v>#NAME?</v>
      </c>
      <c r="I6" s="4" t="s">
        <v>19</v>
      </c>
      <c r="J6" s="4" t="e">
        <f ca="1">SPGLabel(266637,317678,"&lt;&gt;NTM","Options:Curr=USD,Mag=Standard,ConvMethod=Recommended,FilingVer=Current/Restated")</f>
        <v>#NAME?</v>
      </c>
      <c r="K6" s="4" t="e">
        <f ca="1">SPGLabel(266637,317682,"&lt;&gt;NTM","Options:Curr=USD,Mag=Standard,ConvMethod=Recommended,FilingVer=Current/Restated")</f>
        <v>#NAME?</v>
      </c>
      <c r="L6" s="4" t="e">
        <f ca="1">SPGLabel(266637,317683,"&lt;&gt;NTM","Options:Curr=USD,Mag=Standard,ConvMethod=Recommended,FilingVer=Current/Restated")</f>
        <v>#NAME?</v>
      </c>
      <c r="M6" s="4" t="s">
        <v>61</v>
      </c>
    </row>
    <row r="7" spans="1:13" x14ac:dyDescent="0.3">
      <c r="A7" s="3" t="s">
        <v>19</v>
      </c>
      <c r="B7" s="3" t="s">
        <v>19</v>
      </c>
      <c r="C7" s="4" t="s">
        <v>19</v>
      </c>
      <c r="D7" s="4" t="s">
        <v>19</v>
      </c>
      <c r="E7" s="4" t="s">
        <v>19</v>
      </c>
      <c r="F7" s="4" t="s">
        <v>19</v>
      </c>
      <c r="G7" s="4" t="s">
        <v>19</v>
      </c>
      <c r="H7" s="4" t="s">
        <v>19</v>
      </c>
      <c r="I7" s="4" t="s">
        <v>19</v>
      </c>
      <c r="J7" s="4" t="s">
        <v>19</v>
      </c>
      <c r="K7" s="4" t="s">
        <v>19</v>
      </c>
      <c r="L7" s="4" t="s">
        <v>19</v>
      </c>
      <c r="M7" s="4" t="s">
        <v>19</v>
      </c>
    </row>
    <row r="8" spans="1:13" x14ac:dyDescent="0.3">
      <c r="A8" s="2" t="s">
        <v>22</v>
      </c>
      <c r="B8" s="5">
        <v>13518181</v>
      </c>
      <c r="C8" s="6">
        <v>8.2019110861103997</v>
      </c>
      <c r="D8" s="6">
        <v>1.88044698287985</v>
      </c>
      <c r="E8" s="6">
        <v>9.6954305555083504</v>
      </c>
      <c r="F8" s="6">
        <v>15.786699107866999</v>
      </c>
      <c r="G8" s="6">
        <v>5.4242719799359103</v>
      </c>
      <c r="H8" s="8">
        <v>11.335973443596799</v>
      </c>
      <c r="I8" s="10" t="s">
        <v>23</v>
      </c>
      <c r="J8" s="6">
        <v>1.810310998049</v>
      </c>
      <c r="K8" s="6">
        <v>7.7390929610079997</v>
      </c>
      <c r="L8" s="6">
        <v>8.6510768859399008</v>
      </c>
      <c r="M8" s="8">
        <v>1.8611802847717001</v>
      </c>
    </row>
    <row r="9" spans="1:13" x14ac:dyDescent="0.3">
      <c r="A9" s="2" t="s">
        <v>24</v>
      </c>
      <c r="B9" s="5">
        <v>4973976</v>
      </c>
      <c r="C9" s="6">
        <v>7.2282041751121602</v>
      </c>
      <c r="D9" s="6">
        <v>3.1713394833992701</v>
      </c>
      <c r="E9" s="6">
        <v>12.5709914685172</v>
      </c>
      <c r="F9" s="6">
        <v>5.4579439252336401</v>
      </c>
      <c r="G9" s="10" t="s">
        <v>25</v>
      </c>
      <c r="H9" s="8">
        <v>7.8099402887271001</v>
      </c>
      <c r="I9" s="10" t="s">
        <v>23</v>
      </c>
      <c r="J9" s="6">
        <v>3.2409773906255999</v>
      </c>
      <c r="K9" s="6">
        <v>7.8499129718017002</v>
      </c>
      <c r="L9" s="6">
        <v>14.8023790052246</v>
      </c>
      <c r="M9" s="10" t="s">
        <v>25</v>
      </c>
    </row>
    <row r="10" spans="1:13" x14ac:dyDescent="0.3">
      <c r="A10" s="2" t="s">
        <v>26</v>
      </c>
      <c r="B10" s="5">
        <v>4104069</v>
      </c>
      <c r="C10" s="6">
        <v>12.9133274316338</v>
      </c>
      <c r="D10" s="6">
        <v>3.9173594485568102</v>
      </c>
      <c r="E10" s="6">
        <v>16.756201556640399</v>
      </c>
      <c r="F10" s="6">
        <v>19.905956112852699</v>
      </c>
      <c r="G10" s="10" t="s">
        <v>25</v>
      </c>
      <c r="H10" s="8">
        <v>19.689922480620201</v>
      </c>
      <c r="I10" s="10" t="s">
        <v>23</v>
      </c>
      <c r="J10" s="6">
        <v>3.7939709278128002</v>
      </c>
      <c r="K10" s="6">
        <v>12.117960069494501</v>
      </c>
      <c r="L10" s="6">
        <v>16.117315071838298</v>
      </c>
      <c r="M10" s="10" t="s">
        <v>25</v>
      </c>
    </row>
    <row r="11" spans="1:13" x14ac:dyDescent="0.3">
      <c r="A11" s="2" t="s">
        <v>27</v>
      </c>
      <c r="B11" s="5">
        <v>4121683</v>
      </c>
      <c r="C11" s="6">
        <v>22.038117574472899</v>
      </c>
      <c r="D11" s="6">
        <v>1.9207092388859199</v>
      </c>
      <c r="E11" s="6">
        <v>200.00722687272699</v>
      </c>
      <c r="F11" s="10" t="s">
        <v>25</v>
      </c>
      <c r="G11" s="10" t="s">
        <v>25</v>
      </c>
      <c r="H11" s="8">
        <v>17.801778907242699</v>
      </c>
      <c r="I11" s="10" t="s">
        <v>23</v>
      </c>
      <c r="J11" s="6">
        <v>1.7242178417334</v>
      </c>
      <c r="K11" s="6">
        <v>18.128669125626299</v>
      </c>
      <c r="L11" s="6">
        <v>69.750435784976005</v>
      </c>
      <c r="M11" s="8">
        <v>1.4937390946514999</v>
      </c>
    </row>
    <row r="12" spans="1:13" x14ac:dyDescent="0.3">
      <c r="A12" s="2" t="s">
        <v>28</v>
      </c>
      <c r="B12" s="5">
        <v>4097175</v>
      </c>
      <c r="C12" s="6">
        <v>21.813477776504001</v>
      </c>
      <c r="D12" s="6">
        <v>3.7665816355740702</v>
      </c>
      <c r="E12" s="6">
        <v>43.958308349421202</v>
      </c>
      <c r="F12" s="6">
        <v>72.287581699346404</v>
      </c>
      <c r="G12" s="10" t="s">
        <v>25</v>
      </c>
      <c r="H12" s="8">
        <v>25.4290073782999</v>
      </c>
      <c r="I12" s="10" t="s">
        <v>23</v>
      </c>
      <c r="J12" s="6">
        <v>3.1811148267577001</v>
      </c>
      <c r="K12" s="6">
        <v>16.718302227743401</v>
      </c>
      <c r="L12" s="6">
        <v>19.290846366529902</v>
      </c>
      <c r="M12" s="8">
        <v>3.6533950223197</v>
      </c>
    </row>
    <row r="13" spans="1:13" x14ac:dyDescent="0.3">
      <c r="A13" s="2" t="s">
        <v>29</v>
      </c>
      <c r="B13" s="5">
        <v>4057180</v>
      </c>
      <c r="C13" s="6">
        <v>8.2812496749808293</v>
      </c>
      <c r="D13" s="6">
        <v>2.6915395579799801</v>
      </c>
      <c r="E13" s="6">
        <v>13.725401194212001</v>
      </c>
      <c r="F13" s="6">
        <v>15.4407894736842</v>
      </c>
      <c r="G13" s="10" t="s">
        <v>25</v>
      </c>
      <c r="H13" s="8">
        <v>13.2099578429552</v>
      </c>
      <c r="I13" s="10" t="s">
        <v>23</v>
      </c>
      <c r="J13" s="6">
        <v>2.5581318926518</v>
      </c>
      <c r="K13" s="6">
        <v>8.4211713314474004</v>
      </c>
      <c r="L13" s="6">
        <v>13.6389698120595</v>
      </c>
      <c r="M13" s="8">
        <v>2.3043315346296001</v>
      </c>
    </row>
    <row r="14" spans="1:13" x14ac:dyDescent="0.3">
      <c r="A14" s="2" t="s">
        <v>30</v>
      </c>
      <c r="B14" s="5">
        <v>4121692</v>
      </c>
      <c r="C14" s="6">
        <v>16.7427185588264</v>
      </c>
      <c r="D14" s="6">
        <v>2.23272640709488</v>
      </c>
      <c r="E14" s="6">
        <v>152.172708679111</v>
      </c>
      <c r="F14" s="10" t="s">
        <v>25</v>
      </c>
      <c r="G14" s="10" t="s">
        <v>25</v>
      </c>
      <c r="H14" s="8">
        <v>7.8877551020408001</v>
      </c>
      <c r="I14" s="10" t="s">
        <v>23</v>
      </c>
      <c r="J14" s="6">
        <v>2.0917421985917</v>
      </c>
      <c r="K14" s="6">
        <v>11.6190325729593</v>
      </c>
      <c r="L14" s="6">
        <v>29.458350903579401</v>
      </c>
      <c r="M14" s="10" t="s">
        <v>25</v>
      </c>
    </row>
    <row r="15" spans="1:13" x14ac:dyDescent="0.3">
      <c r="A15" s="2" t="s">
        <v>31</v>
      </c>
      <c r="B15" s="5">
        <v>4216584</v>
      </c>
      <c r="C15" s="6">
        <v>17.448811154710398</v>
      </c>
      <c r="D15" s="6">
        <v>5.36302972657698</v>
      </c>
      <c r="E15" s="6">
        <v>31.815423550705599</v>
      </c>
      <c r="F15" s="6">
        <v>15.5660377358491</v>
      </c>
      <c r="G15" s="10" t="s">
        <v>25</v>
      </c>
      <c r="H15" s="10" t="s">
        <v>23</v>
      </c>
      <c r="I15" s="10" t="s">
        <v>23</v>
      </c>
      <c r="J15" s="6">
        <v>0.7314224926906</v>
      </c>
      <c r="K15" s="6">
        <v>3.2175531848086001</v>
      </c>
      <c r="L15" s="10" t="s">
        <v>23</v>
      </c>
      <c r="M15" s="10" t="s">
        <v>23</v>
      </c>
    </row>
    <row r="16" spans="1:13" x14ac:dyDescent="0.3">
      <c r="A16" s="2" t="s">
        <v>32</v>
      </c>
      <c r="B16" s="5">
        <v>4074329</v>
      </c>
      <c r="C16" s="6">
        <v>8.0838051002763702</v>
      </c>
      <c r="D16" s="6">
        <v>1.2278696475687401</v>
      </c>
      <c r="E16" s="6">
        <v>8.9769518530434809</v>
      </c>
      <c r="F16" s="6">
        <v>4.6583044982699002</v>
      </c>
      <c r="G16" s="10" t="s">
        <v>25</v>
      </c>
      <c r="H16" s="8">
        <v>11.9717657520796</v>
      </c>
      <c r="I16" s="10" t="s">
        <v>23</v>
      </c>
      <c r="J16" s="6">
        <v>1.1620701902960999</v>
      </c>
      <c r="K16" s="6">
        <v>9.4534699375572</v>
      </c>
      <c r="L16" s="6">
        <v>10.586838075959999</v>
      </c>
      <c r="M16" s="8">
        <v>1.0869231325354001</v>
      </c>
    </row>
    <row r="17" spans="1:13" x14ac:dyDescent="0.3">
      <c r="A17" s="2" t="s">
        <v>33</v>
      </c>
      <c r="B17" s="5">
        <v>4121647</v>
      </c>
      <c r="C17" s="6">
        <v>8.5917541748666899</v>
      </c>
      <c r="D17" s="6">
        <v>2.7834033870561701</v>
      </c>
      <c r="E17" s="6">
        <v>10.1116517870308</v>
      </c>
      <c r="F17" s="6">
        <v>10.616822429906501</v>
      </c>
      <c r="G17" s="10" t="s">
        <v>25</v>
      </c>
      <c r="H17" s="8">
        <v>7.1148299737264997</v>
      </c>
      <c r="I17" s="10" t="s">
        <v>23</v>
      </c>
      <c r="J17" s="6">
        <v>2.4208600465061001</v>
      </c>
      <c r="K17" s="6">
        <v>6.7343751236190998</v>
      </c>
      <c r="L17" s="6">
        <v>7.1462818774249</v>
      </c>
      <c r="M17" s="8">
        <v>2.0390078085649002</v>
      </c>
    </row>
    <row r="18" spans="1:13" x14ac:dyDescent="0.3">
      <c r="A18" s="2" t="s">
        <v>34</v>
      </c>
      <c r="B18" s="5">
        <v>4104060</v>
      </c>
      <c r="C18" s="6">
        <v>15.3774219678254</v>
      </c>
      <c r="D18" s="6">
        <v>3.5515263060780602</v>
      </c>
      <c r="E18" s="6">
        <v>17.397650219969201</v>
      </c>
      <c r="F18" s="6">
        <v>19.811166591012299</v>
      </c>
      <c r="G18" s="10" t="s">
        <v>25</v>
      </c>
      <c r="H18" s="8">
        <v>19.890185612565201</v>
      </c>
      <c r="I18" s="10" t="s">
        <v>23</v>
      </c>
      <c r="J18" s="6">
        <v>3.3308098219554001</v>
      </c>
      <c r="K18" s="6">
        <v>15.099287541012499</v>
      </c>
      <c r="L18" s="6">
        <v>16.8848747825039</v>
      </c>
      <c r="M18" s="8">
        <v>15.0173255559738</v>
      </c>
    </row>
    <row r="20" spans="1:13" x14ac:dyDescent="0.3">
      <c r="A20" s="11" t="s">
        <v>35</v>
      </c>
      <c r="B20" s="2" t="s">
        <v>19</v>
      </c>
      <c r="C20" s="6">
        <v>7.23</v>
      </c>
      <c r="D20" s="6">
        <v>1.23</v>
      </c>
      <c r="E20" s="6">
        <v>8.98</v>
      </c>
      <c r="F20" s="6">
        <v>4.66</v>
      </c>
      <c r="G20" s="6">
        <v>5.42</v>
      </c>
      <c r="H20" s="8">
        <v>7.1</v>
      </c>
      <c r="I20" s="10" t="s">
        <v>23</v>
      </c>
      <c r="J20" s="6">
        <v>0.73</v>
      </c>
      <c r="K20" s="6">
        <v>3.22</v>
      </c>
      <c r="L20" s="6">
        <v>7.15</v>
      </c>
      <c r="M20" s="8">
        <v>1.1000000000000001</v>
      </c>
    </row>
    <row r="21" spans="1:13" x14ac:dyDescent="0.3">
      <c r="A21" s="11" t="s">
        <v>36</v>
      </c>
      <c r="B21" s="2" t="s">
        <v>19</v>
      </c>
      <c r="C21" s="6">
        <v>10.75</v>
      </c>
      <c r="D21" s="6">
        <v>2.74</v>
      </c>
      <c r="E21" s="6">
        <v>15.24</v>
      </c>
      <c r="F21" s="6">
        <v>15.5</v>
      </c>
      <c r="G21" s="6">
        <v>5.42</v>
      </c>
      <c r="H21" s="8">
        <v>12</v>
      </c>
      <c r="I21" s="10" t="s">
        <v>23</v>
      </c>
      <c r="J21" s="6">
        <v>2.2599999999999998</v>
      </c>
      <c r="K21" s="6">
        <v>8.94</v>
      </c>
      <c r="L21" s="6">
        <v>14.8</v>
      </c>
      <c r="M21" s="8">
        <v>2</v>
      </c>
    </row>
    <row r="22" spans="1:13" x14ac:dyDescent="0.3">
      <c r="A22" s="11" t="s">
        <v>37</v>
      </c>
      <c r="B22" s="2" t="s">
        <v>19</v>
      </c>
      <c r="C22" s="6">
        <v>13.13</v>
      </c>
      <c r="D22" s="6">
        <v>2.9</v>
      </c>
      <c r="E22" s="6">
        <v>49.98</v>
      </c>
      <c r="F22" s="6">
        <v>19.97</v>
      </c>
      <c r="G22" s="6">
        <v>5.42</v>
      </c>
      <c r="H22" s="8">
        <v>13.6</v>
      </c>
      <c r="I22" s="10" t="s">
        <v>23</v>
      </c>
      <c r="J22" s="6">
        <v>2.27</v>
      </c>
      <c r="K22" s="6">
        <v>10.199999999999999</v>
      </c>
      <c r="L22" s="6">
        <v>21.05</v>
      </c>
      <c r="M22" s="8">
        <v>2.1</v>
      </c>
    </row>
    <row r="23" spans="1:13" x14ac:dyDescent="0.3">
      <c r="A23" s="11" t="s">
        <v>38</v>
      </c>
      <c r="B23" s="2" t="s">
        <v>19</v>
      </c>
      <c r="C23" s="6">
        <v>22.04</v>
      </c>
      <c r="D23" s="6">
        <v>5.36</v>
      </c>
      <c r="E23" s="6">
        <v>200.01</v>
      </c>
      <c r="F23" s="6">
        <v>72.290000000000006</v>
      </c>
      <c r="G23" s="6">
        <v>5.42</v>
      </c>
      <c r="H23" s="8">
        <v>25.4</v>
      </c>
      <c r="I23" s="10" t="s">
        <v>23</v>
      </c>
      <c r="J23" s="6">
        <v>3.79</v>
      </c>
      <c r="K23" s="6">
        <v>18.13</v>
      </c>
      <c r="L23" s="6">
        <v>69.75</v>
      </c>
      <c r="M23" s="8">
        <v>3.7</v>
      </c>
    </row>
  </sheetData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/>
  </sheetViews>
  <sheetFormatPr baseColWidth="10" defaultColWidth="8.88671875" defaultRowHeight="14.4" x14ac:dyDescent="0.3"/>
  <cols>
    <col min="1" max="1" width="48.5546875" customWidth="1"/>
  </cols>
  <sheetData>
    <row r="1" spans="1:4" ht="40.049999999999997" customHeight="1" x14ac:dyDescent="0.3">
      <c r="A1" s="1"/>
      <c r="B1" s="1"/>
      <c r="C1" s="1"/>
      <c r="D1" s="1"/>
    </row>
    <row r="3" spans="1:4" x14ac:dyDescent="0.3">
      <c r="A3" s="11" t="s">
        <v>62</v>
      </c>
    </row>
    <row r="4" spans="1:4" x14ac:dyDescent="0.3">
      <c r="A4" s="11" t="s">
        <v>63</v>
      </c>
    </row>
    <row r="5" spans="1:4" x14ac:dyDescent="0.3">
      <c r="A5" s="2" t="s">
        <v>64</v>
      </c>
    </row>
    <row r="6" spans="1:4" x14ac:dyDescent="0.3">
      <c r="A6" s="2" t="s">
        <v>65</v>
      </c>
    </row>
    <row r="7" spans="1:4" x14ac:dyDescent="0.3">
      <c r="A7" s="2" t="s">
        <v>66</v>
      </c>
    </row>
    <row r="8" spans="1:4" x14ac:dyDescent="0.3">
      <c r="A8" s="2" t="s">
        <v>67</v>
      </c>
    </row>
    <row r="9" spans="1:4" x14ac:dyDescent="0.3">
      <c r="A9" s="2" t="s">
        <v>68</v>
      </c>
    </row>
    <row r="10" spans="1:4" x14ac:dyDescent="0.3">
      <c r="A10" s="2" t="s">
        <v>69</v>
      </c>
    </row>
  </sheetData>
  <mergeCells count="1">
    <mergeCell ref="A1:D1"/>
  </mergeCells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Screening Criteria</vt:lpstr>
    </vt:vector>
  </TitlesOfParts>
  <Manager/>
  <Company>SoftArtisans,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VARGAS</dc:creator>
  <cp:keywords/>
  <dc:description/>
  <cp:lastModifiedBy>ALEJANDRO VARGAS</cp:lastModifiedBy>
  <dcterms:created xsi:type="dcterms:W3CDTF">2022-04-21T22:16:15Z</dcterms:created>
  <dcterms:modified xsi:type="dcterms:W3CDTF">2022-04-21T22:16:15Z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xcelWriter version">
    <vt:lpwstr/>
  </property>
  <property fmtid="{D5CDD505-2E9C-101B-9397-08002B2CF9AE}" pid="3" name="{A44787D4-0540-4523-9961-78E4036D8C6D}">
    <vt:lpwstr>{2DA3BF28-B378-4B5D-A8CE-A1A78E4F251D}</vt:lpwstr>
  </property>
</Properties>
</file>