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85a3fe9bc941f1/Documentos/1. Docencia/2. DIPLOMADOS/Banca y Finanzas/Riesgos Mercado Valores/2022/Empresas/"/>
    </mc:Choice>
  </mc:AlternateContent>
  <xr:revisionPtr revIDLastSave="0" documentId="8_{0C97BF13-D128-4394-91D1-D882543407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creening Criteria" sheetId="4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L6" i="3"/>
  <c r="K6" i="3"/>
  <c r="J6" i="3"/>
  <c r="H6" i="3"/>
  <c r="M4" i="3"/>
  <c r="L4" i="3"/>
  <c r="K4" i="3"/>
  <c r="J4" i="3"/>
  <c r="I4" i="3"/>
  <c r="H4" i="3"/>
  <c r="G4" i="3"/>
  <c r="F4" i="3"/>
  <c r="E4" i="3"/>
  <c r="D4" i="3"/>
  <c r="C4" i="3"/>
  <c r="B4" i="3"/>
  <c r="A4" i="3"/>
  <c r="A3" i="3"/>
  <c r="M4" i="2"/>
  <c r="L4" i="2"/>
  <c r="K4" i="2"/>
  <c r="J4" i="2"/>
  <c r="I4" i="2"/>
  <c r="H4" i="2"/>
  <c r="G4" i="2"/>
  <c r="F4" i="2"/>
  <c r="E4" i="2"/>
  <c r="D4" i="2"/>
  <c r="C4" i="2"/>
  <c r="B4" i="2"/>
  <c r="A4" i="2"/>
  <c r="A3" i="2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3" i="1"/>
</calcChain>
</file>

<file path=xl/sharedStrings.xml><?xml version="1.0" encoding="utf-8"?>
<sst xmlns="http://schemas.openxmlformats.org/spreadsheetml/2006/main" count="334" uniqueCount="70">
  <si>
    <t>SP_ENTITY_NAME</t>
  </si>
  <si>
    <t>SP_ENTITY_ID</t>
  </si>
  <si>
    <t>SP_PRICE_CLOSE</t>
  </si>
  <si>
    <t>290935</t>
  </si>
  <si>
    <t>290933</t>
  </si>
  <si>
    <t>275618</t>
  </si>
  <si>
    <t>SP_NONCONTROLLING_INTS</t>
  </si>
  <si>
    <t>311681</t>
  </si>
  <si>
    <t>275868</t>
  </si>
  <si>
    <t>275720</t>
  </si>
  <si>
    <t>275622</t>
  </si>
  <si>
    <t>275629</t>
  </si>
  <si>
    <t>275628</t>
  </si>
  <si>
    <t>SP_DILUT_EPS_AFTER_EXTRA</t>
  </si>
  <si>
    <t>290954</t>
  </si>
  <si>
    <t>IQ_PTBV</t>
  </si>
  <si>
    <t>307489</t>
  </si>
  <si>
    <t>SP_NIM</t>
  </si>
  <si>
    <t>275623</t>
  </si>
  <si>
    <t/>
  </si>
  <si>
    <t>LTM</t>
  </si>
  <si>
    <t>Current/Restated</t>
  </si>
  <si>
    <t>United Internet AG (XTRA:UTDI)</t>
  </si>
  <si>
    <t>NM</t>
  </si>
  <si>
    <t>NA</t>
  </si>
  <si>
    <t>Yandex N.V. (NASDAQGS:YNDX)</t>
  </si>
  <si>
    <t>Adevinta ASA (OB:ADE)</t>
  </si>
  <si>
    <t>Sinch AB (publ) (OM:SINCH)</t>
  </si>
  <si>
    <t>Majorel Group Luxembourg S.A. (ENXTAM:MAJ)</t>
  </si>
  <si>
    <t>Ipsos SA (ENXTPA:IPS)</t>
  </si>
  <si>
    <t>Magyar Telekom Plc. d/b/a T-Home (BUSE:MTELEKOM)</t>
  </si>
  <si>
    <t>VK Company Limited (LSE:VKCO)</t>
  </si>
  <si>
    <t>Kuaishou Technology (SEHK:1024)</t>
  </si>
  <si>
    <t>Z Holdings Corporation (TSE:4689)</t>
  </si>
  <si>
    <t>Spotify Technology S.A. (NYSE:SPOT)</t>
  </si>
  <si>
    <t>Minimum</t>
  </si>
  <si>
    <t>Median</t>
  </si>
  <si>
    <t>Average</t>
  </si>
  <si>
    <t>Maximum</t>
  </si>
  <si>
    <t>274477</t>
  </si>
  <si>
    <t>274480</t>
  </si>
  <si>
    <t>274481</t>
  </si>
  <si>
    <t>274478</t>
  </si>
  <si>
    <t>274469</t>
  </si>
  <si>
    <t>306316</t>
  </si>
  <si>
    <t>IQ_DEBT_TO_CAPITAL</t>
  </si>
  <si>
    <t>274468</t>
  </si>
  <si>
    <t>SNL_ROIC</t>
  </si>
  <si>
    <t>298535</t>
  </si>
  <si>
    <t>298534</t>
  </si>
  <si>
    <t>SP_TEV_EBITDA_LTM</t>
  </si>
  <si>
    <t>IQ_TEV_TOTAL_REV_LTM</t>
  </si>
  <si>
    <t>IQ_TEV_EBIT_LTM</t>
  </si>
  <si>
    <t>IQ_PE_LTM</t>
  </si>
  <si>
    <t>IQ_PTBV_X</t>
  </si>
  <si>
    <t>SP_PE_EST</t>
  </si>
  <si>
    <t>SP_PNAVPS_EST</t>
  </si>
  <si>
    <t>SP_TEV_TOTAL_REV_FWD</t>
  </si>
  <si>
    <t>SP_TEV_EBITDA_FWD</t>
  </si>
  <si>
    <t>SP_TEV_EBIT_FWD</t>
  </si>
  <si>
    <t>SP_PBV_FWD</t>
  </si>
  <si>
    <t>FY0</t>
  </si>
  <si>
    <t>Companies: New Screen</t>
  </si>
  <si>
    <t xml:space="preserve">Screening Criteria: </t>
  </si>
  <si>
    <t>1              [ Primary Industry: Internet Software and Services, IT Consulting and Other Services, Data Processing and Outsourced Services</t>
  </si>
  <si>
    <t xml:space="preserve">                   Geography: All Geographies</t>
  </si>
  <si>
    <t xml:space="preserve">                   Company Type: Public Company</t>
  </si>
  <si>
    <t xml:space="preserve">                   Company Status: Operating, Operating Subsidiary ]</t>
  </si>
  <si>
    <t>2                 Total Revenue [Latest Fiscal Year] (€000) Between 10 - 500</t>
  </si>
  <si>
    <t>3                 Top 10 Rank By Peer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</si>
</sst>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#,##0;\(#,##0\)"/>
    <numFmt numFmtId="166" formatCode="#,##0.0;\(#,##0.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Alignment="1">
      <alignment horizontal="left" vertical="top"/>
    </xf>
    <xf numFmtId="0" fontId="0" fillId="0" borderId="0" xfId="0" applyNumberFormat="1" applyFont="1" applyFill="1" applyAlignment="1">
      <alignment horizontal="left" wrapText="1"/>
    </xf>
    <xf numFmtId="0" fontId="0" fillId="0" borderId="0" xfId="0" applyNumberFormat="1" applyFont="1" applyFill="1" applyAlignment="1">
      <alignment horizontal="right" wrapText="1"/>
    </xf>
    <xf numFmtId="49" fontId="0" fillId="0" borderId="0" xfId="0" applyNumberFormat="1" applyFont="1" applyFill="1" applyAlignment="1">
      <alignment horizontal="left" vertical="top"/>
    </xf>
    <xf numFmtId="164" fontId="0" fillId="0" borderId="0" xfId="0" applyNumberFormat="1" applyFont="1" applyFill="1" applyAlignment="1">
      <alignment horizontal="right" vertical="top"/>
    </xf>
    <xf numFmtId="165" fontId="0" fillId="0" borderId="0" xfId="0" applyNumberFormat="1" applyFont="1" applyFill="1" applyAlignment="1">
      <alignment horizontal="right" vertical="top"/>
    </xf>
    <xf numFmtId="166" fontId="0" fillId="0" borderId="0" xfId="0" applyNumberFormat="1" applyFont="1" applyFill="1" applyAlignment="1">
      <alignment horizontal="right" vertical="top"/>
    </xf>
    <xf numFmtId="14" fontId="0" fillId="0" borderId="0" xfId="0" applyNumberFormat="1" applyFont="1" applyFill="1" applyAlignment="1">
      <alignment horizontal="right" vertical="top"/>
    </xf>
    <xf numFmtId="0" fontId="0" fillId="0" borderId="0" xfId="0" applyNumberFormat="1" applyFont="1" applyFill="1" applyAlignment="1">
      <alignment horizontal="right" vertical="top"/>
    </xf>
    <xf numFmtId="0" fontId="1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23"/>
  <sheetViews>
    <sheetView tabSelected="1" workbookViewId="0"/>
  </sheetViews>
  <sheetFormatPr baseColWidth="10" defaultColWidth="8.88671875" defaultRowHeight="14.4" x14ac:dyDescent="0.3"/>
  <cols>
    <col min="1" max="1" width="48.5546875" customWidth="1"/>
    <col min="2" max="2" width="16.5546875" customWidth="1"/>
    <col min="3" max="3" width="21.109375" customWidth="1"/>
    <col min="4" max="4" width="20.5546875" customWidth="1"/>
    <col min="5" max="9" width="21.109375" customWidth="1"/>
    <col min="10" max="10" width="16.109375" customWidth="1"/>
    <col min="11" max="11" width="21.109375" customWidth="1"/>
    <col min="12" max="13" width="22" customWidth="1"/>
    <col min="14" max="14" width="23.88671875" customWidth="1"/>
    <col min="15" max="17" width="21.109375" customWidth="1"/>
    <col min="18" max="18" width="16.109375" customWidth="1"/>
    <col min="19" max="19" width="22" customWidth="1"/>
  </cols>
  <sheetData>
    <row r="3" spans="1:19" x14ac:dyDescent="0.3">
      <c r="A3" s="2" t="e">
        <f ca="1">SPGTable($B$8:$B$18,$C$5:$S$5,$C$6:$S$6,"Options:Curr=EUR,Mag=Standard,ConvMethod=Recommended,FilingVer=Current/Restated")</f>
        <v>#NAME?</v>
      </c>
    </row>
    <row r="4" spans="1:19" x14ac:dyDescent="0.3">
      <c r="A4" s="3" t="e">
        <f ca="1">SPGLabel(266637,267969,"","Options:Curr=EUR,Mag=Standard,ConvMethod=Recommended,FilingVer=Current/Restated")</f>
        <v>#NAME?</v>
      </c>
      <c r="B4" s="3" t="e">
        <f ca="1">SPGLabel(266637,267961,"","Options:Curr=EUR,Mag=Standard,ConvMethod=Recommended,FilingVer=Current/Restated")</f>
        <v>#NAME?</v>
      </c>
      <c r="C4" s="4" t="e">
        <f ca="1">SPGLabel(266637,290930,"","Options:Curr=EUR,Mag=Standard,ConvMethod=Recommended,FilingVer=Current/Restated")</f>
        <v>#NAME?</v>
      </c>
      <c r="D4" s="4" t="e">
        <f ca="1">SPGLabel(266637,290935,"","Options:Curr=EUR,Mag=Standard,ConvMethod=Recommended,FilingVer=Current/Restated")</f>
        <v>#NAME?</v>
      </c>
      <c r="E4" s="4" t="e">
        <f ca="1">SPGLabel(266637,290933,"","Options:Curr=EUR,Mag=Standard,ConvMethod=Recommended,FilingVer=Current/Restated")</f>
        <v>#NAME?</v>
      </c>
      <c r="F4" s="4" t="e">
        <f ca="1">SPGLabel(266637,275618,"LTM","Options:Curr=EUR,Mag=Standard,ConvMethod=Recommended,FilingVer=Current/Restated")</f>
        <v>#NAME?</v>
      </c>
      <c r="G4" s="4" t="e">
        <f ca="1">SPGLabel(266637,309226,"LTM","Options:Curr=EUR,Mag=Standard,ConvMethod=Recommended,FilingVer=Current/Restated")</f>
        <v>#NAME?</v>
      </c>
      <c r="H4" s="4" t="e">
        <f ca="1">SPGLabel(266637,311681,"","Options:Curr=EUR,Mag=Standard,ConvMethod=Recommended,FilingVer=Current/Restated")</f>
        <v>#NAME?</v>
      </c>
      <c r="I4" s="4" t="e">
        <f ca="1">SPGLabel(266637,275868,"LTM","Options:Curr=EUR,Mag=Standard,ConvMethod=Recommended,FilingVer=Current/Restated")</f>
        <v>#NAME?</v>
      </c>
      <c r="J4" s="4" t="e">
        <f ca="1">SPGLabel(266637,275720,"LTM","Options:Curr=EUR,Mag=Standard,ConvMethod=Recommended,FilingVer=Current/Restated")</f>
        <v>#NAME?</v>
      </c>
      <c r="K4" s="4" t="e">
        <f ca="1">SPGLabel(266637,275622,"LTM","Options:Curr=EUR,Mag=Standard,ConvMethod=Recommended,FilingVer=Current/Restated")</f>
        <v>#NAME?</v>
      </c>
      <c r="L4" s="4" t="e">
        <f ca="1">SPGLabel(266637,275629,"LTM","Options:Curr=EUR,Mag=Standard,ConvMethod=Recommended,FilingVer=Current/Restated")</f>
        <v>#NAME?</v>
      </c>
      <c r="M4" s="4" t="e">
        <f ca="1">SPGLabel(266637,275628,"LTM","Options:Curr=EUR,Mag=Standard,ConvMethod=Recommended,FilingVer=Current/Restated")</f>
        <v>#NAME?</v>
      </c>
      <c r="N4" s="4" t="e">
        <f ca="1">SPGLabel(266637,275636,"LTM","Options:Curr=EUR,Mag=Standard,ConvMethod=Recommended,FilingVer=Current/Restated")</f>
        <v>#NAME?</v>
      </c>
      <c r="O4" s="4" t="e">
        <f ca="1">SPGLabel(266637,290954,"","Options:Curr=EUR,Mag=Standard,ConvMethod=Recommended,FilingVer=Current/Restated")</f>
        <v>#NAME?</v>
      </c>
      <c r="P4" s="4" t="e">
        <f ca="1">SPGLabel(266637,290956,"","Options:Curr=EUR,Mag=Standard,ConvMethod=Recommended,FilingVer=Current/Restated")</f>
        <v>#NAME?</v>
      </c>
      <c r="Q4" s="4" t="e">
        <f ca="1">SPGLabel(266637,307489,"LTM","Current/Restated","Options:Curr=EUR,Mag=Standard,ConvMethod=Recommended,FilingVer=Current/Restated")</f>
        <v>#NAME?</v>
      </c>
      <c r="R4" s="4" t="e">
        <f ca="1">SPGLabel(266637,275822,"LTM","Options:Curr=EUR,Mag=Standard,ConvMethod=Recommended,FilingVer=Current/Restated")</f>
        <v>#NAME?</v>
      </c>
      <c r="S4" s="4" t="e">
        <f ca="1">SPGLabel(266637,275623,"LTM","Options:Curr=EUR,Mag=Standard,ConvMethod=Recommended,FilingVer=Current/Restated")</f>
        <v>#NAME?</v>
      </c>
    </row>
    <row r="5" spans="1:19" ht="28.8" x14ac:dyDescent="0.3">
      <c r="A5" s="3" t="s">
        <v>0</v>
      </c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</row>
    <row r="6" spans="1:19" x14ac:dyDescent="0.3">
      <c r="A6" s="3" t="s">
        <v>19</v>
      </c>
      <c r="B6" s="3" t="s">
        <v>19</v>
      </c>
      <c r="C6" s="4" t="s">
        <v>19</v>
      </c>
      <c r="D6" s="4" t="s">
        <v>19</v>
      </c>
      <c r="E6" s="4" t="s">
        <v>19</v>
      </c>
      <c r="F6" s="4" t="s">
        <v>20</v>
      </c>
      <c r="G6" s="4" t="s">
        <v>20</v>
      </c>
      <c r="H6" s="4" t="s">
        <v>19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19</v>
      </c>
      <c r="P6" s="4" t="s">
        <v>19</v>
      </c>
      <c r="Q6" s="4" t="s">
        <v>20</v>
      </c>
      <c r="R6" s="4" t="s">
        <v>20</v>
      </c>
      <c r="S6" s="4" t="s">
        <v>20</v>
      </c>
    </row>
    <row r="7" spans="1:19" x14ac:dyDescent="0.3">
      <c r="A7" s="3" t="s">
        <v>19</v>
      </c>
      <c r="B7" s="3" t="s">
        <v>19</v>
      </c>
      <c r="C7" s="4" t="s">
        <v>19</v>
      </c>
      <c r="D7" s="4" t="s">
        <v>19</v>
      </c>
      <c r="E7" s="4" t="s">
        <v>19</v>
      </c>
      <c r="F7" s="4" t="s">
        <v>19</v>
      </c>
      <c r="G7" s="4" t="s">
        <v>19</v>
      </c>
      <c r="H7" s="4" t="s">
        <v>19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  <c r="N7" s="4" t="s">
        <v>19</v>
      </c>
      <c r="O7" s="4" t="s">
        <v>19</v>
      </c>
      <c r="P7" s="4" t="s">
        <v>19</v>
      </c>
      <c r="Q7" s="4" t="s">
        <v>21</v>
      </c>
      <c r="R7" s="4" t="s">
        <v>19</v>
      </c>
      <c r="S7" s="4" t="s">
        <v>19</v>
      </c>
    </row>
    <row r="8" spans="1:19" x14ac:dyDescent="0.3">
      <c r="A8" s="2" t="s">
        <v>22</v>
      </c>
      <c r="B8" s="5">
        <v>4277673</v>
      </c>
      <c r="C8" s="6">
        <v>31.03</v>
      </c>
      <c r="D8" s="7">
        <v>186715891</v>
      </c>
      <c r="E8" s="8">
        <v>5793.7940977300004</v>
      </c>
      <c r="F8" s="7">
        <v>2346093</v>
      </c>
      <c r="G8" s="7">
        <v>455747</v>
      </c>
      <c r="H8" s="8">
        <v>8474.6690977300004</v>
      </c>
      <c r="I8" s="6">
        <v>23.925999999999998</v>
      </c>
      <c r="J8" s="9">
        <v>44561</v>
      </c>
      <c r="K8" s="7">
        <v>5646177</v>
      </c>
      <c r="L8" s="7">
        <v>1113054</v>
      </c>
      <c r="M8" s="7">
        <v>793800</v>
      </c>
      <c r="N8" s="6">
        <v>2.2200000000000002</v>
      </c>
      <c r="O8" s="6">
        <v>13.9774774774775</v>
      </c>
      <c r="P8" s="10" t="s">
        <v>23</v>
      </c>
      <c r="Q8" s="10" t="s">
        <v>24</v>
      </c>
      <c r="R8" s="10" t="s">
        <v>24</v>
      </c>
      <c r="S8" s="7">
        <v>523152</v>
      </c>
    </row>
    <row r="9" spans="1:19" x14ac:dyDescent="0.3">
      <c r="A9" s="2" t="s">
        <v>25</v>
      </c>
      <c r="B9" s="5">
        <v>4884349</v>
      </c>
      <c r="C9" s="6">
        <v>17.443739999999998</v>
      </c>
      <c r="D9" s="7">
        <v>358703353</v>
      </c>
      <c r="E9" s="8">
        <v>6257.1280268602204</v>
      </c>
      <c r="F9" s="7">
        <v>1474409.39632196</v>
      </c>
      <c r="G9" s="7">
        <v>172825.10261194</v>
      </c>
      <c r="H9" s="8">
        <v>6637.9016586609696</v>
      </c>
      <c r="I9" s="10" t="s">
        <v>24</v>
      </c>
      <c r="J9" s="9">
        <v>44561</v>
      </c>
      <c r="K9" s="7">
        <v>4089753.94656929</v>
      </c>
      <c r="L9" s="7">
        <v>124402.02671506599</v>
      </c>
      <c r="M9" s="7">
        <v>-152453.914407968</v>
      </c>
      <c r="N9" s="6">
        <v>-0.46481392296712798</v>
      </c>
      <c r="O9" s="10" t="s">
        <v>23</v>
      </c>
      <c r="P9" s="10" t="s">
        <v>24</v>
      </c>
      <c r="Q9" s="10" t="s">
        <v>24</v>
      </c>
      <c r="R9" s="10" t="s">
        <v>24</v>
      </c>
      <c r="S9" s="7">
        <v>-168253.91337048699</v>
      </c>
    </row>
    <row r="10" spans="1:19" x14ac:dyDescent="0.3">
      <c r="A10" s="2" t="s">
        <v>26</v>
      </c>
      <c r="B10" s="5">
        <v>13769001</v>
      </c>
      <c r="C10" s="6">
        <v>7.3035249192870104</v>
      </c>
      <c r="D10" s="7">
        <v>1422255315</v>
      </c>
      <c r="E10" s="8">
        <v>10387.4771346909</v>
      </c>
      <c r="F10" s="7">
        <v>2556000</v>
      </c>
      <c r="G10" s="7">
        <v>18000</v>
      </c>
      <c r="H10" s="8">
        <v>12698.489623674999</v>
      </c>
      <c r="I10" s="6">
        <v>8.4689999999999994</v>
      </c>
      <c r="J10" s="9">
        <v>44561</v>
      </c>
      <c r="K10" s="7">
        <v>1139000</v>
      </c>
      <c r="L10" s="7">
        <v>357000</v>
      </c>
      <c r="M10" s="7">
        <v>199000</v>
      </c>
      <c r="N10" s="6">
        <v>-0.06</v>
      </c>
      <c r="O10" s="10" t="s">
        <v>23</v>
      </c>
      <c r="P10" s="10" t="s">
        <v>23</v>
      </c>
      <c r="Q10" s="10" t="s">
        <v>24</v>
      </c>
      <c r="R10" s="10" t="s">
        <v>24</v>
      </c>
      <c r="S10" s="7">
        <v>-48000</v>
      </c>
    </row>
    <row r="11" spans="1:19" x14ac:dyDescent="0.3">
      <c r="A11" s="2" t="s">
        <v>27</v>
      </c>
      <c r="B11" s="5">
        <v>4973241</v>
      </c>
      <c r="C11" s="6">
        <v>5.5394693909875699</v>
      </c>
      <c r="D11" s="7">
        <v>796725368</v>
      </c>
      <c r="E11" s="8">
        <v>4413.4357890593001</v>
      </c>
      <c r="F11" s="7">
        <v>1218088.1938215899</v>
      </c>
      <c r="G11" s="7">
        <v>97.244786350118801</v>
      </c>
      <c r="H11" s="8">
        <v>5450.3357653006897</v>
      </c>
      <c r="I11" s="6">
        <v>4.3053184260788102</v>
      </c>
      <c r="J11" s="9">
        <v>44561</v>
      </c>
      <c r="K11" s="7">
        <v>1594522.8395219999</v>
      </c>
      <c r="L11" s="7">
        <v>75601.101434961805</v>
      </c>
      <c r="M11" s="7">
        <v>32724.335953594898</v>
      </c>
      <c r="N11" s="6">
        <v>0.121237750671451</v>
      </c>
      <c r="O11" s="6">
        <v>46.308943089430898</v>
      </c>
      <c r="P11" s="10" t="s">
        <v>23</v>
      </c>
      <c r="Q11" s="10" t="s">
        <v>24</v>
      </c>
      <c r="R11" s="10" t="s">
        <v>24</v>
      </c>
      <c r="S11" s="7">
        <v>86837.771009389005</v>
      </c>
    </row>
    <row r="12" spans="1:19" x14ac:dyDescent="0.3">
      <c r="A12" s="2" t="s">
        <v>28</v>
      </c>
      <c r="B12" s="5">
        <v>25657272</v>
      </c>
      <c r="C12" s="6">
        <v>29.65</v>
      </c>
      <c r="D12" s="7">
        <v>100000000</v>
      </c>
      <c r="E12" s="8">
        <v>2965</v>
      </c>
      <c r="F12" s="7">
        <v>284000</v>
      </c>
      <c r="G12" s="7">
        <v>5000</v>
      </c>
      <c r="H12" s="8">
        <v>3016</v>
      </c>
      <c r="I12" s="6">
        <v>1.974</v>
      </c>
      <c r="J12" s="9">
        <v>44561</v>
      </c>
      <c r="K12" s="7">
        <v>1811000</v>
      </c>
      <c r="L12" s="7">
        <v>189000</v>
      </c>
      <c r="M12" s="7">
        <v>104000</v>
      </c>
      <c r="N12" s="6">
        <v>0.8</v>
      </c>
      <c r="O12" s="6">
        <v>37.0625</v>
      </c>
      <c r="P12" s="10" t="s">
        <v>23</v>
      </c>
      <c r="Q12" s="10" t="s">
        <v>24</v>
      </c>
      <c r="R12" s="10" t="s">
        <v>24</v>
      </c>
      <c r="S12" s="7">
        <v>80000</v>
      </c>
    </row>
    <row r="13" spans="1:19" x14ac:dyDescent="0.3">
      <c r="A13" s="2" t="s">
        <v>29</v>
      </c>
      <c r="B13" s="5">
        <v>4155378</v>
      </c>
      <c r="C13" s="6">
        <v>45.5</v>
      </c>
      <c r="D13" s="7">
        <v>44420654</v>
      </c>
      <c r="E13" s="8">
        <v>2021.1397569999999</v>
      </c>
      <c r="F13" s="7">
        <v>616254</v>
      </c>
      <c r="G13" s="7">
        <v>8963</v>
      </c>
      <c r="H13" s="8">
        <v>2348.041714</v>
      </c>
      <c r="I13" s="6">
        <v>30.018999999999998</v>
      </c>
      <c r="J13" s="9">
        <v>44561</v>
      </c>
      <c r="K13" s="7">
        <v>2146725</v>
      </c>
      <c r="L13" s="7">
        <v>292565</v>
      </c>
      <c r="M13" s="7">
        <v>270413</v>
      </c>
      <c r="N13" s="6">
        <v>4.04</v>
      </c>
      <c r="O13" s="6">
        <v>11.262376237623799</v>
      </c>
      <c r="P13" s="10" t="s">
        <v>23</v>
      </c>
      <c r="Q13" s="10" t="s">
        <v>24</v>
      </c>
      <c r="R13" s="10" t="s">
        <v>24</v>
      </c>
      <c r="S13" s="7">
        <v>187127</v>
      </c>
    </row>
    <row r="14" spans="1:19" x14ac:dyDescent="0.3">
      <c r="A14" s="2" t="s">
        <v>30</v>
      </c>
      <c r="B14" s="5">
        <v>4209112</v>
      </c>
      <c r="C14" s="6">
        <v>1.06665982525069</v>
      </c>
      <c r="D14" s="7">
        <v>996965004</v>
      </c>
      <c r="E14" s="8">
        <v>1063.4225169476899</v>
      </c>
      <c r="F14" s="7">
        <v>1426109.4623308701</v>
      </c>
      <c r="G14" s="7">
        <v>108377.286789163</v>
      </c>
      <c r="H14" s="8">
        <v>2448.6382737060298</v>
      </c>
      <c r="I14" s="6">
        <v>1.76801141085672</v>
      </c>
      <c r="J14" s="9">
        <v>44469</v>
      </c>
      <c r="K14" s="7">
        <v>1945325.52115661</v>
      </c>
      <c r="L14" s="7">
        <v>540456.31865542103</v>
      </c>
      <c r="M14" s="7">
        <v>254035.366401573</v>
      </c>
      <c r="N14" s="6">
        <v>0.15206427065248801</v>
      </c>
      <c r="O14" s="10" t="s">
        <v>24</v>
      </c>
      <c r="P14" s="6">
        <v>417.90097333897597</v>
      </c>
      <c r="Q14" s="10" t="s">
        <v>24</v>
      </c>
      <c r="R14" s="10" t="s">
        <v>24</v>
      </c>
      <c r="S14" s="7">
        <v>167766.11857412799</v>
      </c>
    </row>
    <row r="15" spans="1:19" x14ac:dyDescent="0.3">
      <c r="A15" s="2" t="s">
        <v>31</v>
      </c>
      <c r="B15" s="5">
        <v>4317480</v>
      </c>
      <c r="C15" s="6">
        <v>2.7629999999999999</v>
      </c>
      <c r="D15" s="7">
        <v>226130707</v>
      </c>
      <c r="E15" s="8">
        <v>624.79914344099996</v>
      </c>
      <c r="F15" s="7">
        <v>859332.95309168403</v>
      </c>
      <c r="G15" s="7">
        <v>4054.3416844349699</v>
      </c>
      <c r="H15" s="8">
        <v>1194.4483583665101</v>
      </c>
      <c r="I15" s="6">
        <v>8.8047880570362498</v>
      </c>
      <c r="J15" s="9">
        <v>44561</v>
      </c>
      <c r="K15" s="7">
        <v>1447502.66658002</v>
      </c>
      <c r="L15" s="7">
        <v>212174.69537022201</v>
      </c>
      <c r="M15" s="7">
        <v>127180.805602369</v>
      </c>
      <c r="N15" s="6">
        <v>-0.78755416340282702</v>
      </c>
      <c r="O15" s="10" t="s">
        <v>23</v>
      </c>
      <c r="P15" s="6">
        <v>426.51767533434901</v>
      </c>
      <c r="Q15" s="10" t="s">
        <v>24</v>
      </c>
      <c r="R15" s="10" t="s">
        <v>24</v>
      </c>
      <c r="S15" s="7">
        <v>-180241.70328100299</v>
      </c>
    </row>
    <row r="16" spans="1:19" x14ac:dyDescent="0.3">
      <c r="A16" s="2" t="s">
        <v>32</v>
      </c>
      <c r="B16" s="5">
        <v>5994549</v>
      </c>
      <c r="C16" s="6">
        <v>7.0206940156384201</v>
      </c>
      <c r="D16" s="7">
        <v>4266169212</v>
      </c>
      <c r="E16" s="8">
        <v>29951.468656389301</v>
      </c>
      <c r="F16" s="7">
        <v>1883656.5690426</v>
      </c>
      <c r="G16" s="7">
        <v>912.85198186569301</v>
      </c>
      <c r="H16" s="8">
        <v>25405.100111780299</v>
      </c>
      <c r="I16" s="6">
        <v>1.47661939993074</v>
      </c>
      <c r="J16" s="9">
        <v>44561</v>
      </c>
      <c r="K16" s="7">
        <v>10634941.747314001</v>
      </c>
      <c r="L16" s="7">
        <v>-3058633.10009408</v>
      </c>
      <c r="M16" s="7">
        <v>-3600156.1175234001</v>
      </c>
      <c r="N16" s="6">
        <v>-2.67180218248747</v>
      </c>
      <c r="O16" s="10" t="s">
        <v>23</v>
      </c>
      <c r="P16" s="6">
        <v>471.01666984832201</v>
      </c>
      <c r="Q16" s="10" t="s">
        <v>24</v>
      </c>
      <c r="R16" s="10" t="s">
        <v>24</v>
      </c>
      <c r="S16" s="7">
        <v>-10240872.3050611</v>
      </c>
    </row>
    <row r="17" spans="1:19" x14ac:dyDescent="0.3">
      <c r="A17" s="2" t="s">
        <v>33</v>
      </c>
      <c r="B17" s="5">
        <v>4329415</v>
      </c>
      <c r="C17" s="6">
        <v>3.7377571519785699</v>
      </c>
      <c r="D17" s="7">
        <v>7535974027</v>
      </c>
      <c r="E17" s="8">
        <v>28167.640816544001</v>
      </c>
      <c r="F17" s="7">
        <v>12786934.8963852</v>
      </c>
      <c r="G17" s="7">
        <v>2292810.3762441599</v>
      </c>
      <c r="H17" s="8">
        <v>29869.1450368732</v>
      </c>
      <c r="I17" s="6">
        <v>2.7433964494780199</v>
      </c>
      <c r="J17" s="9">
        <v>44561</v>
      </c>
      <c r="K17" s="7">
        <v>11493522.5868003</v>
      </c>
      <c r="L17" s="7">
        <v>2455957.1303203302</v>
      </c>
      <c r="M17" s="7">
        <v>1469535.0498454301</v>
      </c>
      <c r="N17" s="6">
        <v>7.5308038799374893E-2</v>
      </c>
      <c r="O17" s="6">
        <v>53.308785926153199</v>
      </c>
      <c r="P17" s="10" t="s">
        <v>23</v>
      </c>
      <c r="Q17" s="10" t="s">
        <v>24</v>
      </c>
      <c r="R17" s="10" t="s">
        <v>24</v>
      </c>
      <c r="S17" s="7">
        <v>671918.39506861696</v>
      </c>
    </row>
    <row r="18" spans="1:19" x14ac:dyDescent="0.3">
      <c r="A18" s="2" t="s">
        <v>34</v>
      </c>
      <c r="B18" s="5">
        <v>5252256</v>
      </c>
      <c r="C18" s="6">
        <v>103.72302000000001</v>
      </c>
      <c r="D18" s="7">
        <v>192659129</v>
      </c>
      <c r="E18" s="8">
        <v>19983.186690449598</v>
      </c>
      <c r="F18" s="7">
        <v>1825000</v>
      </c>
      <c r="G18" s="10" t="s">
        <v>24</v>
      </c>
      <c r="H18" s="8">
        <v>18375.186690449598</v>
      </c>
      <c r="I18" s="6">
        <v>11.028</v>
      </c>
      <c r="J18" s="9">
        <v>44561</v>
      </c>
      <c r="K18" s="7">
        <v>9668000</v>
      </c>
      <c r="L18" s="7">
        <v>155000</v>
      </c>
      <c r="M18" s="7">
        <v>96000</v>
      </c>
      <c r="N18" s="6">
        <v>-1.026</v>
      </c>
      <c r="O18" s="10" t="s">
        <v>23</v>
      </c>
      <c r="P18" s="10" t="s">
        <v>23</v>
      </c>
      <c r="Q18" s="6">
        <v>18.3610796832067</v>
      </c>
      <c r="R18" s="10" t="s">
        <v>24</v>
      </c>
      <c r="S18" s="7">
        <v>-34000</v>
      </c>
    </row>
    <row r="20" spans="1:19" x14ac:dyDescent="0.3">
      <c r="A20" s="11" t="s">
        <v>35</v>
      </c>
      <c r="B20" s="2" t="s">
        <v>19</v>
      </c>
      <c r="C20" s="6">
        <v>1.07</v>
      </c>
      <c r="D20" s="7">
        <v>44420654</v>
      </c>
      <c r="E20" s="8">
        <v>624.79999999999995</v>
      </c>
      <c r="F20" s="7">
        <v>284000</v>
      </c>
      <c r="G20" s="7">
        <v>97</v>
      </c>
      <c r="H20" s="8">
        <v>1194.4000000000001</v>
      </c>
      <c r="I20" s="6">
        <v>1.48</v>
      </c>
      <c r="J20" s="2" t="s">
        <v>19</v>
      </c>
      <c r="K20" s="7">
        <v>1139000</v>
      </c>
      <c r="L20" s="7">
        <v>-3058633</v>
      </c>
      <c r="M20" s="7">
        <v>-3600156</v>
      </c>
      <c r="N20" s="6">
        <v>-2.67</v>
      </c>
      <c r="O20" s="6">
        <v>11.26</v>
      </c>
      <c r="P20" s="6">
        <v>417.9</v>
      </c>
      <c r="Q20" s="10" t="s">
        <v>24</v>
      </c>
      <c r="R20" s="10" t="s">
        <v>24</v>
      </c>
      <c r="S20" s="7">
        <v>-10240872</v>
      </c>
    </row>
    <row r="21" spans="1:19" x14ac:dyDescent="0.3">
      <c r="A21" s="11" t="s">
        <v>36</v>
      </c>
      <c r="B21" s="2" t="s">
        <v>19</v>
      </c>
      <c r="C21" s="6">
        <v>7.16</v>
      </c>
      <c r="D21" s="7">
        <v>577714361</v>
      </c>
      <c r="E21" s="8">
        <v>5103.6000000000004</v>
      </c>
      <c r="F21" s="7">
        <v>1450259</v>
      </c>
      <c r="G21" s="7">
        <v>13482</v>
      </c>
      <c r="H21" s="8">
        <v>6044.1</v>
      </c>
      <c r="I21" s="6">
        <v>4.3099999999999996</v>
      </c>
      <c r="J21" s="2" t="s">
        <v>19</v>
      </c>
      <c r="K21" s="7">
        <v>2046025</v>
      </c>
      <c r="L21" s="7">
        <v>252370</v>
      </c>
      <c r="M21" s="7">
        <v>163090</v>
      </c>
      <c r="N21" s="6">
        <v>0.1</v>
      </c>
      <c r="O21" s="6">
        <v>37.06</v>
      </c>
      <c r="P21" s="6">
        <v>426.52</v>
      </c>
      <c r="Q21" s="10" t="s">
        <v>24</v>
      </c>
      <c r="R21" s="10" t="s">
        <v>24</v>
      </c>
      <c r="S21" s="7">
        <v>83419</v>
      </c>
    </row>
    <row r="22" spans="1:19" x14ac:dyDescent="0.3">
      <c r="A22" s="11" t="s">
        <v>37</v>
      </c>
      <c r="B22" s="2" t="s">
        <v>19</v>
      </c>
      <c r="C22" s="6">
        <v>15.11</v>
      </c>
      <c r="D22" s="7">
        <v>1593405953</v>
      </c>
      <c r="E22" s="8">
        <v>9164.5</v>
      </c>
      <c r="F22" s="7">
        <v>2545088</v>
      </c>
      <c r="G22" s="7">
        <v>306679</v>
      </c>
      <c r="H22" s="8">
        <v>9754.2999999999993</v>
      </c>
      <c r="I22" s="6">
        <v>9.2799999999999994</v>
      </c>
      <c r="J22" s="2" t="s">
        <v>19</v>
      </c>
      <c r="K22" s="7">
        <v>4194847</v>
      </c>
      <c r="L22" s="7">
        <v>230158</v>
      </c>
      <c r="M22" s="7">
        <v>-50192</v>
      </c>
      <c r="N22" s="6">
        <v>0.34</v>
      </c>
      <c r="O22" s="6">
        <v>32.380000000000003</v>
      </c>
      <c r="P22" s="6">
        <v>438.48</v>
      </c>
      <c r="Q22" s="10" t="s">
        <v>24</v>
      </c>
      <c r="R22" s="10" t="s">
        <v>24</v>
      </c>
      <c r="S22" s="7">
        <v>-892057</v>
      </c>
    </row>
    <row r="23" spans="1:19" x14ac:dyDescent="0.3">
      <c r="A23" s="11" t="s">
        <v>38</v>
      </c>
      <c r="B23" s="2" t="s">
        <v>19</v>
      </c>
      <c r="C23" s="6">
        <v>45.5</v>
      </c>
      <c r="D23" s="7">
        <v>7535974027</v>
      </c>
      <c r="E23" s="8">
        <v>29951.5</v>
      </c>
      <c r="F23" s="7">
        <v>12786935</v>
      </c>
      <c r="G23" s="7">
        <v>2292810</v>
      </c>
      <c r="H23" s="8">
        <v>29869.1</v>
      </c>
      <c r="I23" s="6">
        <v>30.02</v>
      </c>
      <c r="J23" s="2" t="s">
        <v>19</v>
      </c>
      <c r="K23" s="7">
        <v>11493523</v>
      </c>
      <c r="L23" s="7">
        <v>2455957</v>
      </c>
      <c r="M23" s="7">
        <v>1469535</v>
      </c>
      <c r="N23" s="6">
        <v>4.04</v>
      </c>
      <c r="O23" s="6">
        <v>53.31</v>
      </c>
      <c r="P23" s="6">
        <v>471.02</v>
      </c>
      <c r="Q23" s="10" t="s">
        <v>24</v>
      </c>
      <c r="R23" s="10" t="s">
        <v>24</v>
      </c>
      <c r="S23" s="7">
        <v>671918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23"/>
  <sheetViews>
    <sheetView workbookViewId="0"/>
  </sheetViews>
  <sheetFormatPr baseColWidth="10" defaultColWidth="8.88671875" defaultRowHeight="14.4" x14ac:dyDescent="0.3"/>
  <cols>
    <col min="1" max="1" width="48.5546875" customWidth="1"/>
    <col min="2" max="2" width="16.5546875" customWidth="1"/>
    <col min="3" max="7" width="16.109375" customWidth="1"/>
    <col min="8" max="8" width="18" customWidth="1"/>
    <col min="9" max="10" width="16.109375" customWidth="1"/>
    <col min="11" max="11" width="21.109375" customWidth="1"/>
    <col min="12" max="12" width="22" customWidth="1"/>
    <col min="13" max="13" width="23.33203125" customWidth="1"/>
  </cols>
  <sheetData>
    <row r="3" spans="1:13" x14ac:dyDescent="0.3">
      <c r="A3" s="2" t="e">
        <f ca="1">SPGTable($B$8:$B$18,$C$5:$M$5,$C$6:$M$6,"Options:Curr=EUR,Mag=Standard,ConvMethod=Recommended,FilingVer=Current/Restated")</f>
        <v>#NAME?</v>
      </c>
    </row>
    <row r="4" spans="1:13" x14ac:dyDescent="0.3">
      <c r="A4" s="3" t="e">
        <f ca="1">SPGLabel(266637,267969,"","Options:Curr=EUR,Mag=Standard,ConvMethod=Recommended,FilingVer=Current/Restated")</f>
        <v>#NAME?</v>
      </c>
      <c r="B4" s="3" t="e">
        <f ca="1">SPGLabel(266637,267961,"","Options:Curr=EUR,Mag=Standard,ConvMethod=Recommended,FilingVer=Current/Restated")</f>
        <v>#NAME?</v>
      </c>
      <c r="C4" s="4" t="e">
        <f ca="1">SPGLabel(266637,274477,"LTM","Current/Restated","Options:Curr=EUR,Mag=Standard,ConvMethod=Recommended,FilingVer=Current/Restated")</f>
        <v>#NAME?</v>
      </c>
      <c r="D4" s="4" t="e">
        <f ca="1">SPGLabel(266637,274480,"LTM","Current/Restated","Options:Curr=EUR,Mag=Standard,ConvMethod=Recommended,FilingVer=Current/Restated")</f>
        <v>#NAME?</v>
      </c>
      <c r="E4" s="4" t="e">
        <f ca="1">SPGLabel(266637,274481,"LTM","Current/Restated","Options:Curr=EUR,Mag=Standard,ConvMethod=Recommended,FilingVer=Current/Restated")</f>
        <v>#NAME?</v>
      </c>
      <c r="F4" s="4" t="e">
        <f ca="1">SPGLabel(266637,274478,"LTM","Current/Restated","Options:Curr=EUR,Mag=Standard,ConvMethod=Recommended,FilingVer=Current/Restated")</f>
        <v>#NAME?</v>
      </c>
      <c r="G4" s="4" t="e">
        <f ca="1">SPGLabel(266637,274469,"LTM","Current/Restated","Options:Curr=EUR,Mag=Standard,ConvMethod=Recommended,FilingVer=Current/Restated")</f>
        <v>#NAME?</v>
      </c>
      <c r="H4" s="4" t="e">
        <f ca="1">SPGLabel(266637,306316,"LTM","Current/Restated","Options:Curr=EUR,Mag=Standard,ConvMethod=Recommended,FilingVer=Current/Restated")</f>
        <v>#NAME?</v>
      </c>
      <c r="I4" s="4" t="e">
        <f ca="1">SPGLabel(266637,274467,"LTM","Current/Restated","Options:Curr=EUR,Mag=Standard,ConvMethod=Recommended,FilingVer=Current/Restated")</f>
        <v>#NAME?</v>
      </c>
      <c r="J4" s="4" t="e">
        <f ca="1">SPGLabel(266637,274468,"LTM","Current/Restated","Options:Curr=EUR,Mag=Standard,ConvMethod=Recommended,FilingVer=Current/Restated")</f>
        <v>#NAME?</v>
      </c>
      <c r="K4" s="4" t="e">
        <f ca="1">SPGLabel(266637,298537,"LTM","Current/Restated","Options:Curr=EUR,Mag=Standard,ConvMethod=Recommended,FilingVer=Current/Restated")</f>
        <v>#NAME?</v>
      </c>
      <c r="L4" s="4" t="e">
        <f ca="1">SPGLabel(266637,298535,"LTM","Current/Restated","Options:Curr=EUR,Mag=Standard,ConvMethod=Recommended,FilingVer=Current/Restated")</f>
        <v>#NAME?</v>
      </c>
      <c r="M4" s="4" t="e">
        <f ca="1">SPGLabel(266637,298534,"LTM","Current/Restated","Options:Curr=EUR,Mag=Standard,ConvMethod=Recommended,FilingVer=Current/Restated")</f>
        <v>#NAME?</v>
      </c>
    </row>
    <row r="5" spans="1:13" ht="28.8" x14ac:dyDescent="0.3">
      <c r="A5" s="3" t="s">
        <v>0</v>
      </c>
      <c r="B5" s="3" t="s">
        <v>1</v>
      </c>
      <c r="C5" s="4" t="s">
        <v>39</v>
      </c>
      <c r="D5" s="4" t="s">
        <v>40</v>
      </c>
      <c r="E5" s="4" t="s">
        <v>41</v>
      </c>
      <c r="F5" s="4" t="s">
        <v>42</v>
      </c>
      <c r="G5" s="4" t="s">
        <v>43</v>
      </c>
      <c r="H5" s="4" t="s">
        <v>44</v>
      </c>
      <c r="I5" s="4" t="s">
        <v>45</v>
      </c>
      <c r="J5" s="4" t="s">
        <v>46</v>
      </c>
      <c r="K5" s="4" t="s">
        <v>47</v>
      </c>
      <c r="L5" s="4" t="s">
        <v>48</v>
      </c>
      <c r="M5" s="4" t="s">
        <v>49</v>
      </c>
    </row>
    <row r="6" spans="1:13" x14ac:dyDescent="0.3">
      <c r="A6" s="3" t="s">
        <v>19</v>
      </c>
      <c r="B6" s="3" t="s">
        <v>19</v>
      </c>
      <c r="C6" s="4" t="s">
        <v>20</v>
      </c>
      <c r="D6" s="4" t="s">
        <v>20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</row>
    <row r="7" spans="1:13" x14ac:dyDescent="0.3">
      <c r="A7" s="3" t="s">
        <v>19</v>
      </c>
      <c r="B7" s="3" t="s">
        <v>19</v>
      </c>
      <c r="C7" s="4" t="s">
        <v>21</v>
      </c>
      <c r="D7" s="4" t="s">
        <v>21</v>
      </c>
      <c r="E7" s="4" t="s">
        <v>21</v>
      </c>
      <c r="F7" s="4" t="s">
        <v>21</v>
      </c>
      <c r="G7" s="4" t="s">
        <v>21</v>
      </c>
      <c r="H7" s="4" t="s">
        <v>21</v>
      </c>
      <c r="I7" s="4" t="s">
        <v>21</v>
      </c>
      <c r="J7" s="4" t="s">
        <v>21</v>
      </c>
      <c r="K7" s="4" t="s">
        <v>21</v>
      </c>
      <c r="L7" s="4" t="s">
        <v>21</v>
      </c>
      <c r="M7" s="4" t="s">
        <v>21</v>
      </c>
    </row>
    <row r="8" spans="1:13" x14ac:dyDescent="0.3">
      <c r="A8" s="2" t="s">
        <v>22</v>
      </c>
      <c r="B8" s="5">
        <v>4277673</v>
      </c>
      <c r="C8" s="6">
        <v>34.037999999999997</v>
      </c>
      <c r="D8" s="6">
        <v>19.713000000000001</v>
      </c>
      <c r="E8" s="6">
        <v>14.058999999999999</v>
      </c>
      <c r="F8" s="6">
        <v>7.3760000000000003</v>
      </c>
      <c r="G8" s="6">
        <v>5.1970000000000001</v>
      </c>
      <c r="H8" s="6">
        <v>6.7720000000000002</v>
      </c>
      <c r="I8" s="6">
        <v>32.274000000000001</v>
      </c>
      <c r="J8" s="6">
        <v>1.93</v>
      </c>
      <c r="K8" s="10" t="s">
        <v>24</v>
      </c>
      <c r="L8" s="10" t="s">
        <v>24</v>
      </c>
      <c r="M8" s="10" t="s">
        <v>24</v>
      </c>
    </row>
    <row r="9" spans="1:13" x14ac:dyDescent="0.3">
      <c r="A9" s="2" t="s">
        <v>25</v>
      </c>
      <c r="B9" s="5">
        <v>4884349</v>
      </c>
      <c r="C9" s="6">
        <v>51.161000000000001</v>
      </c>
      <c r="D9" s="6">
        <v>3.0419999999999998</v>
      </c>
      <c r="E9" s="6">
        <v>-3.7280000000000002</v>
      </c>
      <c r="F9" s="6">
        <v>-4.1189999999999998</v>
      </c>
      <c r="G9" s="6">
        <v>63.124000000000002</v>
      </c>
      <c r="H9" s="6">
        <v>-66.180999999999997</v>
      </c>
      <c r="I9" s="6">
        <v>31.555</v>
      </c>
      <c r="J9" s="6">
        <v>8.9930000000000003</v>
      </c>
      <c r="K9" s="10" t="s">
        <v>24</v>
      </c>
      <c r="L9" s="10" t="s">
        <v>24</v>
      </c>
      <c r="M9" s="10" t="s">
        <v>24</v>
      </c>
    </row>
    <row r="10" spans="1:13" x14ac:dyDescent="0.3">
      <c r="A10" s="2" t="s">
        <v>26</v>
      </c>
      <c r="B10" s="5">
        <v>13769001</v>
      </c>
      <c r="C10" s="6">
        <v>67.691000000000003</v>
      </c>
      <c r="D10" s="6">
        <v>31.343</v>
      </c>
      <c r="E10" s="6">
        <v>17.471</v>
      </c>
      <c r="F10" s="6">
        <v>-4.7409999999999997</v>
      </c>
      <c r="G10" s="6">
        <v>69.117000000000004</v>
      </c>
      <c r="H10" s="6">
        <v>166.02099999999999</v>
      </c>
      <c r="I10" s="6">
        <v>19.75</v>
      </c>
      <c r="J10" s="6">
        <v>7.16</v>
      </c>
      <c r="K10" s="10" t="s">
        <v>24</v>
      </c>
      <c r="L10" s="10" t="s">
        <v>24</v>
      </c>
      <c r="M10" s="10" t="s">
        <v>24</v>
      </c>
    </row>
    <row r="11" spans="1:13" x14ac:dyDescent="0.3">
      <c r="A11" s="2" t="s">
        <v>27</v>
      </c>
      <c r="B11" s="5">
        <v>4973241</v>
      </c>
      <c r="C11" s="6">
        <v>24.917999999999999</v>
      </c>
      <c r="D11" s="6">
        <v>4.7409999999999997</v>
      </c>
      <c r="E11" s="6">
        <v>2.052</v>
      </c>
      <c r="F11" s="6">
        <v>5.4459999999999997</v>
      </c>
      <c r="G11" s="6">
        <v>99.896000000000001</v>
      </c>
      <c r="H11" s="6">
        <v>-28.428999999999998</v>
      </c>
      <c r="I11" s="6">
        <v>26.905999999999999</v>
      </c>
      <c r="J11" s="6">
        <v>15.164999999999999</v>
      </c>
      <c r="K11" s="10" t="s">
        <v>24</v>
      </c>
      <c r="L11" s="10" t="s">
        <v>24</v>
      </c>
      <c r="M11" s="10" t="s">
        <v>24</v>
      </c>
    </row>
    <row r="12" spans="1:13" x14ac:dyDescent="0.3">
      <c r="A12" s="2" t="s">
        <v>28</v>
      </c>
      <c r="B12" s="5">
        <v>25657272</v>
      </c>
      <c r="C12" s="6">
        <v>8.3930000000000007</v>
      </c>
      <c r="D12" s="6">
        <v>10.436</v>
      </c>
      <c r="E12" s="6">
        <v>5.7430000000000003</v>
      </c>
      <c r="F12" s="6">
        <v>4.4169999999999998</v>
      </c>
      <c r="G12" s="6">
        <v>31.613</v>
      </c>
      <c r="H12" s="6">
        <v>27.702999999999999</v>
      </c>
      <c r="I12" s="6">
        <v>41.581000000000003</v>
      </c>
      <c r="J12" s="6">
        <v>1.5029999999999999</v>
      </c>
      <c r="K12" s="10" t="s">
        <v>24</v>
      </c>
      <c r="L12" s="10" t="s">
        <v>24</v>
      </c>
      <c r="M12" s="10" t="s">
        <v>24</v>
      </c>
    </row>
    <row r="13" spans="1:13" x14ac:dyDescent="0.3">
      <c r="A13" s="2" t="s">
        <v>29</v>
      </c>
      <c r="B13" s="5">
        <v>4155378</v>
      </c>
      <c r="C13" s="6">
        <v>64.718999999999994</v>
      </c>
      <c r="D13" s="6">
        <v>13.628</v>
      </c>
      <c r="E13" s="6">
        <v>12.597</v>
      </c>
      <c r="F13" s="6">
        <v>8.5679999999999996</v>
      </c>
      <c r="G13" s="6">
        <v>16.832999999999998</v>
      </c>
      <c r="H13" s="6">
        <v>48.014000000000003</v>
      </c>
      <c r="I13" s="6">
        <v>31.463000000000001</v>
      </c>
      <c r="J13" s="6">
        <v>1.8640000000000001</v>
      </c>
      <c r="K13" s="10" t="s">
        <v>24</v>
      </c>
      <c r="L13" s="10" t="s">
        <v>24</v>
      </c>
      <c r="M13" s="10" t="s">
        <v>24</v>
      </c>
    </row>
    <row r="14" spans="1:13" x14ac:dyDescent="0.3">
      <c r="A14" s="2" t="s">
        <v>30</v>
      </c>
      <c r="B14" s="5">
        <v>4209112</v>
      </c>
      <c r="C14" s="10" t="s">
        <v>24</v>
      </c>
      <c r="D14" s="10" t="s">
        <v>24</v>
      </c>
      <c r="E14" s="10" t="s">
        <v>24</v>
      </c>
      <c r="F14" s="10" t="s">
        <v>24</v>
      </c>
      <c r="G14" s="10" t="s">
        <v>24</v>
      </c>
      <c r="H14" s="10" t="s">
        <v>24</v>
      </c>
      <c r="I14" s="10" t="s">
        <v>24</v>
      </c>
      <c r="J14" s="10" t="s">
        <v>24</v>
      </c>
      <c r="K14" s="10" t="s">
        <v>24</v>
      </c>
      <c r="L14" s="10" t="s">
        <v>24</v>
      </c>
      <c r="M14" s="10" t="s">
        <v>24</v>
      </c>
    </row>
    <row r="15" spans="1:13" x14ac:dyDescent="0.3">
      <c r="A15" s="2" t="s">
        <v>31</v>
      </c>
      <c r="B15" s="5">
        <v>4317480</v>
      </c>
      <c r="C15" s="6">
        <v>44.95</v>
      </c>
      <c r="D15" s="6">
        <v>14.657999999999999</v>
      </c>
      <c r="E15" s="6">
        <v>8.7859999999999996</v>
      </c>
      <c r="F15" s="6">
        <v>-12.29</v>
      </c>
      <c r="G15" s="6">
        <v>25.381</v>
      </c>
      <c r="H15" s="6">
        <v>74.799000000000007</v>
      </c>
      <c r="I15" s="6">
        <v>30.105</v>
      </c>
      <c r="J15" s="6">
        <v>3.1349999999999998</v>
      </c>
      <c r="K15" s="10" t="s">
        <v>24</v>
      </c>
      <c r="L15" s="10" t="s">
        <v>24</v>
      </c>
      <c r="M15" s="10" t="s">
        <v>24</v>
      </c>
    </row>
    <row r="16" spans="1:13" x14ac:dyDescent="0.3">
      <c r="A16" s="2" t="s">
        <v>32</v>
      </c>
      <c r="B16" s="5">
        <v>5994549</v>
      </c>
      <c r="C16" s="6">
        <v>41.97</v>
      </c>
      <c r="D16" s="6">
        <v>-28.76</v>
      </c>
      <c r="E16" s="6">
        <v>-33.851999999999997</v>
      </c>
      <c r="F16" s="6">
        <v>-96.29</v>
      </c>
      <c r="G16" s="6">
        <v>37.950000000000003</v>
      </c>
      <c r="H16" s="6">
        <v>229.31100000000001</v>
      </c>
      <c r="I16" s="6">
        <v>23.181999999999999</v>
      </c>
      <c r="J16" s="10" t="s">
        <v>23</v>
      </c>
      <c r="K16" s="10" t="s">
        <v>24</v>
      </c>
      <c r="L16" s="10" t="s">
        <v>24</v>
      </c>
      <c r="M16" s="10" t="s">
        <v>24</v>
      </c>
    </row>
    <row r="17" spans="1:13" x14ac:dyDescent="0.3">
      <c r="A17" s="2" t="s">
        <v>33</v>
      </c>
      <c r="B17" s="5">
        <v>4329415</v>
      </c>
      <c r="C17" s="6">
        <v>67.841999999999999</v>
      </c>
      <c r="D17" s="6">
        <v>21.367999999999999</v>
      </c>
      <c r="E17" s="6">
        <v>12.786</v>
      </c>
      <c r="F17" s="6">
        <v>4.6980000000000004</v>
      </c>
      <c r="G17" s="6">
        <v>27.847999999999999</v>
      </c>
      <c r="H17" s="6">
        <v>13.750999999999999</v>
      </c>
      <c r="I17" s="6">
        <v>35.598999999999997</v>
      </c>
      <c r="J17" s="6">
        <v>5.2510000000000003</v>
      </c>
      <c r="K17" s="10" t="s">
        <v>24</v>
      </c>
      <c r="L17" s="10" t="s">
        <v>24</v>
      </c>
      <c r="M17" s="10" t="s">
        <v>24</v>
      </c>
    </row>
    <row r="18" spans="1:13" x14ac:dyDescent="0.3">
      <c r="A18" s="2" t="s">
        <v>34</v>
      </c>
      <c r="B18" s="5">
        <v>5252256</v>
      </c>
      <c r="C18" s="6">
        <v>26.8</v>
      </c>
      <c r="D18" s="6">
        <v>1.603</v>
      </c>
      <c r="E18" s="6">
        <v>0.99299999999999999</v>
      </c>
      <c r="F18" s="6">
        <v>-0.35199999999999998</v>
      </c>
      <c r="G18" s="6">
        <v>22.69</v>
      </c>
      <c r="H18" s="10" t="s">
        <v>23</v>
      </c>
      <c r="I18" s="6">
        <v>46.273000000000003</v>
      </c>
      <c r="J18" s="6">
        <v>8.7739999999999991</v>
      </c>
      <c r="K18" s="8">
        <v>3.5750497577828702</v>
      </c>
      <c r="L18" s="6">
        <v>-1.29252993727428</v>
      </c>
      <c r="M18" s="6">
        <v>-0.46487779866689399</v>
      </c>
    </row>
    <row r="20" spans="1:13" x14ac:dyDescent="0.3">
      <c r="A20" s="11" t="s">
        <v>35</v>
      </c>
      <c r="B20" s="2" t="s">
        <v>19</v>
      </c>
      <c r="C20" s="6">
        <v>8.39</v>
      </c>
      <c r="D20" s="6">
        <v>-28.76</v>
      </c>
      <c r="E20" s="6">
        <v>-33.85</v>
      </c>
      <c r="F20" s="6">
        <v>-96.29</v>
      </c>
      <c r="G20" s="6">
        <v>5.2</v>
      </c>
      <c r="H20" s="6">
        <v>-66.180000000000007</v>
      </c>
      <c r="I20" s="6">
        <v>19.75</v>
      </c>
      <c r="J20" s="6">
        <v>1.5</v>
      </c>
      <c r="K20" s="10" t="s">
        <v>24</v>
      </c>
      <c r="L20" s="10" t="s">
        <v>24</v>
      </c>
      <c r="M20" s="10" t="s">
        <v>24</v>
      </c>
    </row>
    <row r="21" spans="1:13" x14ac:dyDescent="0.3">
      <c r="A21" s="11" t="s">
        <v>36</v>
      </c>
      <c r="B21" s="2" t="s">
        <v>19</v>
      </c>
      <c r="C21" s="6">
        <v>44.95</v>
      </c>
      <c r="D21" s="6">
        <v>13.63</v>
      </c>
      <c r="E21" s="6">
        <v>8.7899999999999991</v>
      </c>
      <c r="F21" s="6">
        <v>4.42</v>
      </c>
      <c r="G21" s="6">
        <v>31.61</v>
      </c>
      <c r="H21" s="6">
        <v>27.7</v>
      </c>
      <c r="I21" s="6">
        <v>31.46</v>
      </c>
      <c r="J21" s="6">
        <v>4.1900000000000004</v>
      </c>
      <c r="K21" s="10" t="s">
        <v>24</v>
      </c>
      <c r="L21" s="10" t="s">
        <v>24</v>
      </c>
      <c r="M21" s="10" t="s">
        <v>24</v>
      </c>
    </row>
    <row r="22" spans="1:13" x14ac:dyDescent="0.3">
      <c r="A22" s="11" t="s">
        <v>37</v>
      </c>
      <c r="B22" s="2" t="s">
        <v>19</v>
      </c>
      <c r="C22" s="6">
        <v>45.08</v>
      </c>
      <c r="D22" s="6">
        <v>10.02</v>
      </c>
      <c r="E22" s="6">
        <v>3.99</v>
      </c>
      <c r="F22" s="6">
        <v>-9.66</v>
      </c>
      <c r="G22" s="6">
        <v>41.88</v>
      </c>
      <c r="H22" s="6">
        <v>52.42</v>
      </c>
      <c r="I22" s="6">
        <v>30.27</v>
      </c>
      <c r="J22" s="6">
        <v>5.63</v>
      </c>
      <c r="K22" s="10" t="s">
        <v>24</v>
      </c>
      <c r="L22" s="10" t="s">
        <v>24</v>
      </c>
      <c r="M22" s="10" t="s">
        <v>24</v>
      </c>
    </row>
    <row r="23" spans="1:13" x14ac:dyDescent="0.3">
      <c r="A23" s="11" t="s">
        <v>38</v>
      </c>
      <c r="B23" s="2" t="s">
        <v>19</v>
      </c>
      <c r="C23" s="6">
        <v>67.84</v>
      </c>
      <c r="D23" s="6">
        <v>31.34</v>
      </c>
      <c r="E23" s="6">
        <v>17.47</v>
      </c>
      <c r="F23" s="6">
        <v>8.57</v>
      </c>
      <c r="G23" s="6">
        <v>99.9</v>
      </c>
      <c r="H23" s="6">
        <v>229.31</v>
      </c>
      <c r="I23" s="6">
        <v>41.58</v>
      </c>
      <c r="J23" s="6">
        <v>15.17</v>
      </c>
      <c r="K23" s="10" t="s">
        <v>24</v>
      </c>
      <c r="L23" s="10" t="s">
        <v>24</v>
      </c>
      <c r="M23" s="10" t="s">
        <v>24</v>
      </c>
    </row>
  </sheetData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23"/>
  <sheetViews>
    <sheetView workbookViewId="0"/>
  </sheetViews>
  <sheetFormatPr baseColWidth="10" defaultColWidth="8.88671875" defaultRowHeight="14.4" x14ac:dyDescent="0.3"/>
  <cols>
    <col min="1" max="1" width="48.5546875" customWidth="1"/>
    <col min="2" max="2" width="16.5546875" customWidth="1"/>
    <col min="3" max="3" width="21.109375" customWidth="1"/>
    <col min="4" max="4" width="22.44140625" customWidth="1"/>
    <col min="5" max="9" width="21.109375" customWidth="1"/>
    <col min="10" max="10" width="29.44140625" customWidth="1"/>
    <col min="11" max="13" width="21.109375" customWidth="1"/>
  </cols>
  <sheetData>
    <row r="3" spans="1:13" x14ac:dyDescent="0.3">
      <c r="A3" s="2" t="e">
        <f ca="1">SPGTable($B$8:$B$18,$C$5:$M$5,$C$6:$M$6,"Options:Curr=EUR,Mag=Standard,ConvMethod=Recommended,FilingVer=Current/Restated")</f>
        <v>#NAME?</v>
      </c>
    </row>
    <row r="4" spans="1:13" x14ac:dyDescent="0.3">
      <c r="A4" s="3" t="e">
        <f ca="1">SPGLabel(266637,267969,"","Options:Curr=EUR,Mag=Standard,ConvMethod=Recommended,FilingVer=Current/Restated")</f>
        <v>#NAME?</v>
      </c>
      <c r="B4" s="3" t="e">
        <f ca="1">SPGLabel(266637,267961,"","Options:Curr=EUR,Mag=Standard,ConvMethod=Recommended,FilingVer=Current/Restated")</f>
        <v>#NAME?</v>
      </c>
      <c r="C4" s="4" t="e">
        <f ca="1">SPGLabel(266637,329262,"","Options:Curr=EUR,Mag=Standard,ConvMethod=Recommended,FilingVer=Current/Restated")</f>
        <v>#NAME?</v>
      </c>
      <c r="D4" s="4" t="e">
        <f ca="1">SPGLabel(266637,328546,"","Options:Curr=EUR,Mag=Standard,ConvMethod=Recommended,FilingVer=Current/Restated")</f>
        <v>#NAME?</v>
      </c>
      <c r="E4" s="4" t="e">
        <f ca="1">SPGLabel(266637,328549,"","Options:Curr=EUR,Mag=Standard,ConvMethod=Recommended,FilingVer=Current/Restated")</f>
        <v>#NAME?</v>
      </c>
      <c r="F4" s="4" t="e">
        <f ca="1">SPGLabel(266637,329310,"","Options:Curr=EUR,Mag=Standard,ConvMethod=Recommended,FilingVer=Current/Restated")</f>
        <v>#NAME?</v>
      </c>
      <c r="G4" s="4" t="e">
        <f ca="1">SPGLabel(266637,328499,"","Options:Curr=EUR,Mag=Standard,ConvMethod=Recommended,FilingVer=Current/Restated")</f>
        <v>#NAME?</v>
      </c>
      <c r="H4" s="4" t="e">
        <f ca="1">SPGLabel(266637,290890,"NTM","Options:Curr=EUR,Mag=Standard,ConvMethod=Recommended,FilingVer=Current/Restated")</f>
        <v>#NAME?</v>
      </c>
      <c r="I4" s="4" t="e">
        <f ca="1">SPGLabel(266637,290896,"","Options:Curr=EUR,Mag=Standard,ConvMethod=Recommended,FilingVer=Current/Restated")</f>
        <v>#NAME?</v>
      </c>
      <c r="J4" s="4" t="e">
        <f ca="1">SPGLabel(266637,317678,"NTM","Options:Curr=EUR,Mag=Standard,ConvMethod=Recommended,FilingVer=Current/Restated")</f>
        <v>#NAME?</v>
      </c>
      <c r="K4" s="4" t="e">
        <f ca="1">SPGLabel(266637,317682,"NTM","Options:Curr=EUR,Mag=Standard,ConvMethod=Recommended,FilingVer=Current/Restated")</f>
        <v>#NAME?</v>
      </c>
      <c r="L4" s="4" t="e">
        <f ca="1">SPGLabel(266637,317683,"NTM","Options:Curr=EUR,Mag=Standard,ConvMethod=Recommended,FilingVer=Current/Restated")</f>
        <v>#NAME?</v>
      </c>
      <c r="M4" s="4" t="e">
        <f ca="1">SPGLabel(266637,317681,"FY0","Options:Curr=EUR,Mag=Standard,ConvMethod=Recommended,FilingVer=Current/Restated")</f>
        <v>#NAME?</v>
      </c>
    </row>
    <row r="5" spans="1:13" x14ac:dyDescent="0.3">
      <c r="A5" s="3" t="s">
        <v>0</v>
      </c>
      <c r="B5" s="3" t="s">
        <v>1</v>
      </c>
      <c r="C5" s="4" t="s">
        <v>50</v>
      </c>
      <c r="D5" s="4" t="s">
        <v>51</v>
      </c>
      <c r="E5" s="4" t="s">
        <v>52</v>
      </c>
      <c r="F5" s="4" t="s">
        <v>53</v>
      </c>
      <c r="G5" s="4" t="s">
        <v>54</v>
      </c>
      <c r="H5" s="4" t="s">
        <v>55</v>
      </c>
      <c r="I5" s="4" t="s">
        <v>56</v>
      </c>
      <c r="J5" s="4" t="s">
        <v>57</v>
      </c>
      <c r="K5" s="4" t="s">
        <v>58</v>
      </c>
      <c r="L5" s="4" t="s">
        <v>59</v>
      </c>
      <c r="M5" s="4" t="s">
        <v>60</v>
      </c>
    </row>
    <row r="6" spans="1:13" x14ac:dyDescent="0.3">
      <c r="A6" s="3" t="s">
        <v>19</v>
      </c>
      <c r="B6" s="3" t="s">
        <v>19</v>
      </c>
      <c r="C6" s="4" t="s">
        <v>19</v>
      </c>
      <c r="D6" s="4" t="s">
        <v>19</v>
      </c>
      <c r="E6" s="4" t="s">
        <v>19</v>
      </c>
      <c r="F6" s="4" t="s">
        <v>19</v>
      </c>
      <c r="G6" s="4" t="s">
        <v>19</v>
      </c>
      <c r="H6" s="4" t="e">
        <f ca="1">SPGLabel(266637,290890,"&lt;&gt;NTM","Options:Curr=EUR,Mag=Standard,ConvMethod=Recommended,FilingVer=Current/Restated")</f>
        <v>#NAME?</v>
      </c>
      <c r="I6" s="4" t="s">
        <v>19</v>
      </c>
      <c r="J6" s="4" t="e">
        <f ca="1">SPGLabel(266637,317678,"&lt;&gt;NTM","Options:Curr=EUR,Mag=Standard,ConvMethod=Recommended,FilingVer=Current/Restated")</f>
        <v>#NAME?</v>
      </c>
      <c r="K6" s="4" t="e">
        <f ca="1">SPGLabel(266637,317682,"&lt;&gt;NTM","Options:Curr=EUR,Mag=Standard,ConvMethod=Recommended,FilingVer=Current/Restated")</f>
        <v>#NAME?</v>
      </c>
      <c r="L6" s="4" t="e">
        <f ca="1">SPGLabel(266637,317683,"&lt;&gt;NTM","Options:Curr=EUR,Mag=Standard,ConvMethod=Recommended,FilingVer=Current/Restated")</f>
        <v>#NAME?</v>
      </c>
      <c r="M6" s="4" t="s">
        <v>61</v>
      </c>
    </row>
    <row r="7" spans="1:13" x14ac:dyDescent="0.3">
      <c r="A7" s="3" t="s">
        <v>19</v>
      </c>
      <c r="B7" s="3" t="s">
        <v>19</v>
      </c>
      <c r="C7" s="4" t="s">
        <v>19</v>
      </c>
      <c r="D7" s="4" t="s">
        <v>19</v>
      </c>
      <c r="E7" s="4" t="s">
        <v>19</v>
      </c>
      <c r="F7" s="4" t="s">
        <v>19</v>
      </c>
      <c r="G7" s="4" t="s">
        <v>19</v>
      </c>
      <c r="H7" s="4" t="s">
        <v>19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</row>
    <row r="8" spans="1:13" x14ac:dyDescent="0.3">
      <c r="A8" s="2" t="s">
        <v>22</v>
      </c>
      <c r="B8" s="5">
        <v>4277673</v>
      </c>
      <c r="C8" s="6">
        <v>7.1093414082917903</v>
      </c>
      <c r="D8" s="6">
        <v>1.50095703654526</v>
      </c>
      <c r="E8" s="6">
        <v>11.0042487767992</v>
      </c>
      <c r="F8" s="6">
        <v>13.9774774774775</v>
      </c>
      <c r="G8" s="10" t="s">
        <v>23</v>
      </c>
      <c r="H8" s="8">
        <v>13.2295321699758</v>
      </c>
      <c r="I8" s="8">
        <v>53.685121107266397</v>
      </c>
      <c r="J8" s="6">
        <v>1.4537335899434001</v>
      </c>
      <c r="K8" s="6">
        <v>6.5697074594889999</v>
      </c>
      <c r="L8" s="6">
        <v>10.461978903642001</v>
      </c>
      <c r="M8" s="8">
        <v>1.2152188928475001</v>
      </c>
    </row>
    <row r="9" spans="1:13" x14ac:dyDescent="0.3">
      <c r="A9" s="2" t="s">
        <v>25</v>
      </c>
      <c r="B9" s="5">
        <v>4884349</v>
      </c>
      <c r="C9" s="6">
        <v>28.5877659756597</v>
      </c>
      <c r="D9" s="6">
        <v>1.63401776038049</v>
      </c>
      <c r="E9" s="10" t="s">
        <v>23</v>
      </c>
      <c r="F9" s="10" t="s">
        <v>23</v>
      </c>
      <c r="G9" s="10" t="s">
        <v>24</v>
      </c>
      <c r="H9" s="8">
        <v>17.7676435278436</v>
      </c>
      <c r="I9" s="10" t="s">
        <v>24</v>
      </c>
      <c r="J9" s="6">
        <v>1.227449476219</v>
      </c>
      <c r="K9" s="6">
        <v>11.0178030841058</v>
      </c>
      <c r="L9" s="10" t="s">
        <v>24</v>
      </c>
      <c r="M9" s="8">
        <v>3.9289721595148999</v>
      </c>
    </row>
    <row r="10" spans="1:13" x14ac:dyDescent="0.3">
      <c r="A10" s="2" t="s">
        <v>26</v>
      </c>
      <c r="B10" s="5">
        <v>13769001</v>
      </c>
      <c r="C10" s="6">
        <v>36.5504090633573</v>
      </c>
      <c r="D10" s="6">
        <v>11.199379072091</v>
      </c>
      <c r="E10" s="6">
        <v>66.785825984878002</v>
      </c>
      <c r="F10" s="10" t="s">
        <v>23</v>
      </c>
      <c r="G10" s="10" t="s">
        <v>23</v>
      </c>
      <c r="H10" s="8">
        <v>36.143212649866797</v>
      </c>
      <c r="I10" s="10" t="s">
        <v>24</v>
      </c>
      <c r="J10" s="6">
        <v>7.5742717324743998</v>
      </c>
      <c r="K10" s="6">
        <v>22.658627648959399</v>
      </c>
      <c r="L10" s="6">
        <v>35.054772432536403</v>
      </c>
      <c r="M10" s="8">
        <v>1.2546493312149001</v>
      </c>
    </row>
    <row r="11" spans="1:13" x14ac:dyDescent="0.3">
      <c r="A11" s="2" t="s">
        <v>27</v>
      </c>
      <c r="B11" s="5">
        <v>4973241</v>
      </c>
      <c r="C11" s="6">
        <v>67.849245715835394</v>
      </c>
      <c r="D11" s="6">
        <v>3.4643924683983398</v>
      </c>
      <c r="E11" s="6">
        <v>168.805653497831</v>
      </c>
      <c r="F11" s="6">
        <v>46.308943089430898</v>
      </c>
      <c r="G11" s="10" t="s">
        <v>23</v>
      </c>
      <c r="H11" s="8">
        <v>22.036180189102598</v>
      </c>
      <c r="I11" s="10" t="s">
        <v>24</v>
      </c>
      <c r="J11" s="6">
        <v>2.0171364155127001</v>
      </c>
      <c r="K11" s="6">
        <v>15.060786891397001</v>
      </c>
      <c r="L11" s="6">
        <v>23.830430963351102</v>
      </c>
      <c r="M11" s="8">
        <v>2.7822859816174002</v>
      </c>
    </row>
    <row r="12" spans="1:13" x14ac:dyDescent="0.3">
      <c r="A12" s="2" t="s">
        <v>28</v>
      </c>
      <c r="B12" s="5">
        <v>25657272</v>
      </c>
      <c r="C12" s="6">
        <v>15.873684210526299</v>
      </c>
      <c r="D12" s="6">
        <v>1.6653782440640501</v>
      </c>
      <c r="E12" s="6">
        <v>28.7238095238095</v>
      </c>
      <c r="F12" s="6">
        <v>37.0625</v>
      </c>
      <c r="G12" s="6">
        <v>21.133285816108302</v>
      </c>
      <c r="H12" s="8">
        <v>18.899796022437499</v>
      </c>
      <c r="I12" s="10" t="s">
        <v>24</v>
      </c>
      <c r="J12" s="6">
        <v>1.5635978737537</v>
      </c>
      <c r="K12" s="6">
        <v>9.5677019759810999</v>
      </c>
      <c r="L12" s="6">
        <v>14.126054805533</v>
      </c>
      <c r="M12" s="8">
        <v>7.1519455786839004</v>
      </c>
    </row>
    <row r="13" spans="1:13" x14ac:dyDescent="0.3">
      <c r="A13" s="2" t="s">
        <v>29</v>
      </c>
      <c r="B13" s="5">
        <v>4155378</v>
      </c>
      <c r="C13" s="6">
        <v>7.0652856725894102</v>
      </c>
      <c r="D13" s="6">
        <v>1.0937785296207001</v>
      </c>
      <c r="E13" s="6">
        <v>8.6298412034518694</v>
      </c>
      <c r="F13" s="6">
        <v>11.262376237623799</v>
      </c>
      <c r="G13" s="10" t="s">
        <v>23</v>
      </c>
      <c r="H13" s="8">
        <v>10.231731861163301</v>
      </c>
      <c r="I13" s="10" t="s">
        <v>24</v>
      </c>
      <c r="J13" s="6">
        <v>1.0305220336973999</v>
      </c>
      <c r="K13" s="6">
        <v>6.3204750227525004</v>
      </c>
      <c r="L13" s="6">
        <v>8.2079635821203993</v>
      </c>
      <c r="M13" s="8">
        <v>1.4069786139250999</v>
      </c>
    </row>
    <row r="14" spans="1:13" x14ac:dyDescent="0.3">
      <c r="A14" s="2" t="s">
        <v>30</v>
      </c>
      <c r="B14" s="5">
        <v>4209112</v>
      </c>
      <c r="C14" s="10" t="s">
        <v>24</v>
      </c>
      <c r="D14" s="10" t="s">
        <v>24</v>
      </c>
      <c r="E14" s="10" t="s">
        <v>24</v>
      </c>
      <c r="F14" s="10" t="s">
        <v>24</v>
      </c>
      <c r="G14" s="6">
        <v>4.1790097333897602</v>
      </c>
      <c r="H14" s="8">
        <v>7.9242640966640003</v>
      </c>
      <c r="I14" s="10" t="s">
        <v>24</v>
      </c>
      <c r="J14" s="6">
        <v>1.2776164244466</v>
      </c>
      <c r="K14" s="6">
        <v>3.7127195027411002</v>
      </c>
      <c r="L14" s="6">
        <v>9.7066029655674999</v>
      </c>
      <c r="M14" s="8">
        <v>0.62947927331599995</v>
      </c>
    </row>
    <row r="15" spans="1:13" x14ac:dyDescent="0.3">
      <c r="A15" s="2" t="s">
        <v>31</v>
      </c>
      <c r="B15" s="5">
        <v>4317480</v>
      </c>
      <c r="C15" s="6">
        <v>47.309248579522396</v>
      </c>
      <c r="D15" s="6">
        <v>0.83576757749499297</v>
      </c>
      <c r="E15" s="10" t="s">
        <v>23</v>
      </c>
      <c r="F15" s="10" t="s">
        <v>23</v>
      </c>
      <c r="G15" s="6">
        <v>4.2651767533434901</v>
      </c>
      <c r="H15" s="8">
        <v>4.6943908045976999</v>
      </c>
      <c r="I15" s="10" t="s">
        <v>24</v>
      </c>
      <c r="J15" s="6">
        <v>0.69648362488369997</v>
      </c>
      <c r="K15" s="6">
        <v>2.6572792268196999</v>
      </c>
      <c r="L15" s="6">
        <v>4.3337623541644996</v>
      </c>
      <c r="M15" s="8">
        <v>0.11852566842539999</v>
      </c>
    </row>
    <row r="16" spans="1:13" x14ac:dyDescent="0.3">
      <c r="A16" s="2" t="s">
        <v>32</v>
      </c>
      <c r="B16" s="5">
        <v>5994549</v>
      </c>
      <c r="C16" s="10" t="s">
        <v>23</v>
      </c>
      <c r="D16" s="6">
        <v>2.18223145520269</v>
      </c>
      <c r="E16" s="10" t="s">
        <v>23</v>
      </c>
      <c r="F16" s="10" t="s">
        <v>23</v>
      </c>
      <c r="G16" s="6">
        <v>4.7101666984832198</v>
      </c>
      <c r="H16" s="10" t="s">
        <v>23</v>
      </c>
      <c r="I16" s="10" t="s">
        <v>24</v>
      </c>
      <c r="J16" s="6">
        <v>2.5186315685012999</v>
      </c>
      <c r="K16" s="10" t="s">
        <v>24</v>
      </c>
      <c r="L16" s="10" t="s">
        <v>24</v>
      </c>
      <c r="M16" s="10" t="s">
        <v>23</v>
      </c>
    </row>
    <row r="17" spans="1:13" x14ac:dyDescent="0.3">
      <c r="A17" s="2" t="s">
        <v>33</v>
      </c>
      <c r="B17" s="5">
        <v>4329415</v>
      </c>
      <c r="C17" s="6">
        <v>15.0050460881509</v>
      </c>
      <c r="D17" s="6">
        <v>2.79124968108288</v>
      </c>
      <c r="E17" s="6">
        <v>27.857739702176399</v>
      </c>
      <c r="F17" s="6">
        <v>53.308785926153199</v>
      </c>
      <c r="G17" s="10" t="s">
        <v>23</v>
      </c>
      <c r="H17" s="10" t="s">
        <v>24</v>
      </c>
      <c r="I17" s="10" t="s">
        <v>24</v>
      </c>
      <c r="J17" s="6">
        <v>2.5299723664079998</v>
      </c>
      <c r="K17" s="6">
        <v>11.656114366345699</v>
      </c>
      <c r="L17" s="6">
        <v>19.949166382210901</v>
      </c>
      <c r="M17" s="8">
        <v>1.9594635968403999</v>
      </c>
    </row>
    <row r="18" spans="1:13" x14ac:dyDescent="0.3">
      <c r="A18" s="2" t="s">
        <v>34</v>
      </c>
      <c r="B18" s="5">
        <v>5252256</v>
      </c>
      <c r="C18" s="6">
        <v>88.342243704084893</v>
      </c>
      <c r="D18" s="6">
        <v>1.90061922739446</v>
      </c>
      <c r="E18" s="6">
        <v>191.408194692184</v>
      </c>
      <c r="F18" s="10" t="s">
        <v>23</v>
      </c>
      <c r="G18" s="6">
        <v>17.079370986333</v>
      </c>
      <c r="H18" s="10" t="s">
        <v>23</v>
      </c>
      <c r="I18" s="10" t="s">
        <v>24</v>
      </c>
      <c r="J18" s="6">
        <v>1.5857969492626001</v>
      </c>
      <c r="K18" s="6">
        <v>100.799280475713</v>
      </c>
      <c r="L18" s="10" t="s">
        <v>23</v>
      </c>
      <c r="M18" s="8">
        <v>15.0981530360606</v>
      </c>
    </row>
    <row r="20" spans="1:13" x14ac:dyDescent="0.3">
      <c r="A20" s="11" t="s">
        <v>35</v>
      </c>
      <c r="B20" s="2" t="s">
        <v>19</v>
      </c>
      <c r="C20" s="6">
        <v>7.07</v>
      </c>
      <c r="D20" s="6">
        <v>0.84</v>
      </c>
      <c r="E20" s="6">
        <v>8.6300000000000008</v>
      </c>
      <c r="F20" s="6">
        <v>11.26</v>
      </c>
      <c r="G20" s="6">
        <v>4.18</v>
      </c>
      <c r="H20" s="8">
        <v>4.7</v>
      </c>
      <c r="I20" s="8">
        <v>53.7</v>
      </c>
      <c r="J20" s="6">
        <v>0.7</v>
      </c>
      <c r="K20" s="6">
        <v>2.66</v>
      </c>
      <c r="L20" s="6">
        <v>4.33</v>
      </c>
      <c r="M20" s="8">
        <v>0.1</v>
      </c>
    </row>
    <row r="21" spans="1:13" x14ac:dyDescent="0.3">
      <c r="A21" s="11" t="s">
        <v>36</v>
      </c>
      <c r="B21" s="2" t="s">
        <v>19</v>
      </c>
      <c r="C21" s="6">
        <v>22.23</v>
      </c>
      <c r="D21" s="6">
        <v>1.67</v>
      </c>
      <c r="E21" s="6">
        <v>28.29</v>
      </c>
      <c r="F21" s="6">
        <v>37.06</v>
      </c>
      <c r="G21" s="6">
        <v>4.49</v>
      </c>
      <c r="H21" s="8">
        <v>15.5</v>
      </c>
      <c r="I21" s="8">
        <v>53.7</v>
      </c>
      <c r="J21" s="6">
        <v>1.51</v>
      </c>
      <c r="K21" s="6">
        <v>9.57</v>
      </c>
      <c r="L21" s="6">
        <v>12.29</v>
      </c>
      <c r="M21" s="8">
        <v>1.4</v>
      </c>
    </row>
    <row r="22" spans="1:13" x14ac:dyDescent="0.3">
      <c r="A22" s="11" t="s">
        <v>37</v>
      </c>
      <c r="B22" s="2" t="s">
        <v>19</v>
      </c>
      <c r="C22" s="6">
        <v>28.17</v>
      </c>
      <c r="D22" s="6">
        <v>2.93</v>
      </c>
      <c r="E22" s="6">
        <v>51.97</v>
      </c>
      <c r="F22" s="6">
        <v>32.380000000000003</v>
      </c>
      <c r="G22" s="6">
        <v>8.57</v>
      </c>
      <c r="H22" s="8">
        <v>16.399999999999999</v>
      </c>
      <c r="I22" s="8">
        <v>53.7</v>
      </c>
      <c r="J22" s="6">
        <v>2.19</v>
      </c>
      <c r="K22" s="6">
        <v>9.91</v>
      </c>
      <c r="L22" s="6">
        <v>15.71</v>
      </c>
      <c r="M22" s="8">
        <v>2.2999999999999998</v>
      </c>
    </row>
    <row r="23" spans="1:13" x14ac:dyDescent="0.3">
      <c r="A23" s="11" t="s">
        <v>38</v>
      </c>
      <c r="B23" s="2" t="s">
        <v>19</v>
      </c>
      <c r="C23" s="6">
        <v>67.849999999999994</v>
      </c>
      <c r="D23" s="6">
        <v>11.2</v>
      </c>
      <c r="E23" s="6">
        <v>168.81</v>
      </c>
      <c r="F23" s="6">
        <v>53.31</v>
      </c>
      <c r="G23" s="6">
        <v>21.13</v>
      </c>
      <c r="H23" s="8">
        <v>36.1</v>
      </c>
      <c r="I23" s="8">
        <v>53.7</v>
      </c>
      <c r="J23" s="6">
        <v>7.57</v>
      </c>
      <c r="K23" s="6">
        <v>22.66</v>
      </c>
      <c r="L23" s="6">
        <v>35.049999999999997</v>
      </c>
      <c r="M23" s="8">
        <v>7.2</v>
      </c>
    </row>
  </sheetData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/>
  </sheetViews>
  <sheetFormatPr baseColWidth="10" defaultColWidth="8.88671875" defaultRowHeight="14.4" x14ac:dyDescent="0.3"/>
  <cols>
    <col min="1" max="1" width="48.5546875" customWidth="1"/>
  </cols>
  <sheetData>
    <row r="1" spans="1:4" ht="40.049999999999997" customHeight="1" x14ac:dyDescent="0.3">
      <c r="A1" s="1"/>
      <c r="B1" s="1"/>
      <c r="C1" s="1"/>
      <c r="D1" s="1"/>
    </row>
    <row r="3" spans="1:4" x14ac:dyDescent="0.3">
      <c r="A3" s="11" t="s">
        <v>62</v>
      </c>
    </row>
    <row r="4" spans="1:4" x14ac:dyDescent="0.3">
      <c r="A4" s="11" t="s">
        <v>63</v>
      </c>
    </row>
    <row r="5" spans="1:4" x14ac:dyDescent="0.3">
      <c r="A5" s="2" t="s">
        <v>64</v>
      </c>
    </row>
    <row r="6" spans="1:4" x14ac:dyDescent="0.3">
      <c r="A6" s="2" t="s">
        <v>65</v>
      </c>
    </row>
    <row r="7" spans="1:4" x14ac:dyDescent="0.3">
      <c r="A7" s="2" t="s">
        <v>66</v>
      </c>
    </row>
    <row r="8" spans="1:4" x14ac:dyDescent="0.3">
      <c r="A8" s="2" t="s">
        <v>67</v>
      </c>
    </row>
    <row r="9" spans="1:4" x14ac:dyDescent="0.3">
      <c r="A9" s="2" t="s">
        <v>68</v>
      </c>
    </row>
    <row r="10" spans="1:4" x14ac:dyDescent="0.3">
      <c r="A10" s="2" t="s">
        <v>69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Screening Criteria</vt:lpstr>
    </vt:vector>
  </TitlesOfParts>
  <Manager/>
  <Company>SoftArtisans,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VARGAS</dc:creator>
  <cp:keywords/>
  <dc:description/>
  <cp:lastModifiedBy>ALEJANDRO VARGAS</cp:lastModifiedBy>
  <dcterms:created xsi:type="dcterms:W3CDTF">2022-04-21T22:19:04Z</dcterms:created>
  <dcterms:modified xsi:type="dcterms:W3CDTF">2022-04-21T22:19:04Z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  <property fmtid="{D5CDD505-2E9C-101B-9397-08002B2CF9AE}" pid="3" name="{A44787D4-0540-4523-9961-78E4036D8C6D}">
    <vt:lpwstr>{8949F5A3-F023-438A-BA6D-7E533EEACFEE}</vt:lpwstr>
  </property>
</Properties>
</file>