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085a3fe9bc941f1/Documentos/1. Docencia/2. DIPLOMADOS/Banca y Finanzas/Riesgos Mercado Valores/2022/Empresas/"/>
    </mc:Choice>
  </mc:AlternateContent>
  <xr:revisionPtr revIDLastSave="0" documentId="8_{3A8739FE-1121-4A1D-AC62-CFA2C6CA8A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creening Criteria" sheetId="4" r:id="rId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L6" i="3"/>
  <c r="K6" i="3"/>
  <c r="J6" i="3"/>
  <c r="H6" i="3"/>
  <c r="M4" i="3"/>
  <c r="L4" i="3"/>
  <c r="K4" i="3"/>
  <c r="J4" i="3"/>
  <c r="I4" i="3"/>
  <c r="H4" i="3"/>
  <c r="G4" i="3"/>
  <c r="F4" i="3"/>
  <c r="E4" i="3"/>
  <c r="D4" i="3"/>
  <c r="C4" i="3"/>
  <c r="B4" i="3"/>
  <c r="A4" i="3"/>
  <c r="A3" i="3"/>
  <c r="M4" i="2"/>
  <c r="L4" i="2"/>
  <c r="K4" i="2"/>
  <c r="J4" i="2"/>
  <c r="I4" i="2"/>
  <c r="H4" i="2"/>
  <c r="G4" i="2"/>
  <c r="F4" i="2"/>
  <c r="E4" i="2"/>
  <c r="D4" i="2"/>
  <c r="C4" i="2"/>
  <c r="B4" i="2"/>
  <c r="A4" i="2"/>
  <c r="A3" i="2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3" i="1"/>
</calcChain>
</file>

<file path=xl/sharedStrings.xml><?xml version="1.0" encoding="utf-8"?>
<sst xmlns="http://schemas.openxmlformats.org/spreadsheetml/2006/main" count="306" uniqueCount="70">
  <si>
    <t>SP_ENTITY_NAME</t>
  </si>
  <si>
    <t>SP_ENTITY_ID</t>
  </si>
  <si>
    <t>SP_PRICE_CLOSE</t>
  </si>
  <si>
    <t>290935</t>
  </si>
  <si>
    <t>290933</t>
  </si>
  <si>
    <t>275618</t>
  </si>
  <si>
    <t>SP_NONCONTROLLING_INTS</t>
  </si>
  <si>
    <t>311681</t>
  </si>
  <si>
    <t>275868</t>
  </si>
  <si>
    <t>275720</t>
  </si>
  <si>
    <t>275622</t>
  </si>
  <si>
    <t>275629</t>
  </si>
  <si>
    <t>275628</t>
  </si>
  <si>
    <t>SP_DILUT_EPS_AFTER_EXTRA</t>
  </si>
  <si>
    <t>290954</t>
  </si>
  <si>
    <t>IQ_PTBV</t>
  </si>
  <si>
    <t>307489</t>
  </si>
  <si>
    <t>SP_NIM</t>
  </si>
  <si>
    <t>275623</t>
  </si>
  <si>
    <t/>
  </si>
  <si>
    <t>LTM</t>
  </si>
  <si>
    <t>Current/Restated</t>
  </si>
  <si>
    <t>Sunny Optical Technology (Group) Company Limited (SEHK:2382)</t>
  </si>
  <si>
    <t>NA</t>
  </si>
  <si>
    <t>Luxshare Precision Industry Co., Ltd. (SZSE:002475)</t>
  </si>
  <si>
    <t>Lenovo Group Limited (SEHK:992)</t>
  </si>
  <si>
    <t>NM</t>
  </si>
  <si>
    <t>ZTE Corporation (SZSE:000063)</t>
  </si>
  <si>
    <t>Hangzhou Hikvision Digital Technology Co., Ltd. (SZSE:002415)</t>
  </si>
  <si>
    <t>Shenzhen Transsion Holdings Co., Ltd. (SHSE:688036)</t>
  </si>
  <si>
    <t>Inspur Electronic Information Industry Co., Ltd. (SZSE:000977)</t>
  </si>
  <si>
    <t>BYD Electronic (International) Company Limited (SEHK:285)</t>
  </si>
  <si>
    <t>OFILM Group Co., Ltd. (SZSE:002456)</t>
  </si>
  <si>
    <t>BOE Technology Group Company Limited (SZSE:000725)</t>
  </si>
  <si>
    <t>Xiaomi Corporation (SEHK:1810)</t>
  </si>
  <si>
    <t>Minimum</t>
  </si>
  <si>
    <t>Median</t>
  </si>
  <si>
    <t>Average</t>
  </si>
  <si>
    <t>Maximum</t>
  </si>
  <si>
    <t>274477</t>
  </si>
  <si>
    <t>274480</t>
  </si>
  <si>
    <t>274481</t>
  </si>
  <si>
    <t>274478</t>
  </si>
  <si>
    <t>274469</t>
  </si>
  <si>
    <t>306316</t>
  </si>
  <si>
    <t>IQ_DEBT_TO_CAPITAL</t>
  </si>
  <si>
    <t>274468</t>
  </si>
  <si>
    <t>SNL_ROIC</t>
  </si>
  <si>
    <t>298535</t>
  </si>
  <si>
    <t>298534</t>
  </si>
  <si>
    <t>SP_TEV_EBITDA_LTM</t>
  </si>
  <si>
    <t>IQ_TEV_TOTAL_REV_LTM</t>
  </si>
  <si>
    <t>IQ_TEV_EBIT_LTM</t>
  </si>
  <si>
    <t>IQ_PE_LTM</t>
  </si>
  <si>
    <t>IQ_PTBV_X</t>
  </si>
  <si>
    <t>SP_PE_EST</t>
  </si>
  <si>
    <t>SP_PNAVPS_EST</t>
  </si>
  <si>
    <t>SP_TEV_TOTAL_REV_FWD</t>
  </si>
  <si>
    <t>SP_TEV_EBITDA_FWD</t>
  </si>
  <si>
    <t>SP_TEV_EBIT_FWD</t>
  </si>
  <si>
    <t>SP_PBV_FWD</t>
  </si>
  <si>
    <t>FY0</t>
  </si>
  <si>
    <t>Companies: New Screen</t>
  </si>
  <si>
    <t xml:space="preserve">Screening Criteria: </t>
  </si>
  <si>
    <t>1              [ Primary Industry: Communications Equipment, Technology Hardware, Storage and Peripherals, Electronic Equipment and Instruments, Electronic Components</t>
  </si>
  <si>
    <t xml:space="preserve">                   Geography: All Geographies</t>
  </si>
  <si>
    <t xml:space="preserve">                   Company Type: Public Company</t>
  </si>
  <si>
    <t xml:space="preserve">                   Company Status: Operating, Operating Subsidiary ]</t>
  </si>
  <si>
    <t>2                 Total Revenue [Latest Fiscal Year] (CN¥000) Between 10 - 500</t>
  </si>
  <si>
    <t>3                 Top 10 Rank By Peer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</si>
</sst>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#,##0;\(#,##0\)"/>
    <numFmt numFmtId="166" formatCode="#,##0.0;\(#,##0.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Alignment="1">
      <alignment horizontal="left" vertical="top"/>
    </xf>
    <xf numFmtId="0" fontId="0" fillId="0" borderId="0" xfId="0" applyNumberFormat="1" applyFont="1" applyFill="1" applyAlignment="1">
      <alignment horizontal="left" wrapText="1"/>
    </xf>
    <xf numFmtId="0" fontId="0" fillId="0" borderId="0" xfId="0" applyNumberFormat="1" applyFont="1" applyFill="1" applyAlignment="1">
      <alignment horizontal="right" wrapText="1"/>
    </xf>
    <xf numFmtId="49" fontId="0" fillId="0" borderId="0" xfId="0" applyNumberFormat="1" applyFont="1" applyFill="1" applyAlignment="1">
      <alignment horizontal="left" vertical="top"/>
    </xf>
    <xf numFmtId="164" fontId="0" fillId="0" borderId="0" xfId="0" applyNumberFormat="1" applyFont="1" applyFill="1" applyAlignment="1">
      <alignment horizontal="right" vertical="top"/>
    </xf>
    <xf numFmtId="165" fontId="0" fillId="0" borderId="0" xfId="0" applyNumberFormat="1" applyFont="1" applyFill="1" applyAlignment="1">
      <alignment horizontal="right" vertical="top"/>
    </xf>
    <xf numFmtId="166" fontId="0" fillId="0" borderId="0" xfId="0" applyNumberFormat="1" applyFont="1" applyFill="1" applyAlignment="1">
      <alignment horizontal="right" vertical="top"/>
    </xf>
    <xf numFmtId="14" fontId="0" fillId="0" borderId="0" xfId="0" applyNumberFormat="1" applyFont="1" applyFill="1" applyAlignment="1">
      <alignment horizontal="right" vertical="top"/>
    </xf>
    <xf numFmtId="0" fontId="0" fillId="0" borderId="0" xfId="0" applyNumberFormat="1" applyFont="1" applyFill="1" applyAlignment="1">
      <alignment horizontal="right" vertical="top"/>
    </xf>
    <xf numFmtId="0" fontId="1" fillId="0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23"/>
  <sheetViews>
    <sheetView tabSelected="1" workbookViewId="0">
      <selection activeCell="B12" sqref="B12"/>
    </sheetView>
  </sheetViews>
  <sheetFormatPr baseColWidth="10" defaultColWidth="8.88671875" defaultRowHeight="14.4" x14ac:dyDescent="0.3"/>
  <cols>
    <col min="1" max="1" width="48.5546875" customWidth="1"/>
    <col min="2" max="2" width="19.33203125" customWidth="1"/>
    <col min="3" max="3" width="21.109375" customWidth="1"/>
    <col min="4" max="4" width="22.5546875" customWidth="1"/>
    <col min="5" max="5" width="21.109375" customWidth="1"/>
    <col min="6" max="6" width="25.5546875" customWidth="1"/>
    <col min="7" max="7" width="23.5546875" customWidth="1"/>
    <col min="8" max="8" width="21.109375" customWidth="1"/>
    <col min="9" max="9" width="17.5546875" customWidth="1"/>
    <col min="10" max="10" width="16.109375" customWidth="1"/>
    <col min="11" max="11" width="21.109375" customWidth="1"/>
    <col min="12" max="12" width="29.44140625" customWidth="1"/>
    <col min="13" max="13" width="21.109375" customWidth="1"/>
    <col min="14" max="14" width="22.44140625" customWidth="1"/>
    <col min="15" max="16" width="21.109375" customWidth="1"/>
    <col min="17" max="18" width="16.109375" customWidth="1"/>
    <col min="19" max="19" width="21.109375" customWidth="1"/>
  </cols>
  <sheetData>
    <row r="3" spans="1:19" x14ac:dyDescent="0.3">
      <c r="A3" s="2" t="e">
        <f ca="1">SPGTable($B$8:$B$18,$C$5:$S$5,$C$6:$S$6,"Options:Curr=CNY,Mag=Standard,ConvMethod=Recommended,FilingVer=Current/Restated")</f>
        <v>#NAME?</v>
      </c>
    </row>
    <row r="4" spans="1:19" x14ac:dyDescent="0.3">
      <c r="A4" s="3" t="e">
        <f ca="1">SPGLabel(266637,267969,"","Options:Curr=CNY,Mag=Standard,ConvMethod=Recommended,FilingVer=Current/Restated")</f>
        <v>#NAME?</v>
      </c>
      <c r="B4" s="3" t="e">
        <f ca="1">SPGLabel(266637,267961,"","Options:Curr=CNY,Mag=Standard,ConvMethod=Recommended,FilingVer=Current/Restated")</f>
        <v>#NAME?</v>
      </c>
      <c r="C4" s="4" t="e">
        <f ca="1">SPGLabel(266637,290930,"","Options:Curr=CNY,Mag=Standard,ConvMethod=Recommended,FilingVer=Current/Restated")</f>
        <v>#NAME?</v>
      </c>
      <c r="D4" s="4" t="e">
        <f ca="1">SPGLabel(266637,290935,"","Options:Curr=CNY,Mag=Standard,ConvMethod=Recommended,FilingVer=Current/Restated")</f>
        <v>#NAME?</v>
      </c>
      <c r="E4" s="4" t="e">
        <f ca="1">SPGLabel(266637,290933,"","Options:Curr=CNY,Mag=Standard,ConvMethod=Recommended,FilingVer=Current/Restated")</f>
        <v>#NAME?</v>
      </c>
      <c r="F4" s="4" t="e">
        <f ca="1">SPGLabel(266637,275618,"LTM","Options:Curr=CNY,Mag=Standard,ConvMethod=Recommended,FilingVer=Current/Restated")</f>
        <v>#NAME?</v>
      </c>
      <c r="G4" s="4" t="e">
        <f ca="1">SPGLabel(266637,309226,"LTM","Options:Curr=CNY,Mag=Standard,ConvMethod=Recommended,FilingVer=Current/Restated")</f>
        <v>#NAME?</v>
      </c>
      <c r="H4" s="4" t="e">
        <f ca="1">SPGLabel(266637,311681,"","Options:Curr=CNY,Mag=Standard,ConvMethod=Recommended,FilingVer=Current/Restated")</f>
        <v>#NAME?</v>
      </c>
      <c r="I4" s="4" t="e">
        <f ca="1">SPGLabel(266637,275868,"LTM","Options:Curr=CNY,Mag=Standard,ConvMethod=Recommended,FilingVer=Current/Restated")</f>
        <v>#NAME?</v>
      </c>
      <c r="J4" s="4" t="e">
        <f ca="1">SPGLabel(266637,275720,"LTM","Options:Curr=CNY,Mag=Standard,ConvMethod=Recommended,FilingVer=Current/Restated")</f>
        <v>#NAME?</v>
      </c>
      <c r="K4" s="4" t="e">
        <f ca="1">SPGLabel(266637,275622,"LTM","Options:Curr=CNY,Mag=Standard,ConvMethod=Recommended,FilingVer=Current/Restated")</f>
        <v>#NAME?</v>
      </c>
      <c r="L4" s="4" t="e">
        <f ca="1">SPGLabel(266637,275629,"LTM","Options:Curr=CNY,Mag=Standard,ConvMethod=Recommended,FilingVer=Current/Restated")</f>
        <v>#NAME?</v>
      </c>
      <c r="M4" s="4" t="e">
        <f ca="1">SPGLabel(266637,275628,"LTM","Options:Curr=CNY,Mag=Standard,ConvMethod=Recommended,FilingVer=Current/Restated")</f>
        <v>#NAME?</v>
      </c>
      <c r="N4" s="4" t="e">
        <f ca="1">SPGLabel(266637,275636,"LTM","Options:Curr=CNY,Mag=Standard,ConvMethod=Recommended,FilingVer=Current/Restated")</f>
        <v>#NAME?</v>
      </c>
      <c r="O4" s="4" t="e">
        <f ca="1">SPGLabel(266637,290954,"","Options:Curr=CNY,Mag=Standard,ConvMethod=Recommended,FilingVer=Current/Restated")</f>
        <v>#NAME?</v>
      </c>
      <c r="P4" s="4" t="e">
        <f ca="1">SPGLabel(266637,290956,"","Options:Curr=CNY,Mag=Standard,ConvMethod=Recommended,FilingVer=Current/Restated")</f>
        <v>#NAME?</v>
      </c>
      <c r="Q4" s="4" t="e">
        <f ca="1">SPGLabel(266637,307489,"LTM","Current/Restated","Options:Curr=CNY,Mag=Standard,ConvMethod=Recommended,FilingVer=Current/Restated")</f>
        <v>#NAME?</v>
      </c>
      <c r="R4" s="4" t="e">
        <f ca="1">SPGLabel(266637,275822,"LTM","Options:Curr=CNY,Mag=Standard,ConvMethod=Recommended,FilingVer=Current/Restated")</f>
        <v>#NAME?</v>
      </c>
      <c r="S4" s="4" t="e">
        <f ca="1">SPGLabel(266637,275623,"LTM","Options:Curr=CNY,Mag=Standard,ConvMethod=Recommended,FilingVer=Current/Restated")</f>
        <v>#NAME?</v>
      </c>
    </row>
    <row r="5" spans="1:19" ht="28.8" x14ac:dyDescent="0.3">
      <c r="A5" s="3" t="s">
        <v>0</v>
      </c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</row>
    <row r="6" spans="1:19" x14ac:dyDescent="0.3">
      <c r="A6" s="3" t="s">
        <v>19</v>
      </c>
      <c r="B6" s="3" t="s">
        <v>19</v>
      </c>
      <c r="C6" s="4" t="s">
        <v>19</v>
      </c>
      <c r="D6" s="4" t="s">
        <v>19</v>
      </c>
      <c r="E6" s="4" t="s">
        <v>19</v>
      </c>
      <c r="F6" s="4" t="s">
        <v>20</v>
      </c>
      <c r="G6" s="4" t="s">
        <v>20</v>
      </c>
      <c r="H6" s="4" t="s">
        <v>19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19</v>
      </c>
      <c r="P6" s="4" t="s">
        <v>19</v>
      </c>
      <c r="Q6" s="4" t="s">
        <v>20</v>
      </c>
      <c r="R6" s="4" t="s">
        <v>20</v>
      </c>
      <c r="S6" s="4" t="s">
        <v>20</v>
      </c>
    </row>
    <row r="7" spans="1:19" x14ac:dyDescent="0.3">
      <c r="A7" s="3" t="s">
        <v>19</v>
      </c>
      <c r="B7" s="3" t="s">
        <v>19</v>
      </c>
      <c r="C7" s="4" t="s">
        <v>19</v>
      </c>
      <c r="D7" s="4" t="s">
        <v>19</v>
      </c>
      <c r="E7" s="4" t="s">
        <v>19</v>
      </c>
      <c r="F7" s="4" t="s">
        <v>19</v>
      </c>
      <c r="G7" s="4" t="s">
        <v>19</v>
      </c>
      <c r="H7" s="4" t="s">
        <v>19</v>
      </c>
      <c r="I7" s="4" t="s">
        <v>19</v>
      </c>
      <c r="J7" s="4" t="s">
        <v>19</v>
      </c>
      <c r="K7" s="4" t="s">
        <v>19</v>
      </c>
      <c r="L7" s="4" t="s">
        <v>19</v>
      </c>
      <c r="M7" s="4" t="s">
        <v>19</v>
      </c>
      <c r="N7" s="4" t="s">
        <v>19</v>
      </c>
      <c r="O7" s="4" t="s">
        <v>19</v>
      </c>
      <c r="P7" s="4" t="s">
        <v>19</v>
      </c>
      <c r="Q7" s="4" t="s">
        <v>21</v>
      </c>
      <c r="R7" s="4" t="s">
        <v>19</v>
      </c>
      <c r="S7" s="4" t="s">
        <v>19</v>
      </c>
    </row>
    <row r="8" spans="1:19" x14ac:dyDescent="0.3">
      <c r="A8" s="2" t="s">
        <v>22</v>
      </c>
      <c r="B8" s="5">
        <v>4971046</v>
      </c>
      <c r="C8" s="6">
        <v>87.160251785263597</v>
      </c>
      <c r="D8" s="7">
        <v>1094368359</v>
      </c>
      <c r="E8" s="8">
        <v>95385.421716265701</v>
      </c>
      <c r="F8" s="7">
        <v>6208790</v>
      </c>
      <c r="G8" s="7">
        <v>307194</v>
      </c>
      <c r="H8" s="8">
        <v>86860.932716265394</v>
      </c>
      <c r="I8" s="6">
        <v>18.812999999999999</v>
      </c>
      <c r="J8" s="9">
        <v>44561</v>
      </c>
      <c r="K8" s="7">
        <v>37496852</v>
      </c>
      <c r="L8" s="7">
        <v>6631118</v>
      </c>
      <c r="M8" s="7">
        <v>5057118</v>
      </c>
      <c r="N8" s="6">
        <v>4.5590000000000002</v>
      </c>
      <c r="O8" s="6">
        <v>19.027727108595201</v>
      </c>
      <c r="P8" s="6">
        <v>468.14575222927903</v>
      </c>
      <c r="Q8" s="10" t="s">
        <v>23</v>
      </c>
      <c r="R8" s="10" t="s">
        <v>23</v>
      </c>
      <c r="S8" s="7">
        <v>5055915</v>
      </c>
    </row>
    <row r="9" spans="1:19" x14ac:dyDescent="0.3">
      <c r="A9" s="2" t="s">
        <v>24</v>
      </c>
      <c r="B9" s="5">
        <v>4991320</v>
      </c>
      <c r="C9" s="6">
        <v>29.19</v>
      </c>
      <c r="D9" s="7">
        <v>7071322764</v>
      </c>
      <c r="E9" s="8">
        <v>206411.91148116</v>
      </c>
      <c r="F9" s="7">
        <v>27242673.221000001</v>
      </c>
      <c r="G9" s="10" t="s">
        <v>23</v>
      </c>
      <c r="H9" s="8">
        <v>225596.40625115999</v>
      </c>
      <c r="I9" s="6">
        <v>4.6449999999999996</v>
      </c>
      <c r="J9" s="9">
        <v>44561</v>
      </c>
      <c r="K9" s="7">
        <v>154106467.34999999</v>
      </c>
      <c r="L9" s="7">
        <v>10475616.153999999</v>
      </c>
      <c r="M9" s="7">
        <v>8218398.6200000001</v>
      </c>
      <c r="N9" s="6">
        <v>1.01</v>
      </c>
      <c r="O9" s="6">
        <v>28.900990099009899</v>
      </c>
      <c r="P9" s="6">
        <v>702.35803657362897</v>
      </c>
      <c r="Q9" s="10" t="s">
        <v>23</v>
      </c>
      <c r="R9" s="10" t="s">
        <v>23</v>
      </c>
      <c r="S9" s="7">
        <v>7072304.4900000002</v>
      </c>
    </row>
    <row r="10" spans="1:19" x14ac:dyDescent="0.3">
      <c r="A10" s="2" t="s">
        <v>25</v>
      </c>
      <c r="B10" s="5">
        <v>4329903</v>
      </c>
      <c r="C10" s="6">
        <v>6.3972335744278404</v>
      </c>
      <c r="D10" s="7">
        <v>12041705614</v>
      </c>
      <c r="E10" s="8">
        <v>77033.603447257003</v>
      </c>
      <c r="F10" s="7">
        <v>26649036.3006</v>
      </c>
      <c r="G10" s="7">
        <v>6822832.1572000002</v>
      </c>
      <c r="H10" s="8">
        <v>85208.515612257004</v>
      </c>
      <c r="I10" s="6">
        <v>1.9629534</v>
      </c>
      <c r="J10" s="9">
        <v>44561</v>
      </c>
      <c r="K10" s="7">
        <v>455115554.198506</v>
      </c>
      <c r="L10" s="7">
        <v>26629704.976128001</v>
      </c>
      <c r="M10" s="7">
        <v>20847847.023582399</v>
      </c>
      <c r="N10" s="6">
        <v>0.89662610383141905</v>
      </c>
      <c r="O10" s="6">
        <v>7.1355551220211604</v>
      </c>
      <c r="P10" s="10" t="s">
        <v>26</v>
      </c>
      <c r="Q10" s="10" t="s">
        <v>23</v>
      </c>
      <c r="R10" s="10" t="s">
        <v>23</v>
      </c>
      <c r="S10" s="7">
        <v>12960233.638724901</v>
      </c>
    </row>
    <row r="11" spans="1:19" x14ac:dyDescent="0.3">
      <c r="A11" s="2" t="s">
        <v>27</v>
      </c>
      <c r="B11" s="5">
        <v>4264179</v>
      </c>
      <c r="C11" s="6">
        <v>21.79</v>
      </c>
      <c r="D11" s="7">
        <v>4730616316</v>
      </c>
      <c r="E11" s="8">
        <v>96246.708195266707</v>
      </c>
      <c r="F11" s="7">
        <v>40817396</v>
      </c>
      <c r="G11" s="7">
        <v>1805571</v>
      </c>
      <c r="H11" s="8">
        <v>86795.668195266699</v>
      </c>
      <c r="I11" s="6">
        <v>10.888999999999999</v>
      </c>
      <c r="J11" s="9">
        <v>44561</v>
      </c>
      <c r="K11" s="7">
        <v>114521641</v>
      </c>
      <c r="L11" s="7">
        <v>7543378</v>
      </c>
      <c r="M11" s="7">
        <v>5468125</v>
      </c>
      <c r="N11" s="6">
        <v>1.468</v>
      </c>
      <c r="O11" s="6">
        <v>14.843324250681199</v>
      </c>
      <c r="P11" s="6">
        <v>215.31620553359701</v>
      </c>
      <c r="Q11" s="10" t="s">
        <v>23</v>
      </c>
      <c r="R11" s="10" t="s">
        <v>23</v>
      </c>
      <c r="S11" s="7">
        <v>7035890</v>
      </c>
    </row>
    <row r="12" spans="1:19" x14ac:dyDescent="0.3">
      <c r="A12" s="2" t="s">
        <v>28</v>
      </c>
      <c r="B12" s="5">
        <v>4972031</v>
      </c>
      <c r="C12" s="6">
        <v>40.81</v>
      </c>
      <c r="D12" s="7">
        <v>9433208719</v>
      </c>
      <c r="E12" s="8">
        <v>384969.24782239</v>
      </c>
      <c r="F12" s="7">
        <v>9719520.4820000008</v>
      </c>
      <c r="G12" s="7">
        <v>2093911.4010000001</v>
      </c>
      <c r="H12" s="8">
        <v>362528.28720139002</v>
      </c>
      <c r="I12" s="6">
        <v>7.13</v>
      </c>
      <c r="J12" s="9">
        <v>44651</v>
      </c>
      <c r="K12" s="7">
        <v>83953217.358999997</v>
      </c>
      <c r="L12" s="7">
        <v>19893440.725000001</v>
      </c>
      <c r="M12" s="7">
        <v>19048498.300999999</v>
      </c>
      <c r="N12" s="6">
        <v>1.82</v>
      </c>
      <c r="O12" s="6">
        <v>22.423076923076898</v>
      </c>
      <c r="P12" s="6">
        <v>585.76144682072595</v>
      </c>
      <c r="Q12" s="10" t="s">
        <v>23</v>
      </c>
      <c r="R12" s="10" t="s">
        <v>23</v>
      </c>
      <c r="S12" s="7">
        <v>17492007.013999999</v>
      </c>
    </row>
    <row r="13" spans="1:19" x14ac:dyDescent="0.3">
      <c r="A13" s="2" t="s">
        <v>29</v>
      </c>
      <c r="B13" s="5">
        <v>9475453</v>
      </c>
      <c r="C13" s="6">
        <v>89.36</v>
      </c>
      <c r="D13" s="7">
        <v>801690950</v>
      </c>
      <c r="E13" s="8">
        <v>71639.103292</v>
      </c>
      <c r="F13" s="7">
        <v>1785853.425</v>
      </c>
      <c r="G13" s="10" t="s">
        <v>23</v>
      </c>
      <c r="H13" s="8">
        <v>58910.670792999998</v>
      </c>
      <c r="I13" s="6">
        <v>15.994999999999999</v>
      </c>
      <c r="J13" s="9">
        <v>44561</v>
      </c>
      <c r="K13" s="7">
        <v>49253581.600000001</v>
      </c>
      <c r="L13" s="7">
        <v>4821484.4979999997</v>
      </c>
      <c r="M13" s="7">
        <v>4703769.7</v>
      </c>
      <c r="N13" s="6">
        <v>4.9000000000000004</v>
      </c>
      <c r="O13" s="6">
        <v>18.236734693877601</v>
      </c>
      <c r="P13" s="6">
        <v>580.37279989608396</v>
      </c>
      <c r="Q13" s="10" t="s">
        <v>23</v>
      </c>
      <c r="R13" s="10" t="s">
        <v>23</v>
      </c>
      <c r="S13" s="7">
        <v>3924272.5</v>
      </c>
    </row>
    <row r="14" spans="1:19" x14ac:dyDescent="0.3">
      <c r="A14" s="2" t="s">
        <v>30</v>
      </c>
      <c r="B14" s="5">
        <v>4968455</v>
      </c>
      <c r="C14" s="6">
        <v>26.38</v>
      </c>
      <c r="D14" s="7">
        <v>1453721310</v>
      </c>
      <c r="E14" s="8">
        <v>38349.168157799999</v>
      </c>
      <c r="F14" s="7">
        <v>8146789.0839999998</v>
      </c>
      <c r="G14" s="7">
        <v>403726.61099999998</v>
      </c>
      <c r="H14" s="8">
        <v>39222.336293799999</v>
      </c>
      <c r="I14" s="6">
        <v>10.43</v>
      </c>
      <c r="J14" s="9">
        <v>44561</v>
      </c>
      <c r="K14" s="7">
        <v>67047551.556999996</v>
      </c>
      <c r="L14" s="7">
        <v>1965209.6429999999</v>
      </c>
      <c r="M14" s="7">
        <v>1752327.8430000001</v>
      </c>
      <c r="N14" s="6">
        <v>1.369</v>
      </c>
      <c r="O14" s="6">
        <v>19.2695398100803</v>
      </c>
      <c r="P14" s="6">
        <v>259.77351058591802</v>
      </c>
      <c r="Q14" s="10" t="s">
        <v>23</v>
      </c>
      <c r="R14" s="10" t="s">
        <v>23</v>
      </c>
      <c r="S14" s="7">
        <v>2029929.73</v>
      </c>
    </row>
    <row r="15" spans="1:19" x14ac:dyDescent="0.3">
      <c r="A15" s="2" t="s">
        <v>31</v>
      </c>
      <c r="B15" s="5">
        <v>4971259</v>
      </c>
      <c r="C15" s="6">
        <v>11.840637978375399</v>
      </c>
      <c r="D15" s="7">
        <v>2253204500</v>
      </c>
      <c r="E15" s="8">
        <v>26679.378775746402</v>
      </c>
      <c r="F15" s="7">
        <v>509765</v>
      </c>
      <c r="G15" s="10" t="s">
        <v>23</v>
      </c>
      <c r="H15" s="8">
        <v>22773.165775746402</v>
      </c>
      <c r="I15" s="6">
        <v>10.664</v>
      </c>
      <c r="J15" s="9">
        <v>44561</v>
      </c>
      <c r="K15" s="7">
        <v>89056978</v>
      </c>
      <c r="L15" s="7">
        <v>3668204</v>
      </c>
      <c r="M15" s="7">
        <v>1413101</v>
      </c>
      <c r="N15" s="6">
        <v>1.0249999999999999</v>
      </c>
      <c r="O15" s="6">
        <v>11.497125389677199</v>
      </c>
      <c r="P15" s="6">
        <v>110.559654042773</v>
      </c>
      <c r="Q15" s="10" t="s">
        <v>23</v>
      </c>
      <c r="R15" s="10" t="s">
        <v>23</v>
      </c>
      <c r="S15" s="7">
        <v>2309882</v>
      </c>
    </row>
    <row r="16" spans="1:19" x14ac:dyDescent="0.3">
      <c r="A16" s="2" t="s">
        <v>32</v>
      </c>
      <c r="B16" s="5">
        <v>4971660</v>
      </c>
      <c r="C16" s="6">
        <v>6.31</v>
      </c>
      <c r="D16" s="7">
        <v>3262263437</v>
      </c>
      <c r="E16" s="8">
        <v>20584.882287470002</v>
      </c>
      <c r="F16" s="7">
        <v>4993312.3849999998</v>
      </c>
      <c r="G16" s="7">
        <v>1501930.7439999999</v>
      </c>
      <c r="H16" s="8">
        <v>23166.16762547</v>
      </c>
      <c r="I16" s="6">
        <v>3.4169999999999998</v>
      </c>
      <c r="J16" s="9">
        <v>44469</v>
      </c>
      <c r="K16" s="7">
        <v>28488371.092999998</v>
      </c>
      <c r="L16" s="7">
        <v>1640831.2039999999</v>
      </c>
      <c r="M16" s="7">
        <v>38966.909</v>
      </c>
      <c r="N16" s="6">
        <v>-0.99099999999999999</v>
      </c>
      <c r="O16" s="10" t="s">
        <v>26</v>
      </c>
      <c r="P16" s="6">
        <v>213.24771882392699</v>
      </c>
      <c r="Q16" s="10" t="s">
        <v>23</v>
      </c>
      <c r="R16" s="10" t="s">
        <v>23</v>
      </c>
      <c r="S16" s="7">
        <v>-2683371.6609999998</v>
      </c>
    </row>
    <row r="17" spans="1:19" x14ac:dyDescent="0.3">
      <c r="A17" s="2" t="s">
        <v>33</v>
      </c>
      <c r="B17" s="5">
        <v>4968129</v>
      </c>
      <c r="C17" s="6">
        <v>3.95</v>
      </c>
      <c r="D17" s="7">
        <v>38095746549</v>
      </c>
      <c r="E17" s="8">
        <v>149605.47725548901</v>
      </c>
      <c r="F17" s="7">
        <v>148607219.31299999</v>
      </c>
      <c r="G17" s="7">
        <v>73947595.568000004</v>
      </c>
      <c r="H17" s="8">
        <v>281145.28419548902</v>
      </c>
      <c r="I17" s="6">
        <v>4.0149999999999997</v>
      </c>
      <c r="J17" s="9">
        <v>44561</v>
      </c>
      <c r="K17" s="7">
        <v>219309799.505</v>
      </c>
      <c r="L17" s="7">
        <v>69909637.502000004</v>
      </c>
      <c r="M17" s="7">
        <v>35605372.772</v>
      </c>
      <c r="N17" s="6">
        <v>0.70899999999999996</v>
      </c>
      <c r="O17" s="6">
        <v>5.5712270803949204</v>
      </c>
      <c r="P17" s="6">
        <v>107.658762605615</v>
      </c>
      <c r="Q17" s="10" t="s">
        <v>23</v>
      </c>
      <c r="R17" s="10" t="s">
        <v>23</v>
      </c>
      <c r="S17" s="7">
        <v>30431668.973999999</v>
      </c>
    </row>
    <row r="18" spans="1:19" x14ac:dyDescent="0.3">
      <c r="A18" s="2" t="s">
        <v>34</v>
      </c>
      <c r="B18" s="5">
        <v>5311100</v>
      </c>
      <c r="C18" s="6">
        <v>9.4725103827003405</v>
      </c>
      <c r="D18" s="7">
        <v>24755477495</v>
      </c>
      <c r="E18" s="8">
        <v>234496.51760009199</v>
      </c>
      <c r="F18" s="7">
        <v>26246840</v>
      </c>
      <c r="G18" s="7">
        <v>219590</v>
      </c>
      <c r="H18" s="8">
        <v>174789.60760009199</v>
      </c>
      <c r="I18" s="6">
        <v>5.5039999999999996</v>
      </c>
      <c r="J18" s="9">
        <v>44561</v>
      </c>
      <c r="K18" s="7">
        <v>328309145</v>
      </c>
      <c r="L18" s="7">
        <v>20683164</v>
      </c>
      <c r="M18" s="7">
        <v>17621518</v>
      </c>
      <c r="N18" s="6">
        <v>0.76</v>
      </c>
      <c r="O18" s="6">
        <v>12.4047931835991</v>
      </c>
      <c r="P18" s="6">
        <v>178.520030667209</v>
      </c>
      <c r="Q18" s="10" t="s">
        <v>23</v>
      </c>
      <c r="R18" s="10" t="s">
        <v>23</v>
      </c>
      <c r="S18" s="7">
        <v>19283235</v>
      </c>
    </row>
    <row r="20" spans="1:19" x14ac:dyDescent="0.3">
      <c r="A20" s="11" t="s">
        <v>35</v>
      </c>
      <c r="B20" s="2" t="s">
        <v>19</v>
      </c>
      <c r="C20" s="6">
        <v>3.95</v>
      </c>
      <c r="D20" s="7">
        <v>801690950</v>
      </c>
      <c r="E20" s="8">
        <v>20584.900000000001</v>
      </c>
      <c r="F20" s="7">
        <v>509765</v>
      </c>
      <c r="G20" s="7">
        <v>307194</v>
      </c>
      <c r="H20" s="8">
        <v>22773.200000000001</v>
      </c>
      <c r="I20" s="6">
        <v>1.96</v>
      </c>
      <c r="J20" s="2" t="s">
        <v>19</v>
      </c>
      <c r="K20" s="7">
        <v>28488371</v>
      </c>
      <c r="L20" s="7">
        <v>1640831</v>
      </c>
      <c r="M20" s="7">
        <v>38967</v>
      </c>
      <c r="N20" s="6">
        <v>-0.99</v>
      </c>
      <c r="O20" s="6">
        <v>5.57</v>
      </c>
      <c r="P20" s="6">
        <v>107.66</v>
      </c>
      <c r="Q20" s="10" t="s">
        <v>23</v>
      </c>
      <c r="R20" s="10" t="s">
        <v>23</v>
      </c>
      <c r="S20" s="7">
        <v>-2683372</v>
      </c>
    </row>
    <row r="21" spans="1:19" x14ac:dyDescent="0.3">
      <c r="A21" s="11" t="s">
        <v>36</v>
      </c>
      <c r="B21" s="2" t="s">
        <v>19</v>
      </c>
      <c r="C21" s="6">
        <v>24.09</v>
      </c>
      <c r="D21" s="7">
        <v>3996439877</v>
      </c>
      <c r="E21" s="8">
        <v>86209.5</v>
      </c>
      <c r="F21" s="7">
        <v>8933155</v>
      </c>
      <c r="G21" s="7">
        <v>1805571</v>
      </c>
      <c r="H21" s="8">
        <v>86002.1</v>
      </c>
      <c r="I21" s="6">
        <v>8.7799999999999994</v>
      </c>
      <c r="J21" s="2" t="s">
        <v>19</v>
      </c>
      <c r="K21" s="7">
        <v>86505098</v>
      </c>
      <c r="L21" s="7">
        <v>7087248</v>
      </c>
      <c r="M21" s="7">
        <v>5262622</v>
      </c>
      <c r="N21" s="6">
        <v>1.2</v>
      </c>
      <c r="O21" s="6">
        <v>18.239999999999998</v>
      </c>
      <c r="P21" s="6">
        <v>259.77</v>
      </c>
      <c r="Q21" s="10" t="s">
        <v>23</v>
      </c>
      <c r="R21" s="10" t="s">
        <v>23</v>
      </c>
      <c r="S21" s="7">
        <v>6045903</v>
      </c>
    </row>
    <row r="22" spans="1:19" x14ac:dyDescent="0.3">
      <c r="A22" s="11" t="s">
        <v>37</v>
      </c>
      <c r="B22" s="2" t="s">
        <v>19</v>
      </c>
      <c r="C22" s="6">
        <v>32.32</v>
      </c>
      <c r="D22" s="7">
        <v>8023784852</v>
      </c>
      <c r="E22" s="8">
        <v>116690.5</v>
      </c>
      <c r="F22" s="7">
        <v>27468035</v>
      </c>
      <c r="G22" s="7">
        <v>12411823</v>
      </c>
      <c r="H22" s="8">
        <v>127220.8</v>
      </c>
      <c r="I22" s="6">
        <v>8.8000000000000007</v>
      </c>
      <c r="J22" s="2" t="s">
        <v>19</v>
      </c>
      <c r="K22" s="7">
        <v>129835001</v>
      </c>
      <c r="L22" s="7">
        <v>15317863</v>
      </c>
      <c r="M22" s="7">
        <v>10215353</v>
      </c>
      <c r="N22" s="6">
        <v>1.68</v>
      </c>
      <c r="O22" s="6">
        <v>16.32</v>
      </c>
      <c r="P22" s="6">
        <v>360.36</v>
      </c>
      <c r="Q22" s="10" t="s">
        <v>23</v>
      </c>
      <c r="R22" s="10" t="s">
        <v>23</v>
      </c>
      <c r="S22" s="7">
        <v>8562873</v>
      </c>
    </row>
    <row r="23" spans="1:19" x14ac:dyDescent="0.3">
      <c r="A23" s="11" t="s">
        <v>38</v>
      </c>
      <c r="B23" s="2" t="s">
        <v>19</v>
      </c>
      <c r="C23" s="6">
        <v>89.36</v>
      </c>
      <c r="D23" s="7">
        <v>38095746549</v>
      </c>
      <c r="E23" s="8">
        <v>384969.2</v>
      </c>
      <c r="F23" s="7">
        <v>148607219</v>
      </c>
      <c r="G23" s="7">
        <v>73947596</v>
      </c>
      <c r="H23" s="8">
        <v>362528.3</v>
      </c>
      <c r="I23" s="6">
        <v>18.809999999999999</v>
      </c>
      <c r="J23" s="2" t="s">
        <v>19</v>
      </c>
      <c r="K23" s="7">
        <v>455115554</v>
      </c>
      <c r="L23" s="7">
        <v>69909638</v>
      </c>
      <c r="M23" s="7">
        <v>35605373</v>
      </c>
      <c r="N23" s="6">
        <v>4.9000000000000004</v>
      </c>
      <c r="O23" s="6">
        <v>28.9</v>
      </c>
      <c r="P23" s="6">
        <v>702.36</v>
      </c>
      <c r="Q23" s="10" t="s">
        <v>23</v>
      </c>
      <c r="R23" s="10" t="s">
        <v>23</v>
      </c>
      <c r="S23" s="7">
        <v>30431669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23"/>
  <sheetViews>
    <sheetView workbookViewId="0"/>
  </sheetViews>
  <sheetFormatPr baseColWidth="10" defaultColWidth="8.88671875" defaultRowHeight="14.4" x14ac:dyDescent="0.3"/>
  <cols>
    <col min="1" max="1" width="48.5546875" customWidth="1"/>
    <col min="2" max="2" width="19.33203125" customWidth="1"/>
    <col min="3" max="7" width="16.109375" customWidth="1"/>
    <col min="8" max="8" width="18" customWidth="1"/>
    <col min="9" max="13" width="16.109375" customWidth="1"/>
  </cols>
  <sheetData>
    <row r="3" spans="1:13" x14ac:dyDescent="0.3">
      <c r="A3" s="2" t="e">
        <f ca="1">SPGTable($B$8:$B$18,$C$5:$M$5,$C$6:$M$6,"Options:Curr=CNY,Mag=Standard,ConvMethod=Recommended,FilingVer=Current/Restated")</f>
        <v>#NAME?</v>
      </c>
    </row>
    <row r="4" spans="1:13" x14ac:dyDescent="0.3">
      <c r="A4" s="3" t="e">
        <f ca="1">SPGLabel(266637,267969,"","Options:Curr=CNY,Mag=Standard,ConvMethod=Recommended,FilingVer=Current/Restated")</f>
        <v>#NAME?</v>
      </c>
      <c r="B4" s="3" t="e">
        <f ca="1">SPGLabel(266637,267961,"","Options:Curr=CNY,Mag=Standard,ConvMethod=Recommended,FilingVer=Current/Restated")</f>
        <v>#NAME?</v>
      </c>
      <c r="C4" s="4" t="e">
        <f ca="1">SPGLabel(266637,274477,"LTM","Current/Restated","Options:Curr=CNY,Mag=Standard,ConvMethod=Recommended,FilingVer=Current/Restated")</f>
        <v>#NAME?</v>
      </c>
      <c r="D4" s="4" t="e">
        <f ca="1">SPGLabel(266637,274480,"LTM","Current/Restated","Options:Curr=CNY,Mag=Standard,ConvMethod=Recommended,FilingVer=Current/Restated")</f>
        <v>#NAME?</v>
      </c>
      <c r="E4" s="4" t="e">
        <f ca="1">SPGLabel(266637,274481,"LTM","Current/Restated","Options:Curr=CNY,Mag=Standard,ConvMethod=Recommended,FilingVer=Current/Restated")</f>
        <v>#NAME?</v>
      </c>
      <c r="F4" s="4" t="e">
        <f ca="1">SPGLabel(266637,274478,"LTM","Current/Restated","Options:Curr=CNY,Mag=Standard,ConvMethod=Recommended,FilingVer=Current/Restated")</f>
        <v>#NAME?</v>
      </c>
      <c r="G4" s="4" t="e">
        <f ca="1">SPGLabel(266637,274469,"LTM","Current/Restated","Options:Curr=CNY,Mag=Standard,ConvMethod=Recommended,FilingVer=Current/Restated")</f>
        <v>#NAME?</v>
      </c>
      <c r="H4" s="4" t="e">
        <f ca="1">SPGLabel(266637,306316,"LTM","Current/Restated","Options:Curr=CNY,Mag=Standard,ConvMethod=Recommended,FilingVer=Current/Restated")</f>
        <v>#NAME?</v>
      </c>
      <c r="I4" s="4" t="e">
        <f ca="1">SPGLabel(266637,274467,"LTM","Current/Restated","Options:Curr=CNY,Mag=Standard,ConvMethod=Recommended,FilingVer=Current/Restated")</f>
        <v>#NAME?</v>
      </c>
      <c r="J4" s="4" t="e">
        <f ca="1">SPGLabel(266637,274468,"LTM","Current/Restated","Options:Curr=CNY,Mag=Standard,ConvMethod=Recommended,FilingVer=Current/Restated")</f>
        <v>#NAME?</v>
      </c>
      <c r="K4" s="4" t="e">
        <f ca="1">SPGLabel(266637,298537,"LTM","Current/Restated","Options:Curr=CNY,Mag=Standard,ConvMethod=Recommended,FilingVer=Current/Restated")</f>
        <v>#NAME?</v>
      </c>
      <c r="L4" s="4" t="e">
        <f ca="1">SPGLabel(266637,298535,"LTM","Current/Restated","Options:Curr=CNY,Mag=Standard,ConvMethod=Recommended,FilingVer=Current/Restated")</f>
        <v>#NAME?</v>
      </c>
      <c r="M4" s="4" t="e">
        <f ca="1">SPGLabel(266637,298534,"LTM","Current/Restated","Options:Curr=CNY,Mag=Standard,ConvMethod=Recommended,FilingVer=Current/Restated")</f>
        <v>#NAME?</v>
      </c>
    </row>
    <row r="5" spans="1:13" ht="28.8" x14ac:dyDescent="0.3">
      <c r="A5" s="3" t="s">
        <v>0</v>
      </c>
      <c r="B5" s="3" t="s">
        <v>1</v>
      </c>
      <c r="C5" s="4" t="s">
        <v>39</v>
      </c>
      <c r="D5" s="4" t="s">
        <v>40</v>
      </c>
      <c r="E5" s="4" t="s">
        <v>41</v>
      </c>
      <c r="F5" s="4" t="s">
        <v>42</v>
      </c>
      <c r="G5" s="4" t="s">
        <v>43</v>
      </c>
      <c r="H5" s="4" t="s">
        <v>44</v>
      </c>
      <c r="I5" s="4" t="s">
        <v>45</v>
      </c>
      <c r="J5" s="4" t="s">
        <v>46</v>
      </c>
      <c r="K5" s="4" t="s">
        <v>47</v>
      </c>
      <c r="L5" s="4" t="s">
        <v>48</v>
      </c>
      <c r="M5" s="4" t="s">
        <v>49</v>
      </c>
    </row>
    <row r="6" spans="1:13" x14ac:dyDescent="0.3">
      <c r="A6" s="3" t="s">
        <v>19</v>
      </c>
      <c r="B6" s="3" t="s">
        <v>19</v>
      </c>
      <c r="C6" s="4" t="s">
        <v>20</v>
      </c>
      <c r="D6" s="4" t="s">
        <v>20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</row>
    <row r="7" spans="1:13" x14ac:dyDescent="0.3">
      <c r="A7" s="3" t="s">
        <v>19</v>
      </c>
      <c r="B7" s="3" t="s">
        <v>19</v>
      </c>
      <c r="C7" s="4" t="s">
        <v>21</v>
      </c>
      <c r="D7" s="4" t="s">
        <v>21</v>
      </c>
      <c r="E7" s="4" t="s">
        <v>21</v>
      </c>
      <c r="F7" s="4" t="s">
        <v>21</v>
      </c>
      <c r="G7" s="4" t="s">
        <v>21</v>
      </c>
      <c r="H7" s="4" t="s">
        <v>21</v>
      </c>
      <c r="I7" s="4" t="s">
        <v>21</v>
      </c>
      <c r="J7" s="4" t="s">
        <v>21</v>
      </c>
      <c r="K7" s="4" t="s">
        <v>21</v>
      </c>
      <c r="L7" s="4" t="s">
        <v>21</v>
      </c>
      <c r="M7" s="4" t="s">
        <v>21</v>
      </c>
    </row>
    <row r="8" spans="1:13" x14ac:dyDescent="0.3">
      <c r="A8" s="2" t="s">
        <v>22</v>
      </c>
      <c r="B8" s="5">
        <v>4971046</v>
      </c>
      <c r="C8" s="6">
        <v>23.297999999999998</v>
      </c>
      <c r="D8" s="6">
        <v>17.684000000000001</v>
      </c>
      <c r="E8" s="6">
        <v>13.487</v>
      </c>
      <c r="F8" s="6">
        <v>13.302</v>
      </c>
      <c r="G8" s="6">
        <v>-1.329</v>
      </c>
      <c r="H8" s="6">
        <v>-1.804</v>
      </c>
      <c r="I8" s="6">
        <v>22.907</v>
      </c>
      <c r="J8" s="6">
        <v>0.93600000000000005</v>
      </c>
      <c r="K8" s="10" t="s">
        <v>23</v>
      </c>
      <c r="L8" s="10" t="s">
        <v>23</v>
      </c>
      <c r="M8" s="10" t="s">
        <v>23</v>
      </c>
    </row>
    <row r="9" spans="1:13" x14ac:dyDescent="0.3">
      <c r="A9" s="2" t="s">
        <v>24</v>
      </c>
      <c r="B9" s="5">
        <v>4991320</v>
      </c>
      <c r="C9" s="6">
        <v>5.3330000000000002</v>
      </c>
      <c r="D9" s="6">
        <v>6.798</v>
      </c>
      <c r="E9" s="6">
        <v>5.3330000000000002</v>
      </c>
      <c r="F9" s="6">
        <v>4.5890000000000004</v>
      </c>
      <c r="G9" s="6">
        <v>66.599000000000004</v>
      </c>
      <c r="H9" s="6">
        <v>4.9260000000000002</v>
      </c>
      <c r="I9" s="6">
        <v>38.906999999999996</v>
      </c>
      <c r="J9" s="6">
        <v>2.601</v>
      </c>
      <c r="K9" s="10" t="s">
        <v>23</v>
      </c>
      <c r="L9" s="10" t="s">
        <v>23</v>
      </c>
      <c r="M9" s="10" t="s">
        <v>23</v>
      </c>
    </row>
    <row r="10" spans="1:13" x14ac:dyDescent="0.3">
      <c r="A10" s="2" t="s">
        <v>25</v>
      </c>
      <c r="B10" s="5">
        <v>4329903</v>
      </c>
      <c r="C10" s="6">
        <v>16.827999999999999</v>
      </c>
      <c r="D10" s="6">
        <v>5.851</v>
      </c>
      <c r="E10" s="6">
        <v>4.5810000000000004</v>
      </c>
      <c r="F10" s="6">
        <v>2.6619999999999999</v>
      </c>
      <c r="G10" s="6">
        <v>26.687999999999999</v>
      </c>
      <c r="H10" s="6">
        <v>58.094999999999999</v>
      </c>
      <c r="I10" s="6">
        <v>46.679000000000002</v>
      </c>
      <c r="J10" s="6">
        <v>0.98599999999999999</v>
      </c>
      <c r="K10" s="10" t="s">
        <v>23</v>
      </c>
      <c r="L10" s="10" t="s">
        <v>23</v>
      </c>
      <c r="M10" s="10" t="s">
        <v>23</v>
      </c>
    </row>
    <row r="11" spans="1:13" x14ac:dyDescent="0.3">
      <c r="A11" s="2" t="s">
        <v>27</v>
      </c>
      <c r="B11" s="5">
        <v>4264179</v>
      </c>
      <c r="C11" s="6">
        <v>34.529000000000003</v>
      </c>
      <c r="D11" s="6">
        <v>6.5869999999999997</v>
      </c>
      <c r="E11" s="6">
        <v>4.7750000000000004</v>
      </c>
      <c r="F11" s="6">
        <v>5.9489999999999998</v>
      </c>
      <c r="G11" s="6">
        <v>12.884</v>
      </c>
      <c r="H11" s="6">
        <v>19.317</v>
      </c>
      <c r="I11" s="6">
        <v>43.374000000000002</v>
      </c>
      <c r="J11" s="6">
        <v>5.1349999999999998</v>
      </c>
      <c r="K11" s="10" t="s">
        <v>23</v>
      </c>
      <c r="L11" s="10" t="s">
        <v>23</v>
      </c>
      <c r="M11" s="10" t="s">
        <v>23</v>
      </c>
    </row>
    <row r="12" spans="1:13" x14ac:dyDescent="0.3">
      <c r="A12" s="2" t="s">
        <v>28</v>
      </c>
      <c r="B12" s="5">
        <v>4972031</v>
      </c>
      <c r="C12" s="6">
        <v>43.274000000000001</v>
      </c>
      <c r="D12" s="6">
        <v>21.768999999999998</v>
      </c>
      <c r="E12" s="6">
        <v>20.925000000000001</v>
      </c>
      <c r="F12" s="6">
        <v>20.148</v>
      </c>
      <c r="G12" s="6">
        <v>23.346</v>
      </c>
      <c r="H12" s="6">
        <v>9.1379999999999999</v>
      </c>
      <c r="I12" s="6">
        <v>12.500999999999999</v>
      </c>
      <c r="J12" s="6">
        <v>0.52600000000000002</v>
      </c>
      <c r="K12" s="10" t="s">
        <v>23</v>
      </c>
      <c r="L12" s="10" t="s">
        <v>23</v>
      </c>
      <c r="M12" s="10" t="s">
        <v>23</v>
      </c>
    </row>
    <row r="13" spans="1:13" x14ac:dyDescent="0.3">
      <c r="A13" s="2" t="s">
        <v>29</v>
      </c>
      <c r="B13" s="5">
        <v>9475453</v>
      </c>
      <c r="C13" s="6">
        <v>9.5500000000000007</v>
      </c>
      <c r="D13" s="6">
        <v>9.7889999999999997</v>
      </c>
      <c r="E13" s="6">
        <v>9.5500000000000007</v>
      </c>
      <c r="F13" s="6">
        <v>7.9669999999999996</v>
      </c>
      <c r="G13" s="6">
        <v>30.327999999999999</v>
      </c>
      <c r="H13" s="6">
        <v>35.781999999999996</v>
      </c>
      <c r="I13" s="6">
        <v>12.16</v>
      </c>
      <c r="J13" s="6">
        <v>0.37</v>
      </c>
      <c r="K13" s="10" t="s">
        <v>23</v>
      </c>
      <c r="L13" s="10" t="s">
        <v>23</v>
      </c>
      <c r="M13" s="10" t="s">
        <v>23</v>
      </c>
    </row>
    <row r="14" spans="1:13" x14ac:dyDescent="0.3">
      <c r="A14" s="2" t="s">
        <v>30</v>
      </c>
      <c r="B14" s="5">
        <v>4968455</v>
      </c>
      <c r="C14" s="6">
        <v>10.446999999999999</v>
      </c>
      <c r="D14" s="6">
        <v>2.931</v>
      </c>
      <c r="E14" s="6">
        <v>2.6139999999999999</v>
      </c>
      <c r="F14" s="6">
        <v>2.9870000000000001</v>
      </c>
      <c r="G14" s="6">
        <v>6.3609999999999998</v>
      </c>
      <c r="H14" s="6">
        <v>-0.84399999999999997</v>
      </c>
      <c r="I14" s="6">
        <v>34.356999999999999</v>
      </c>
      <c r="J14" s="6">
        <v>4.093</v>
      </c>
      <c r="K14" s="10" t="s">
        <v>23</v>
      </c>
      <c r="L14" s="10" t="s">
        <v>23</v>
      </c>
      <c r="M14" s="10" t="s">
        <v>23</v>
      </c>
    </row>
    <row r="15" spans="1:13" x14ac:dyDescent="0.3">
      <c r="A15" s="2" t="s">
        <v>31</v>
      </c>
      <c r="B15" s="5">
        <v>4971259</v>
      </c>
      <c r="C15" s="6">
        <v>6.77</v>
      </c>
      <c r="D15" s="6">
        <v>4.1189999999999998</v>
      </c>
      <c r="E15" s="6">
        <v>1.587</v>
      </c>
      <c r="F15" s="6">
        <v>2.5939999999999999</v>
      </c>
      <c r="G15" s="6">
        <v>21.794</v>
      </c>
      <c r="H15" s="6">
        <v>-51.478999999999999</v>
      </c>
      <c r="I15" s="6">
        <v>2.0779999999999998</v>
      </c>
      <c r="J15" s="6">
        <v>0.129</v>
      </c>
      <c r="K15" s="10" t="s">
        <v>23</v>
      </c>
      <c r="L15" s="10" t="s">
        <v>23</v>
      </c>
      <c r="M15" s="10" t="s">
        <v>23</v>
      </c>
    </row>
    <row r="16" spans="1:13" x14ac:dyDescent="0.3">
      <c r="A16" s="2" t="s">
        <v>32</v>
      </c>
      <c r="B16" s="5">
        <v>4971660</v>
      </c>
      <c r="C16" s="6">
        <v>10.948</v>
      </c>
      <c r="D16" s="6">
        <v>5.76</v>
      </c>
      <c r="E16" s="6">
        <v>0.13700000000000001</v>
      </c>
      <c r="F16" s="6">
        <v>-9.5609999999999999</v>
      </c>
      <c r="G16" s="6">
        <v>-44.292999999999999</v>
      </c>
      <c r="H16" s="6">
        <v>-63.165999999999997</v>
      </c>
      <c r="I16" s="6">
        <v>28.300999999999998</v>
      </c>
      <c r="J16" s="6">
        <v>3.0430000000000001</v>
      </c>
      <c r="K16" s="10" t="s">
        <v>23</v>
      </c>
      <c r="L16" s="10" t="s">
        <v>23</v>
      </c>
      <c r="M16" s="10" t="s">
        <v>23</v>
      </c>
    </row>
    <row r="17" spans="1:13" x14ac:dyDescent="0.3">
      <c r="A17" s="2" t="s">
        <v>33</v>
      </c>
      <c r="B17" s="5">
        <v>4968129</v>
      </c>
      <c r="C17" s="6">
        <v>27.263999999999999</v>
      </c>
      <c r="D17" s="6">
        <v>31.876999999999999</v>
      </c>
      <c r="E17" s="6">
        <v>16.234999999999999</v>
      </c>
      <c r="F17" s="6">
        <v>11.778</v>
      </c>
      <c r="G17" s="6">
        <v>61.789000000000001</v>
      </c>
      <c r="H17" s="6">
        <v>144.18899999999999</v>
      </c>
      <c r="I17" s="6">
        <v>40.661000000000001</v>
      </c>
      <c r="J17" s="6">
        <v>2.1219999999999999</v>
      </c>
      <c r="K17" s="10" t="s">
        <v>23</v>
      </c>
      <c r="L17" s="10" t="s">
        <v>23</v>
      </c>
      <c r="M17" s="10" t="s">
        <v>23</v>
      </c>
    </row>
    <row r="18" spans="1:13" x14ac:dyDescent="0.3">
      <c r="A18" s="2" t="s">
        <v>34</v>
      </c>
      <c r="B18" s="5">
        <v>5311100</v>
      </c>
      <c r="C18" s="6">
        <v>17.745999999999999</v>
      </c>
      <c r="D18" s="6">
        <v>6.3</v>
      </c>
      <c r="E18" s="6">
        <v>5.367</v>
      </c>
      <c r="F18" s="6">
        <v>5.891</v>
      </c>
      <c r="G18" s="6">
        <v>33.531999999999996</v>
      </c>
      <c r="H18" s="6">
        <v>100.33499999999999</v>
      </c>
      <c r="I18" s="6">
        <v>16.036000000000001</v>
      </c>
      <c r="J18" s="6">
        <v>1.2689999999999999</v>
      </c>
      <c r="K18" s="10" t="s">
        <v>23</v>
      </c>
      <c r="L18" s="10" t="s">
        <v>23</v>
      </c>
      <c r="M18" s="10" t="s">
        <v>23</v>
      </c>
    </row>
    <row r="20" spans="1:13" x14ac:dyDescent="0.3">
      <c r="A20" s="11" t="s">
        <v>35</v>
      </c>
      <c r="B20" s="2" t="s">
        <v>19</v>
      </c>
      <c r="C20" s="6">
        <v>5.33</v>
      </c>
      <c r="D20" s="6">
        <v>2.93</v>
      </c>
      <c r="E20" s="6">
        <v>0.14000000000000001</v>
      </c>
      <c r="F20" s="6">
        <v>-9.56</v>
      </c>
      <c r="G20" s="6">
        <v>-44.29</v>
      </c>
      <c r="H20" s="6">
        <v>-63.17</v>
      </c>
      <c r="I20" s="6">
        <v>2.08</v>
      </c>
      <c r="J20" s="6">
        <v>0.13</v>
      </c>
      <c r="K20" s="10" t="s">
        <v>23</v>
      </c>
      <c r="L20" s="10" t="s">
        <v>23</v>
      </c>
      <c r="M20" s="10" t="s">
        <v>23</v>
      </c>
    </row>
    <row r="21" spans="1:13" x14ac:dyDescent="0.3">
      <c r="A21" s="11" t="s">
        <v>36</v>
      </c>
      <c r="B21" s="2" t="s">
        <v>19</v>
      </c>
      <c r="C21" s="6">
        <v>13.89</v>
      </c>
      <c r="D21" s="6">
        <v>6.69</v>
      </c>
      <c r="E21" s="6">
        <v>5.05</v>
      </c>
      <c r="F21" s="6">
        <v>5.27</v>
      </c>
      <c r="G21" s="6">
        <v>22.57</v>
      </c>
      <c r="H21" s="6">
        <v>7.03</v>
      </c>
      <c r="I21" s="6">
        <v>31.33</v>
      </c>
      <c r="J21" s="6">
        <v>1.55</v>
      </c>
      <c r="K21" s="10" t="s">
        <v>23</v>
      </c>
      <c r="L21" s="10" t="s">
        <v>23</v>
      </c>
      <c r="M21" s="10" t="s">
        <v>23</v>
      </c>
    </row>
    <row r="22" spans="1:13" x14ac:dyDescent="0.3">
      <c r="A22" s="11" t="s">
        <v>37</v>
      </c>
      <c r="B22" s="2" t="s">
        <v>19</v>
      </c>
      <c r="C22" s="6">
        <v>18.82</v>
      </c>
      <c r="D22" s="6">
        <v>11.32</v>
      </c>
      <c r="E22" s="6">
        <v>7.92</v>
      </c>
      <c r="F22" s="6">
        <v>6.24</v>
      </c>
      <c r="G22" s="6">
        <v>20.420000000000002</v>
      </c>
      <c r="H22" s="6">
        <v>15.42</v>
      </c>
      <c r="I22" s="6">
        <v>28.19</v>
      </c>
      <c r="J22" s="6">
        <v>2</v>
      </c>
      <c r="K22" s="10" t="s">
        <v>23</v>
      </c>
      <c r="L22" s="10" t="s">
        <v>23</v>
      </c>
      <c r="M22" s="10" t="s">
        <v>23</v>
      </c>
    </row>
    <row r="23" spans="1:13" x14ac:dyDescent="0.3">
      <c r="A23" s="11" t="s">
        <v>38</v>
      </c>
      <c r="B23" s="2" t="s">
        <v>19</v>
      </c>
      <c r="C23" s="6">
        <v>43.27</v>
      </c>
      <c r="D23" s="6">
        <v>31.88</v>
      </c>
      <c r="E23" s="6">
        <v>20.93</v>
      </c>
      <c r="F23" s="6">
        <v>20.149999999999999</v>
      </c>
      <c r="G23" s="6">
        <v>66.599999999999994</v>
      </c>
      <c r="H23" s="6">
        <v>144.19</v>
      </c>
      <c r="I23" s="6">
        <v>46.68</v>
      </c>
      <c r="J23" s="6">
        <v>5.14</v>
      </c>
      <c r="K23" s="10" t="s">
        <v>23</v>
      </c>
      <c r="L23" s="10" t="s">
        <v>23</v>
      </c>
      <c r="M23" s="10" t="s">
        <v>23</v>
      </c>
    </row>
  </sheetData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23"/>
  <sheetViews>
    <sheetView workbookViewId="0"/>
  </sheetViews>
  <sheetFormatPr baseColWidth="10" defaultColWidth="8.88671875" defaultRowHeight="14.4" x14ac:dyDescent="0.3"/>
  <cols>
    <col min="1" max="1" width="48.5546875" customWidth="1"/>
    <col min="2" max="2" width="19.33203125" customWidth="1"/>
    <col min="3" max="3" width="21.109375" customWidth="1"/>
    <col min="4" max="4" width="22.44140625" customWidth="1"/>
    <col min="5" max="8" width="21.109375" customWidth="1"/>
    <col min="9" max="9" width="16.109375" customWidth="1"/>
    <col min="10" max="10" width="29.44140625" customWidth="1"/>
    <col min="11" max="12" width="21.109375" customWidth="1"/>
    <col min="13" max="13" width="29.44140625" customWidth="1"/>
  </cols>
  <sheetData>
    <row r="3" spans="1:13" x14ac:dyDescent="0.3">
      <c r="A3" s="2" t="e">
        <f ca="1">SPGTable($B$8:$B$18,$C$5:$M$5,$C$6:$M$6,"Options:Curr=CNY,Mag=Standard,ConvMethod=Recommended,FilingVer=Current/Restated")</f>
        <v>#NAME?</v>
      </c>
    </row>
    <row r="4" spans="1:13" x14ac:dyDescent="0.3">
      <c r="A4" s="3" t="e">
        <f ca="1">SPGLabel(266637,267969,"","Options:Curr=CNY,Mag=Standard,ConvMethod=Recommended,FilingVer=Current/Restated")</f>
        <v>#NAME?</v>
      </c>
      <c r="B4" s="3" t="e">
        <f ca="1">SPGLabel(266637,267961,"","Options:Curr=CNY,Mag=Standard,ConvMethod=Recommended,FilingVer=Current/Restated")</f>
        <v>#NAME?</v>
      </c>
      <c r="C4" s="4" t="e">
        <f ca="1">SPGLabel(266637,329262,"","Options:Curr=CNY,Mag=Standard,ConvMethod=Recommended,FilingVer=Current/Restated")</f>
        <v>#NAME?</v>
      </c>
      <c r="D4" s="4" t="e">
        <f ca="1">SPGLabel(266637,328546,"","Options:Curr=CNY,Mag=Standard,ConvMethod=Recommended,FilingVer=Current/Restated")</f>
        <v>#NAME?</v>
      </c>
      <c r="E4" s="4" t="e">
        <f ca="1">SPGLabel(266637,328549,"","Options:Curr=CNY,Mag=Standard,ConvMethod=Recommended,FilingVer=Current/Restated")</f>
        <v>#NAME?</v>
      </c>
      <c r="F4" s="4" t="e">
        <f ca="1">SPGLabel(266637,329310,"","Options:Curr=CNY,Mag=Standard,ConvMethod=Recommended,FilingVer=Current/Restated")</f>
        <v>#NAME?</v>
      </c>
      <c r="G4" s="4" t="e">
        <f ca="1">SPGLabel(266637,328499,"","Options:Curr=CNY,Mag=Standard,ConvMethod=Recommended,FilingVer=Current/Restated")</f>
        <v>#NAME?</v>
      </c>
      <c r="H4" s="4" t="e">
        <f ca="1">SPGLabel(266637,290890,"NTM","Options:Curr=CNY,Mag=Standard,ConvMethod=Recommended,FilingVer=Current/Restated")</f>
        <v>#NAME?</v>
      </c>
      <c r="I4" s="4" t="e">
        <f ca="1">SPGLabel(266637,290896,"","Options:Curr=CNY,Mag=Standard,ConvMethod=Recommended,FilingVer=Current/Restated")</f>
        <v>#NAME?</v>
      </c>
      <c r="J4" s="4" t="e">
        <f ca="1">SPGLabel(266637,317678,"NTM","Options:Curr=CNY,Mag=Standard,ConvMethod=Recommended,FilingVer=Current/Restated")</f>
        <v>#NAME?</v>
      </c>
      <c r="K4" s="4" t="e">
        <f ca="1">SPGLabel(266637,317682,"NTM","Options:Curr=CNY,Mag=Standard,ConvMethod=Recommended,FilingVer=Current/Restated")</f>
        <v>#NAME?</v>
      </c>
      <c r="L4" s="4" t="e">
        <f ca="1">SPGLabel(266637,317683,"NTM","Options:Curr=CNY,Mag=Standard,ConvMethod=Recommended,FilingVer=Current/Restated")</f>
        <v>#NAME?</v>
      </c>
      <c r="M4" s="4" t="e">
        <f ca="1">SPGLabel(266637,317681,"FY0","Options:Curr=CNY,Mag=Standard,ConvMethod=Recommended,FilingVer=Current/Restated")</f>
        <v>#NAME?</v>
      </c>
    </row>
    <row r="5" spans="1:13" x14ac:dyDescent="0.3">
      <c r="A5" s="3" t="s">
        <v>0</v>
      </c>
      <c r="B5" s="3" t="s">
        <v>1</v>
      </c>
      <c r="C5" s="4" t="s">
        <v>50</v>
      </c>
      <c r="D5" s="4" t="s">
        <v>51</v>
      </c>
      <c r="E5" s="4" t="s">
        <v>52</v>
      </c>
      <c r="F5" s="4" t="s">
        <v>53</v>
      </c>
      <c r="G5" s="4" t="s">
        <v>54</v>
      </c>
      <c r="H5" s="4" t="s">
        <v>55</v>
      </c>
      <c r="I5" s="4" t="s">
        <v>56</v>
      </c>
      <c r="J5" s="4" t="s">
        <v>57</v>
      </c>
      <c r="K5" s="4" t="s">
        <v>58</v>
      </c>
      <c r="L5" s="4" t="s">
        <v>59</v>
      </c>
      <c r="M5" s="4" t="s">
        <v>60</v>
      </c>
    </row>
    <row r="6" spans="1:13" x14ac:dyDescent="0.3">
      <c r="A6" s="3" t="s">
        <v>19</v>
      </c>
      <c r="B6" s="3" t="s">
        <v>19</v>
      </c>
      <c r="C6" s="4" t="s">
        <v>19</v>
      </c>
      <c r="D6" s="4" t="s">
        <v>19</v>
      </c>
      <c r="E6" s="4" t="s">
        <v>19</v>
      </c>
      <c r="F6" s="4" t="s">
        <v>19</v>
      </c>
      <c r="G6" s="4" t="s">
        <v>19</v>
      </c>
      <c r="H6" s="4" t="e">
        <f ca="1">SPGLabel(266637,290890,"&lt;&gt;NTM","Options:Curr=CNY,Mag=Standard,ConvMethod=Recommended,FilingVer=Current/Restated")</f>
        <v>#NAME?</v>
      </c>
      <c r="I6" s="4" t="s">
        <v>19</v>
      </c>
      <c r="J6" s="4" t="e">
        <f ca="1">SPGLabel(266637,317678,"&lt;&gt;NTM","Options:Curr=CNY,Mag=Standard,ConvMethod=Recommended,FilingVer=Current/Restated")</f>
        <v>#NAME?</v>
      </c>
      <c r="K6" s="4" t="e">
        <f ca="1">SPGLabel(266637,317682,"&lt;&gt;NTM","Options:Curr=CNY,Mag=Standard,ConvMethod=Recommended,FilingVer=Current/Restated")</f>
        <v>#NAME?</v>
      </c>
      <c r="L6" s="4" t="e">
        <f ca="1">SPGLabel(266637,317683,"&lt;&gt;NTM","Options:Curr=CNY,Mag=Standard,ConvMethod=Recommended,FilingVer=Current/Restated")</f>
        <v>#NAME?</v>
      </c>
      <c r="M6" s="4" t="s">
        <v>61</v>
      </c>
    </row>
    <row r="7" spans="1:13" x14ac:dyDescent="0.3">
      <c r="A7" s="3" t="s">
        <v>19</v>
      </c>
      <c r="B7" s="3" t="s">
        <v>19</v>
      </c>
      <c r="C7" s="4" t="s">
        <v>19</v>
      </c>
      <c r="D7" s="4" t="s">
        <v>19</v>
      </c>
      <c r="E7" s="4" t="s">
        <v>19</v>
      </c>
      <c r="F7" s="4" t="s">
        <v>19</v>
      </c>
      <c r="G7" s="4" t="s">
        <v>19</v>
      </c>
      <c r="H7" s="4" t="s">
        <v>19</v>
      </c>
      <c r="I7" s="4" t="s">
        <v>19</v>
      </c>
      <c r="J7" s="4" t="s">
        <v>19</v>
      </c>
      <c r="K7" s="4" t="s">
        <v>19</v>
      </c>
      <c r="L7" s="4" t="s">
        <v>19</v>
      </c>
      <c r="M7" s="4" t="s">
        <v>19</v>
      </c>
    </row>
    <row r="8" spans="1:13" x14ac:dyDescent="0.3">
      <c r="A8" s="2" t="s">
        <v>22</v>
      </c>
      <c r="B8" s="5">
        <v>4971046</v>
      </c>
      <c r="C8" s="6">
        <v>12.993609807031801</v>
      </c>
      <c r="D8" s="6">
        <v>2.3044369009427199</v>
      </c>
      <c r="E8" s="6">
        <v>17.022655946807401</v>
      </c>
      <c r="F8" s="6">
        <v>19.027727108595201</v>
      </c>
      <c r="G8" s="6">
        <v>4.6814575222927903</v>
      </c>
      <c r="H8" s="10" t="s">
        <v>23</v>
      </c>
      <c r="I8" s="10" t="s">
        <v>23</v>
      </c>
      <c r="J8" s="10" t="s">
        <v>23</v>
      </c>
      <c r="K8" s="6">
        <v>10.508392241026399</v>
      </c>
      <c r="L8" s="10" t="s">
        <v>23</v>
      </c>
      <c r="M8" s="8">
        <v>10.281257946767999</v>
      </c>
    </row>
    <row r="9" spans="1:13" x14ac:dyDescent="0.3">
      <c r="A9" s="2" t="s">
        <v>24</v>
      </c>
      <c r="B9" s="5">
        <v>4991320</v>
      </c>
      <c r="C9" s="6">
        <v>21.5353830204077</v>
      </c>
      <c r="D9" s="6">
        <v>1.4638996670969999</v>
      </c>
      <c r="E9" s="6">
        <v>27.450165985153902</v>
      </c>
      <c r="F9" s="6">
        <v>28.900990099009899</v>
      </c>
      <c r="G9" s="6">
        <v>7.0235803657362901</v>
      </c>
      <c r="H9" s="8">
        <v>19.883248074001902</v>
      </c>
      <c r="I9" s="10" t="s">
        <v>23</v>
      </c>
      <c r="J9" s="6">
        <v>1.1685075585494999</v>
      </c>
      <c r="K9" s="6">
        <v>14.0739381998601</v>
      </c>
      <c r="L9" s="6">
        <v>18.943958066998398</v>
      </c>
      <c r="M9" s="8">
        <v>6.9927884427568001</v>
      </c>
    </row>
    <row r="10" spans="1:13" x14ac:dyDescent="0.3">
      <c r="A10" s="2" t="s">
        <v>25</v>
      </c>
      <c r="B10" s="5">
        <v>4329903</v>
      </c>
      <c r="C10" s="6">
        <v>3.11349921233648</v>
      </c>
      <c r="D10" s="6">
        <v>0.18724234061416101</v>
      </c>
      <c r="E10" s="6">
        <v>4.1031895253841801</v>
      </c>
      <c r="F10" s="6">
        <v>7.1355551220211604</v>
      </c>
      <c r="G10" s="10" t="s">
        <v>26</v>
      </c>
      <c r="H10" s="8">
        <v>6.9069788437391004</v>
      </c>
      <c r="I10" s="10" t="s">
        <v>23</v>
      </c>
      <c r="J10" s="6">
        <v>0.18431056322719999</v>
      </c>
      <c r="K10" s="6">
        <v>3.0976049031097999</v>
      </c>
      <c r="L10" s="6">
        <v>4.6749892175243</v>
      </c>
      <c r="M10" s="8">
        <v>3.4699462922358002</v>
      </c>
    </row>
    <row r="11" spans="1:13" x14ac:dyDescent="0.3">
      <c r="A11" s="2" t="s">
        <v>27</v>
      </c>
      <c r="B11" s="5">
        <v>4264179</v>
      </c>
      <c r="C11" s="6">
        <v>10.913739061072601</v>
      </c>
      <c r="D11" s="6">
        <v>0.75749927039751597</v>
      </c>
      <c r="E11" s="6">
        <v>15.864681129678999</v>
      </c>
      <c r="F11" s="6">
        <v>14.843324250681199</v>
      </c>
      <c r="G11" s="6">
        <v>2.15316205533597</v>
      </c>
      <c r="H11" s="10" t="s">
        <v>23</v>
      </c>
      <c r="I11" s="10" t="s">
        <v>23</v>
      </c>
      <c r="J11" s="6">
        <v>0.67288698245930001</v>
      </c>
      <c r="K11" s="6">
        <v>6.5710773593068001</v>
      </c>
      <c r="L11" s="6">
        <v>9.0442114733733003</v>
      </c>
      <c r="M11" s="10" t="s">
        <v>23</v>
      </c>
    </row>
    <row r="12" spans="1:13" x14ac:dyDescent="0.3">
      <c r="A12" s="2" t="s">
        <v>28</v>
      </c>
      <c r="B12" s="5">
        <v>4972031</v>
      </c>
      <c r="C12" s="6">
        <v>18.0110721957839</v>
      </c>
      <c r="D12" s="6">
        <v>4.31821791476019</v>
      </c>
      <c r="E12" s="6">
        <v>19.031856552301502</v>
      </c>
      <c r="F12" s="6">
        <v>22.423076923076898</v>
      </c>
      <c r="G12" s="6">
        <v>5.8576144682072604</v>
      </c>
      <c r="H12" s="8">
        <v>20.673549406794301</v>
      </c>
      <c r="I12" s="10" t="s">
        <v>23</v>
      </c>
      <c r="J12" s="6">
        <v>3.7971787062845999</v>
      </c>
      <c r="K12" s="6">
        <v>16.046248370109499</v>
      </c>
      <c r="L12" s="6">
        <v>16.339536835325202</v>
      </c>
      <c r="M12" s="8">
        <v>7.0940350281931002</v>
      </c>
    </row>
    <row r="13" spans="1:13" x14ac:dyDescent="0.3">
      <c r="A13" s="2" t="s">
        <v>29</v>
      </c>
      <c r="B13" s="5">
        <v>9475453</v>
      </c>
      <c r="C13" s="6">
        <v>12.2183677698096</v>
      </c>
      <c r="D13" s="6">
        <v>1.1960687706211399</v>
      </c>
      <c r="E13" s="6">
        <v>12.5241401153207</v>
      </c>
      <c r="F13" s="6">
        <v>18.236734693877601</v>
      </c>
      <c r="G13" s="6">
        <v>5.8037279989608397</v>
      </c>
      <c r="H13" s="8">
        <v>15.6271313301599</v>
      </c>
      <c r="I13" s="10" t="s">
        <v>23</v>
      </c>
      <c r="J13" s="6">
        <v>0.97350782798479996</v>
      </c>
      <c r="K13" s="6">
        <v>10.753874292930799</v>
      </c>
      <c r="L13" s="6">
        <v>10.811493931701101</v>
      </c>
      <c r="M13" s="8">
        <v>7.7108258635561997</v>
      </c>
    </row>
    <row r="14" spans="1:13" x14ac:dyDescent="0.3">
      <c r="A14" s="2" t="s">
        <v>30</v>
      </c>
      <c r="B14" s="5">
        <v>4968455</v>
      </c>
      <c r="C14" s="6">
        <v>19.7048846868475</v>
      </c>
      <c r="D14" s="6">
        <v>0.58499282051269896</v>
      </c>
      <c r="E14" s="6">
        <v>22.382989832913399</v>
      </c>
      <c r="F14" s="6">
        <v>19.2695398100803</v>
      </c>
      <c r="G14" s="6">
        <v>2.5977351058591802</v>
      </c>
      <c r="H14" s="8">
        <v>12.3730814639906</v>
      </c>
      <c r="I14" s="10" t="s">
        <v>23</v>
      </c>
      <c r="J14" s="6">
        <v>0.50008163806039996</v>
      </c>
      <c r="K14" s="6">
        <v>12.536073642767199</v>
      </c>
      <c r="L14" s="6">
        <v>14.0282224781857</v>
      </c>
      <c r="M14" s="10" t="s">
        <v>23</v>
      </c>
    </row>
    <row r="15" spans="1:13" x14ac:dyDescent="0.3">
      <c r="A15" s="2" t="s">
        <v>31</v>
      </c>
      <c r="B15" s="5">
        <v>4971259</v>
      </c>
      <c r="C15" s="6">
        <v>5.7098660101229202</v>
      </c>
      <c r="D15" s="6">
        <v>0.25429558177588402</v>
      </c>
      <c r="E15" s="6">
        <v>16.0263109513843</v>
      </c>
      <c r="F15" s="6">
        <v>11.497125389677199</v>
      </c>
      <c r="G15" s="6">
        <v>1.1055965404277299</v>
      </c>
      <c r="H15" s="8">
        <v>7.3842681398697003</v>
      </c>
      <c r="I15" s="10" t="s">
        <v>23</v>
      </c>
      <c r="J15" s="10" t="s">
        <v>23</v>
      </c>
      <c r="K15" s="6">
        <v>3.7231366359531002</v>
      </c>
      <c r="L15" s="6">
        <v>8.6727815211675008</v>
      </c>
      <c r="M15" s="8">
        <v>3.7439839615384001</v>
      </c>
    </row>
    <row r="16" spans="1:13" x14ac:dyDescent="0.3">
      <c r="A16" s="2" t="s">
        <v>32</v>
      </c>
      <c r="B16" s="5">
        <v>4971660</v>
      </c>
      <c r="C16" s="6">
        <v>14.1185562347887</v>
      </c>
      <c r="D16" s="6">
        <v>0.813179790092044</v>
      </c>
      <c r="E16" s="10" t="s">
        <v>26</v>
      </c>
      <c r="F16" s="10" t="s">
        <v>26</v>
      </c>
      <c r="G16" s="6">
        <v>2.1324771882392701</v>
      </c>
      <c r="H16" s="10" t="s">
        <v>23</v>
      </c>
      <c r="I16" s="10" t="s">
        <v>23</v>
      </c>
      <c r="J16" s="6">
        <v>0.79253311890110001</v>
      </c>
      <c r="K16" s="6">
        <v>8.1508506647209007</v>
      </c>
      <c r="L16" s="6">
        <v>20.942588311496799</v>
      </c>
      <c r="M16" s="8">
        <v>2.6485573841629999</v>
      </c>
    </row>
    <row r="17" spans="1:13" x14ac:dyDescent="0.3">
      <c r="A17" s="2" t="s">
        <v>33</v>
      </c>
      <c r="B17" s="5">
        <v>4968129</v>
      </c>
      <c r="C17" s="6">
        <v>4.0152101182634601</v>
      </c>
      <c r="D17" s="6">
        <v>1.2818939430037599</v>
      </c>
      <c r="E17" s="6">
        <v>7.8957719506846598</v>
      </c>
      <c r="F17" s="6">
        <v>5.5712270803949204</v>
      </c>
      <c r="G17" s="6">
        <v>1.07658762605615</v>
      </c>
      <c r="H17" s="8">
        <v>7.1805876526906998</v>
      </c>
      <c r="I17" s="10" t="s">
        <v>23</v>
      </c>
      <c r="J17" s="6">
        <v>1.3764074643537001</v>
      </c>
      <c r="K17" s="6">
        <v>4.4978451885580002</v>
      </c>
      <c r="L17" s="6">
        <v>9.9840516906127004</v>
      </c>
      <c r="M17" s="8">
        <v>2.1851423910826999</v>
      </c>
    </row>
    <row r="18" spans="1:13" x14ac:dyDescent="0.3">
      <c r="A18" s="2" t="s">
        <v>34</v>
      </c>
      <c r="B18" s="5">
        <v>5311100</v>
      </c>
      <c r="C18" s="6">
        <v>8.2869273243519697</v>
      </c>
      <c r="D18" s="6">
        <v>0.529010209721404</v>
      </c>
      <c r="E18" s="6">
        <v>9.7046120083218899</v>
      </c>
      <c r="F18" s="6">
        <v>12.4047931835991</v>
      </c>
      <c r="G18" s="6">
        <v>1.7852003066720901</v>
      </c>
      <c r="H18" s="8">
        <v>13.7364615106654</v>
      </c>
      <c r="I18" s="10" t="s">
        <v>23</v>
      </c>
      <c r="J18" s="6">
        <v>0.62729584021469997</v>
      </c>
      <c r="K18" s="6">
        <v>8.2403537268359006</v>
      </c>
      <c r="L18" s="6">
        <v>9.8294313629656003</v>
      </c>
      <c r="M18" s="8">
        <v>5.1159286935554</v>
      </c>
    </row>
    <row r="20" spans="1:13" x14ac:dyDescent="0.3">
      <c r="A20" s="11" t="s">
        <v>35</v>
      </c>
      <c r="B20" s="2" t="s">
        <v>19</v>
      </c>
      <c r="C20" s="6">
        <v>3.11</v>
      </c>
      <c r="D20" s="6">
        <v>0.19</v>
      </c>
      <c r="E20" s="6">
        <v>4.0999999999999996</v>
      </c>
      <c r="F20" s="6">
        <v>5.57</v>
      </c>
      <c r="G20" s="6">
        <v>1.08</v>
      </c>
      <c r="H20" s="8">
        <v>6.9</v>
      </c>
      <c r="I20" s="10" t="s">
        <v>23</v>
      </c>
      <c r="J20" s="6">
        <v>0.18</v>
      </c>
      <c r="K20" s="6">
        <v>3.1</v>
      </c>
      <c r="L20" s="6">
        <v>4.67</v>
      </c>
      <c r="M20" s="8">
        <v>2.2000000000000002</v>
      </c>
    </row>
    <row r="21" spans="1:13" x14ac:dyDescent="0.3">
      <c r="A21" s="11" t="s">
        <v>36</v>
      </c>
      <c r="B21" s="2" t="s">
        <v>19</v>
      </c>
      <c r="C21" s="6">
        <v>12.61</v>
      </c>
      <c r="D21" s="6">
        <v>1</v>
      </c>
      <c r="E21" s="6">
        <v>16.03</v>
      </c>
      <c r="F21" s="6">
        <v>18.239999999999998</v>
      </c>
      <c r="G21" s="6">
        <v>2.6</v>
      </c>
      <c r="H21" s="8">
        <v>12.4</v>
      </c>
      <c r="I21" s="10" t="s">
        <v>23</v>
      </c>
      <c r="J21" s="6">
        <v>0.88</v>
      </c>
      <c r="K21" s="6">
        <v>9.33</v>
      </c>
      <c r="L21" s="6">
        <v>10.81</v>
      </c>
      <c r="M21" s="8">
        <v>5.4</v>
      </c>
    </row>
    <row r="22" spans="1:13" x14ac:dyDescent="0.3">
      <c r="A22" s="11" t="s">
        <v>37</v>
      </c>
      <c r="B22" s="2" t="s">
        <v>19</v>
      </c>
      <c r="C22" s="6">
        <v>12.23</v>
      </c>
      <c r="D22" s="6">
        <v>1.32</v>
      </c>
      <c r="E22" s="6">
        <v>15.81</v>
      </c>
      <c r="F22" s="6">
        <v>16.32</v>
      </c>
      <c r="G22" s="6">
        <v>3.6</v>
      </c>
      <c r="H22" s="8">
        <v>12.9</v>
      </c>
      <c r="I22" s="10" t="s">
        <v>23</v>
      </c>
      <c r="J22" s="6">
        <v>1.18</v>
      </c>
      <c r="K22" s="6">
        <v>9</v>
      </c>
      <c r="L22" s="6">
        <v>12.6</v>
      </c>
      <c r="M22" s="8">
        <v>5.5</v>
      </c>
    </row>
    <row r="23" spans="1:13" x14ac:dyDescent="0.3">
      <c r="A23" s="11" t="s">
        <v>38</v>
      </c>
      <c r="B23" s="2" t="s">
        <v>19</v>
      </c>
      <c r="C23" s="6">
        <v>21.54</v>
      </c>
      <c r="D23" s="6">
        <v>4.32</v>
      </c>
      <c r="E23" s="6">
        <v>27.45</v>
      </c>
      <c r="F23" s="6">
        <v>28.9</v>
      </c>
      <c r="G23" s="6">
        <v>7.02</v>
      </c>
      <c r="H23" s="8">
        <v>20.7</v>
      </c>
      <c r="I23" s="10" t="s">
        <v>23</v>
      </c>
      <c r="J23" s="6">
        <v>3.8</v>
      </c>
      <c r="K23" s="6">
        <v>16.05</v>
      </c>
      <c r="L23" s="6">
        <v>20.94</v>
      </c>
      <c r="M23" s="8">
        <v>10.3</v>
      </c>
    </row>
  </sheetData>
  <pageMargins left="0.7" right="0.7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/>
  </sheetViews>
  <sheetFormatPr baseColWidth="10" defaultColWidth="8.88671875" defaultRowHeight="14.4" x14ac:dyDescent="0.3"/>
  <cols>
    <col min="1" max="1" width="48.5546875" customWidth="1"/>
  </cols>
  <sheetData>
    <row r="1" spans="1:4" ht="40.049999999999997" customHeight="1" x14ac:dyDescent="0.3">
      <c r="A1" s="1"/>
      <c r="B1" s="1"/>
      <c r="C1" s="1"/>
      <c r="D1" s="1"/>
    </row>
    <row r="3" spans="1:4" x14ac:dyDescent="0.3">
      <c r="A3" s="11" t="s">
        <v>62</v>
      </c>
    </row>
    <row r="4" spans="1:4" x14ac:dyDescent="0.3">
      <c r="A4" s="11" t="s">
        <v>63</v>
      </c>
    </row>
    <row r="5" spans="1:4" x14ac:dyDescent="0.3">
      <c r="A5" s="2" t="s">
        <v>64</v>
      </c>
    </row>
    <row r="6" spans="1:4" x14ac:dyDescent="0.3">
      <c r="A6" s="2" t="s">
        <v>65</v>
      </c>
    </row>
    <row r="7" spans="1:4" x14ac:dyDescent="0.3">
      <c r="A7" s="2" t="s">
        <v>66</v>
      </c>
    </row>
    <row r="8" spans="1:4" x14ac:dyDescent="0.3">
      <c r="A8" s="2" t="s">
        <v>67</v>
      </c>
    </row>
    <row r="9" spans="1:4" x14ac:dyDescent="0.3">
      <c r="A9" s="2" t="s">
        <v>68</v>
      </c>
    </row>
    <row r="10" spans="1:4" x14ac:dyDescent="0.3">
      <c r="A10" s="2" t="s">
        <v>69</v>
      </c>
    </row>
  </sheetData>
  <mergeCells count="1">
    <mergeCell ref="A1:D1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Screening Criteria</vt:lpstr>
    </vt:vector>
  </TitlesOfParts>
  <Manager/>
  <Company>SoftArtisans,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VARGAS</dc:creator>
  <cp:keywords/>
  <dc:description/>
  <cp:lastModifiedBy>ALEJANDRO VARGAS</cp:lastModifiedBy>
  <dcterms:created xsi:type="dcterms:W3CDTF">2022-04-21T22:16:53Z</dcterms:created>
  <dcterms:modified xsi:type="dcterms:W3CDTF">2022-04-21T22:16:53Z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  <property fmtid="{D5CDD505-2E9C-101B-9397-08002B2CF9AE}" pid="3" name="{A44787D4-0540-4523-9961-78E4036D8C6D}">
    <vt:lpwstr>{1C8E6FF1-222B-4A63-A3A9-5ABCE46B4689}</vt:lpwstr>
  </property>
</Properties>
</file>