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1_Xande\03_ACADEMIC\PhD\KNOWLEDEGE\04_DISSERTATION\"/>
    </mc:Choice>
  </mc:AlternateContent>
  <xr:revisionPtr revIDLastSave="0" documentId="8_{46B8EA97-39F8-497D-A9D7-F7DFF201AF25}" xr6:coauthVersionLast="40" xr6:coauthVersionMax="40" xr10:uidLastSave="{00000000-0000-0000-0000-000000000000}"/>
  <bookViews>
    <workbookView xWindow="0" yWindow="0" windowWidth="20490" windowHeight="7485" xr2:uid="{CB8D8429-56E4-4255-98A3-8CADE726355D}"/>
  </bookViews>
  <sheets>
    <sheet name="NPV" sheetId="7" r:id="rId1"/>
    <sheet name="COSTS" sheetId="8" r:id="rId2"/>
    <sheet name="DATA" sheetId="2" r:id="rId3"/>
    <sheet name="MAN POWER" sheetId="1" r:id="rId4"/>
    <sheet name="INFRA COST" sheetId="3" r:id="rId5"/>
    <sheet name="GEN COST" sheetId="4" r:id="rId6"/>
    <sheet name="MATERIAL" sheetId="5" r:id="rId7"/>
    <sheet name="MAN POWER RC" sheetId="6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6" i="5" l="1"/>
  <c r="G5" i="5" l="1"/>
  <c r="C9" i="2"/>
  <c r="G11" i="1" s="1"/>
  <c r="C9" i="1" l="1"/>
  <c r="C10" i="2"/>
  <c r="C4" i="2"/>
  <c r="C5" i="2"/>
  <c r="C6" i="2"/>
  <c r="C7" i="2"/>
  <c r="E6" i="5" s="1"/>
  <c r="C8" i="2"/>
  <c r="C47" i="2"/>
  <c r="C11" i="7"/>
  <c r="C12" i="7" s="1"/>
  <c r="C13" i="7" s="1"/>
  <c r="C14" i="7" s="1"/>
  <c r="C49" i="2" l="1"/>
  <c r="G12" i="1"/>
  <c r="G7" i="1"/>
  <c r="G3" i="1"/>
  <c r="B63" i="2"/>
  <c r="C62" i="2" s="1"/>
  <c r="D11" i="7" s="1"/>
  <c r="G10" i="1"/>
  <c r="C4" i="1"/>
  <c r="G9" i="1"/>
  <c r="G5" i="1"/>
  <c r="G4" i="1"/>
  <c r="G6" i="1"/>
  <c r="G8" i="1"/>
  <c r="C56" i="2"/>
  <c r="B10" i="6" s="1"/>
  <c r="B18" i="8" s="1"/>
  <c r="C51" i="2"/>
  <c r="B5" i="6" s="1"/>
  <c r="C55" i="2"/>
  <c r="B9" i="6" s="1"/>
  <c r="C52" i="2"/>
  <c r="B6" i="6" s="1"/>
  <c r="B14" i="8" s="1"/>
  <c r="B18" i="7" s="1"/>
  <c r="C57" i="2"/>
  <c r="B11" i="6" s="1"/>
  <c r="B3" i="6"/>
  <c r="C53" i="2"/>
  <c r="B7" i="6" s="1"/>
  <c r="B15" i="8" s="1"/>
  <c r="C58" i="2"/>
  <c r="B12" i="6" s="1"/>
  <c r="B20" i="8" s="1"/>
  <c r="C50" i="2"/>
  <c r="B4" i="6" s="1"/>
  <c r="B12" i="8" s="1"/>
  <c r="C54" i="2"/>
  <c r="B8" i="6" s="1"/>
  <c r="B16" i="8" s="1"/>
  <c r="D12" i="6"/>
  <c r="D11" i="6"/>
  <c r="D10" i="6"/>
  <c r="D9" i="6"/>
  <c r="D8" i="6"/>
  <c r="D7" i="6"/>
  <c r="D6" i="6"/>
  <c r="D5" i="6"/>
  <c r="D4" i="6"/>
  <c r="D3" i="6"/>
  <c r="B22" i="7"/>
  <c r="F3" i="5"/>
  <c r="F4" i="5"/>
  <c r="F5" i="5"/>
  <c r="F6" i="5"/>
  <c r="F7" i="5"/>
  <c r="F8" i="5"/>
  <c r="F9" i="5"/>
  <c r="H9" i="5" s="1"/>
  <c r="F10" i="5"/>
  <c r="F11" i="5"/>
  <c r="E4" i="5"/>
  <c r="H4" i="5" s="1"/>
  <c r="D4" i="5"/>
  <c r="D11" i="5" s="1"/>
  <c r="D8" i="5"/>
  <c r="E8" i="5"/>
  <c r="D7" i="5"/>
  <c r="E7" i="5"/>
  <c r="D5" i="5"/>
  <c r="E5" i="5"/>
  <c r="H5" i="5" s="1"/>
  <c r="D3" i="5"/>
  <c r="E3" i="5"/>
  <c r="E10" i="5" s="1"/>
  <c r="G15" i="1" l="1"/>
  <c r="D14" i="7"/>
  <c r="D22" i="7"/>
  <c r="D18" i="7"/>
  <c r="D13" i="7"/>
  <c r="D12" i="7"/>
  <c r="B17" i="8"/>
  <c r="B19" i="8"/>
  <c r="B11" i="8"/>
  <c r="B15" i="7" s="1"/>
  <c r="B13" i="8"/>
  <c r="B17" i="7" s="1"/>
  <c r="D17" i="7" s="1"/>
  <c r="E7" i="6"/>
  <c r="F7" i="6" s="1"/>
  <c r="D15" i="8" s="1"/>
  <c r="E8" i="6"/>
  <c r="F8" i="6" s="1"/>
  <c r="D16" i="8" s="1"/>
  <c r="E4" i="6"/>
  <c r="F4" i="6" s="1"/>
  <c r="D12" i="8" s="1"/>
  <c r="E12" i="6"/>
  <c r="F12" i="6" s="1"/>
  <c r="D20" i="8" s="1"/>
  <c r="H8" i="5"/>
  <c r="G8" i="5"/>
  <c r="H7" i="5"/>
  <c r="B20" i="7"/>
  <c r="D20" i="7" s="1"/>
  <c r="B24" i="7"/>
  <c r="D24" i="7" s="1"/>
  <c r="B16" i="7"/>
  <c r="D16" i="7" s="1"/>
  <c r="H10" i="5"/>
  <c r="E3" i="6"/>
  <c r="F3" i="6" s="1"/>
  <c r="D11" i="8" s="1"/>
  <c r="E5" i="6"/>
  <c r="F5" i="6" s="1"/>
  <c r="D13" i="8" s="1"/>
  <c r="B19" i="7"/>
  <c r="D19" i="7" s="1"/>
  <c r="E9" i="6"/>
  <c r="F9" i="6" s="1"/>
  <c r="D17" i="8" s="1"/>
  <c r="E6" i="6"/>
  <c r="F6" i="6" s="1"/>
  <c r="D14" i="8" s="1"/>
  <c r="E10" i="6"/>
  <c r="F10" i="6" s="1"/>
  <c r="D18" i="8" s="1"/>
  <c r="E11" i="6"/>
  <c r="F11" i="6" s="1"/>
  <c r="D19" i="8" s="1"/>
  <c r="G7" i="5"/>
  <c r="G3" i="5"/>
  <c r="E11" i="5"/>
  <c r="H11" i="5" s="1"/>
  <c r="H3" i="5"/>
  <c r="G11" i="5"/>
  <c r="D10" i="5"/>
  <c r="G10" i="5" s="1"/>
  <c r="G9" i="5"/>
  <c r="G6" i="5"/>
  <c r="H6" i="5"/>
  <c r="G4" i="5"/>
  <c r="C9" i="4"/>
  <c r="C8" i="4"/>
  <c r="C6" i="4"/>
  <c r="C5" i="4"/>
  <c r="C4" i="4"/>
  <c r="C3" i="4"/>
  <c r="C7" i="4"/>
  <c r="C11" i="3"/>
  <c r="C10" i="3"/>
  <c r="C9" i="3"/>
  <c r="C8" i="3"/>
  <c r="C7" i="3"/>
  <c r="C6" i="3"/>
  <c r="C5" i="3"/>
  <c r="C4" i="3"/>
  <c r="C3" i="3"/>
  <c r="O4" i="1"/>
  <c r="O9" i="1"/>
  <c r="O8" i="1"/>
  <c r="O7" i="1"/>
  <c r="O6" i="1"/>
  <c r="O3" i="1"/>
  <c r="O5" i="1"/>
  <c r="G14" i="1"/>
  <c r="G13" i="1"/>
  <c r="K14" i="1"/>
  <c r="K13" i="1"/>
  <c r="C15" i="2"/>
  <c r="K12" i="1"/>
  <c r="K11" i="1"/>
  <c r="K10" i="1"/>
  <c r="K9" i="1"/>
  <c r="K8" i="1"/>
  <c r="K7" i="1"/>
  <c r="K6" i="1"/>
  <c r="K5" i="1"/>
  <c r="K4" i="1"/>
  <c r="K3" i="1"/>
  <c r="C6" i="1"/>
  <c r="C8" i="1"/>
  <c r="C7" i="1"/>
  <c r="C5" i="1"/>
  <c r="C3" i="1"/>
  <c r="D15" i="7" l="1"/>
  <c r="C15" i="7"/>
  <c r="C16" i="7" s="1"/>
  <c r="C17" i="7" s="1"/>
  <c r="C18" i="7" s="1"/>
  <c r="C19" i="7" s="1"/>
  <c r="C20" i="7" s="1"/>
  <c r="D21" i="8"/>
  <c r="B21" i="7"/>
  <c r="D21" i="7" s="1"/>
  <c r="B21" i="8"/>
  <c r="B23" i="7"/>
  <c r="D23" i="7" s="1"/>
  <c r="H12" i="5"/>
  <c r="C17" i="8" s="1"/>
  <c r="C10" i="4"/>
  <c r="C12" i="3"/>
  <c r="O10" i="1"/>
  <c r="C10" i="1"/>
  <c r="K15" i="1"/>
  <c r="C21" i="7" l="1"/>
  <c r="C22" i="7" s="1"/>
  <c r="C23" i="7" s="1"/>
  <c r="C24" i="7" s="1"/>
  <c r="C11" i="8"/>
  <c r="F11" i="8" s="1"/>
  <c r="D25" i="7"/>
  <c r="G17" i="8"/>
  <c r="F17" i="8"/>
  <c r="E17" i="8"/>
  <c r="C18" i="8"/>
  <c r="C15" i="8"/>
  <c r="C16" i="8"/>
  <c r="C20" i="8"/>
  <c r="C14" i="8"/>
  <c r="C12" i="8"/>
  <c r="C13" i="8"/>
  <c r="C19" i="8"/>
  <c r="B17" i="1"/>
  <c r="B18" i="1" s="1"/>
  <c r="B23" i="1" s="1"/>
  <c r="B5" i="8" s="1"/>
  <c r="B14" i="4"/>
  <c r="D4" i="8" s="1"/>
  <c r="B13" i="4"/>
  <c r="D3" i="8" s="1"/>
  <c r="B16" i="4"/>
  <c r="D6" i="8" s="1"/>
  <c r="B15" i="4"/>
  <c r="D5" i="8" s="1"/>
  <c r="B18" i="3"/>
  <c r="C6" i="8" s="1"/>
  <c r="B17" i="3"/>
  <c r="C5" i="8" s="1"/>
  <c r="B16" i="3"/>
  <c r="C4" i="8" s="1"/>
  <c r="B15" i="3"/>
  <c r="C3" i="8" s="1"/>
  <c r="G11" i="8" l="1"/>
  <c r="E11" i="8"/>
  <c r="C21" i="8"/>
  <c r="H17" i="8"/>
  <c r="D7" i="8"/>
  <c r="G13" i="8"/>
  <c r="F13" i="8"/>
  <c r="E13" i="8"/>
  <c r="G16" i="8"/>
  <c r="F16" i="8"/>
  <c r="E16" i="8"/>
  <c r="E5" i="8"/>
  <c r="E14" i="8"/>
  <c r="F14" i="8"/>
  <c r="G14" i="8"/>
  <c r="E18" i="8"/>
  <c r="F18" i="8"/>
  <c r="G18" i="8"/>
  <c r="G12" i="8"/>
  <c r="F12" i="8"/>
  <c r="E12" i="8"/>
  <c r="F15" i="8"/>
  <c r="E15" i="8"/>
  <c r="G15" i="8"/>
  <c r="C7" i="8"/>
  <c r="F19" i="8"/>
  <c r="E19" i="8"/>
  <c r="G19" i="8"/>
  <c r="G20" i="8"/>
  <c r="F20" i="8"/>
  <c r="E20" i="8"/>
  <c r="B21" i="1"/>
  <c r="B3" i="8" s="1"/>
  <c r="B22" i="1"/>
  <c r="B24" i="1"/>
  <c r="B6" i="8" s="1"/>
  <c r="E6" i="8" s="1"/>
  <c r="F6" i="8" s="1"/>
  <c r="F5" i="8" l="1"/>
  <c r="E13" i="7" s="1"/>
  <c r="F13" i="7" s="1"/>
  <c r="G13" i="7" s="1"/>
  <c r="H20" i="8"/>
  <c r="E24" i="7" s="1"/>
  <c r="F24" i="7" s="1"/>
  <c r="G24" i="7" s="1"/>
  <c r="H13" i="8"/>
  <c r="E17" i="7" s="1"/>
  <c r="F17" i="7" s="1"/>
  <c r="G17" i="7" s="1"/>
  <c r="H11" i="8"/>
  <c r="E15" i="7" s="1"/>
  <c r="H18" i="8"/>
  <c r="E22" i="7" s="1"/>
  <c r="F22" i="7" s="1"/>
  <c r="G22" i="7" s="1"/>
  <c r="H14" i="8"/>
  <c r="E18" i="7" s="1"/>
  <c r="F18" i="7" s="1"/>
  <c r="G18" i="7" s="1"/>
  <c r="F21" i="8"/>
  <c r="H19" i="8"/>
  <c r="E23" i="7" s="1"/>
  <c r="F23" i="7" s="1"/>
  <c r="G23" i="7" s="1"/>
  <c r="H16" i="8"/>
  <c r="E20" i="7" s="1"/>
  <c r="F20" i="7" s="1"/>
  <c r="G20" i="7" s="1"/>
  <c r="H15" i="8"/>
  <c r="E19" i="7" s="1"/>
  <c r="F19" i="7" s="1"/>
  <c r="G19" i="7" s="1"/>
  <c r="H12" i="8"/>
  <c r="G21" i="8"/>
  <c r="E21" i="8"/>
  <c r="B4" i="8"/>
  <c r="E4" i="8" s="1"/>
  <c r="F4" i="8" s="1"/>
  <c r="E12" i="7" s="1"/>
  <c r="F12" i="7" s="1"/>
  <c r="G12" i="7" s="1"/>
  <c r="E3" i="8"/>
  <c r="E21" i="7"/>
  <c r="F21" i="7" s="1"/>
  <c r="G21" i="7" s="1"/>
  <c r="E14" i="7"/>
  <c r="F14" i="7" s="1"/>
  <c r="G14" i="7" s="1"/>
  <c r="H21" i="8" l="1"/>
  <c r="E16" i="7"/>
  <c r="F16" i="7" s="1"/>
  <c r="G16" i="7" s="1"/>
  <c r="F3" i="8"/>
  <c r="E7" i="8"/>
  <c r="B7" i="8"/>
  <c r="F15" i="7"/>
  <c r="G15" i="7" s="1"/>
  <c r="F7" i="8" l="1"/>
  <c r="E11" i="7"/>
  <c r="F11" i="7" l="1"/>
  <c r="G11" i="7" s="1"/>
  <c r="E25" i="7"/>
  <c r="G3" i="7" l="1"/>
  <c r="G25" i="7"/>
  <c r="F25" i="7"/>
</calcChain>
</file>

<file path=xl/sharedStrings.xml><?xml version="1.0" encoding="utf-8"?>
<sst xmlns="http://schemas.openxmlformats.org/spreadsheetml/2006/main" count="224" uniqueCount="145">
  <si>
    <t>Program Share</t>
  </si>
  <si>
    <t>Manufacturer</t>
  </si>
  <si>
    <t>Average</t>
  </si>
  <si>
    <t>AVG Man power cost (US$/h)</t>
  </si>
  <si>
    <t>Preliminary Design</t>
  </si>
  <si>
    <t>Baseline ACFT</t>
  </si>
  <si>
    <t>Interior</t>
  </si>
  <si>
    <t>REF date</t>
  </si>
  <si>
    <t>MTOW</t>
  </si>
  <si>
    <t>NPAX</t>
  </si>
  <si>
    <t>Analysis ACFT</t>
  </si>
  <si>
    <t>Structures</t>
  </si>
  <si>
    <t>Hydraulics</t>
  </si>
  <si>
    <t>Propulsion</t>
  </si>
  <si>
    <t>Electrics/Avionics</t>
  </si>
  <si>
    <t>ITEM</t>
  </si>
  <si>
    <t>MANAGEMENT AND ADMINISTRATION  (Hours)</t>
  </si>
  <si>
    <t>ENGINEERING  (Hours)</t>
  </si>
  <si>
    <t>Aerodynamics</t>
  </si>
  <si>
    <t>Aeroelasticity</t>
  </si>
  <si>
    <t>Performance</t>
  </si>
  <si>
    <t xml:space="preserve">Certification </t>
  </si>
  <si>
    <t>Configuration Ctrl</t>
  </si>
  <si>
    <t>TOTAL</t>
  </si>
  <si>
    <t>Partner</t>
  </si>
  <si>
    <t>REF PARAM</t>
  </si>
  <si>
    <t>Mechanics</t>
  </si>
  <si>
    <t>Technical Docs</t>
  </si>
  <si>
    <t>TESTING AND VALIDATION  (Hours)</t>
  </si>
  <si>
    <t>System testing</t>
  </si>
  <si>
    <t>Flight Test</t>
  </si>
  <si>
    <t>Instrumentation</t>
  </si>
  <si>
    <t>Pilots</t>
  </si>
  <si>
    <t>Prototypes</t>
  </si>
  <si>
    <t>Rigs</t>
  </si>
  <si>
    <t>Body of proof</t>
  </si>
  <si>
    <t>Prot Maintenance</t>
  </si>
  <si>
    <t>Manufacturing Tooling</t>
  </si>
  <si>
    <t>Methods and Process</t>
  </si>
  <si>
    <t>Quality Control</t>
  </si>
  <si>
    <t>Ground testing</t>
  </si>
  <si>
    <t>SUPPORT (Hours)</t>
  </si>
  <si>
    <t>Service Bulletins</t>
  </si>
  <si>
    <t>Spare Parts</t>
  </si>
  <si>
    <t>Operations Manuals</t>
  </si>
  <si>
    <t>Customer Services</t>
  </si>
  <si>
    <t>Documentation</t>
  </si>
  <si>
    <t>Technical Support</t>
  </si>
  <si>
    <t>Maintenace Plan</t>
  </si>
  <si>
    <t>GRAND TOTAL</t>
  </si>
  <si>
    <t>Hours</t>
  </si>
  <si>
    <t>USD</t>
  </si>
  <si>
    <t>YEAR1</t>
  </si>
  <si>
    <t>YEAR2</t>
  </si>
  <si>
    <t>YEAR3</t>
  </si>
  <si>
    <t>YEAR4</t>
  </si>
  <si>
    <t>Y1</t>
  </si>
  <si>
    <t>Y2</t>
  </si>
  <si>
    <t>Y3</t>
  </si>
  <si>
    <t>Y4</t>
  </si>
  <si>
    <t>MANPOWER DISTRIBUTION (PROD DEV COST)</t>
  </si>
  <si>
    <t xml:space="preserve">INFRA COST DISTRIBUTION </t>
  </si>
  <si>
    <t>Machines&amp;Equip</t>
  </si>
  <si>
    <t>INFRASTRUCTURE COSTS (US$)</t>
  </si>
  <si>
    <t>FSW</t>
  </si>
  <si>
    <t>Assembly Line</t>
  </si>
  <si>
    <t>Computer Resources</t>
  </si>
  <si>
    <t>Instruments</t>
  </si>
  <si>
    <t>Offcie Supplies</t>
  </si>
  <si>
    <t>Software</t>
  </si>
  <si>
    <t>Other Investments</t>
  </si>
  <si>
    <t>INFRASTUCTURE COSTS OVERTIME</t>
  </si>
  <si>
    <t xml:space="preserve">GEN COST DISTRIBUTION </t>
  </si>
  <si>
    <t>GENERAL COSTS (US$)</t>
  </si>
  <si>
    <t>Communications</t>
  </si>
  <si>
    <t>Instrumentation and FT</t>
  </si>
  <si>
    <t xml:space="preserve">Tooling </t>
  </si>
  <si>
    <t>Travel</t>
  </si>
  <si>
    <t>Third part man-power</t>
  </si>
  <si>
    <t>Third part man-powerm (partners)</t>
  </si>
  <si>
    <t>Fuel</t>
  </si>
  <si>
    <t>Year</t>
  </si>
  <si>
    <t>MAN POWER COSTS OVERTIME</t>
  </si>
  <si>
    <t>Manpower</t>
  </si>
  <si>
    <t>Infra</t>
  </si>
  <si>
    <t>Gen</t>
  </si>
  <si>
    <t>total</t>
  </si>
  <si>
    <t>NON-RECURRING COSTS</t>
  </si>
  <si>
    <t>Material COSTS (US$)</t>
  </si>
  <si>
    <t>Landing Gear</t>
  </si>
  <si>
    <t>USD/kg MTOW</t>
  </si>
  <si>
    <t>Complexity Factor</t>
  </si>
  <si>
    <t>MATERIAL COST Analysis ACFT</t>
  </si>
  <si>
    <t>MATERIAL COST Baseline ACFT</t>
  </si>
  <si>
    <t>Flight Controls</t>
  </si>
  <si>
    <t>USD/ft2</t>
  </si>
  <si>
    <t>wS</t>
  </si>
  <si>
    <t>Engines</t>
  </si>
  <si>
    <t>unit</t>
  </si>
  <si>
    <t>nEng</t>
  </si>
  <si>
    <t>Cost Parameter</t>
  </si>
  <si>
    <t>Naceles</t>
  </si>
  <si>
    <t>diameter in</t>
  </si>
  <si>
    <t>per PAX</t>
  </si>
  <si>
    <t>Electrical System</t>
  </si>
  <si>
    <t>per KVA</t>
  </si>
  <si>
    <t>kVA</t>
  </si>
  <si>
    <t>Avionics</t>
  </si>
  <si>
    <t>per assaembly</t>
  </si>
  <si>
    <t>Fuel System</t>
  </si>
  <si>
    <t>wS USD/ft2</t>
  </si>
  <si>
    <t>Nacele diam</t>
  </si>
  <si>
    <t xml:space="preserve">Deliveries </t>
  </si>
  <si>
    <t>WH Per unit (Baseline)</t>
  </si>
  <si>
    <t>LC PER HOUR</t>
  </si>
  <si>
    <t>Cost Per unit (Baseline)</t>
  </si>
  <si>
    <t>Total Manpower Cost (Baseline)</t>
  </si>
  <si>
    <t>Total Manpower Cost (analysis)</t>
  </si>
  <si>
    <t>MANPOWER RC COST</t>
  </si>
  <si>
    <t>Material Costs</t>
  </si>
  <si>
    <t xml:space="preserve">Manpower Cost </t>
  </si>
  <si>
    <t>RECURRING COSTS</t>
  </si>
  <si>
    <t>COST OF SALES (17% 1+2)</t>
  </si>
  <si>
    <t>PROCESSING COST  (8% 1+2)</t>
  </si>
  <si>
    <t>GENERAL COST (5% 1)</t>
  </si>
  <si>
    <t>Total Manufacturer</t>
  </si>
  <si>
    <t>Market Share</t>
  </si>
  <si>
    <t>Deliveries (Baseline)</t>
  </si>
  <si>
    <t>Deliveries (Analysis)</t>
  </si>
  <si>
    <t>Sales Price</t>
  </si>
  <si>
    <t>Baseline</t>
  </si>
  <si>
    <t>Analysis</t>
  </si>
  <si>
    <t>Deliveries</t>
  </si>
  <si>
    <t>Sales (Mi USD)</t>
  </si>
  <si>
    <t>Cost (Mi USD)</t>
  </si>
  <si>
    <t>Accum Deliveries</t>
  </si>
  <si>
    <t>IRR</t>
  </si>
  <si>
    <t>NPV</t>
  </si>
  <si>
    <t>Cash Flow (Mi USD)</t>
  </si>
  <si>
    <t>wS (m2)</t>
  </si>
  <si>
    <t>MTOW (kg)</t>
  </si>
  <si>
    <t>Nacele diam (m)</t>
  </si>
  <si>
    <t>Interest rate</t>
  </si>
  <si>
    <t>Tmax</t>
  </si>
  <si>
    <t>Weight adj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</si>
</sst>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-&quot;R$&quot;* #,##0.00_-;\-&quot;R$&quot;* #,##0.00_-;_-&quot;R$&quot;* &quot;-&quot;??_-;_-@_-"/>
    <numFmt numFmtId="164" formatCode="&quot;R$&quot;\ #,##0.00;[Red]\-&quot;R$&quot;\ #,##0.00"/>
    <numFmt numFmtId="165" formatCode="_-[$$-409]* #,##0.00_ ;_-[$$-409]* \-#,##0.00\ ;_-[$$-409]* &quot;-&quot;??_ ;_-@_ "/>
    <numFmt numFmtId="166" formatCode="#,##0_ ;\-#,##0\ "/>
    <numFmt numFmtId="167" formatCode="0.0"/>
    <numFmt numFmtId="168" formatCode="_-[$R$-416]\ * #,##0.00_-;\-[$R$-416]\ * #,##0.00_-;_-[$R$-416]\ * &quot;-&quot;??_-;_-@_-"/>
    <numFmt numFmtId="169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24"/>
      <color rgb="FFC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15">
    <xf numFmtId="0" fontId="0" fillId="0" borderId="0" xfId="0"/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165" fontId="0" fillId="2" borderId="16" xfId="0" applyNumberFormat="1" applyFill="1" applyBorder="1" applyAlignment="1"/>
    <xf numFmtId="165" fontId="0" fillId="0" borderId="15" xfId="0" applyNumberFormat="1" applyBorder="1" applyAlignment="1"/>
    <xf numFmtId="0" fontId="2" fillId="3" borderId="15" xfId="0" applyFont="1" applyFill="1" applyBorder="1" applyAlignment="1">
      <alignment horizontal="center" vertical="center" wrapText="1"/>
    </xf>
    <xf numFmtId="165" fontId="0" fillId="0" borderId="30" xfId="0" applyNumberFormat="1" applyBorder="1" applyAlignment="1">
      <alignment horizontal="center"/>
    </xf>
    <xf numFmtId="165" fontId="0" fillId="4" borderId="21" xfId="0" applyNumberFormat="1" applyFill="1" applyBorder="1" applyAlignment="1">
      <alignment vertical="center"/>
    </xf>
    <xf numFmtId="165" fontId="0" fillId="4" borderId="24" xfId="0" applyNumberFormat="1" applyFill="1" applyBorder="1" applyAlignment="1">
      <alignment vertical="center"/>
    </xf>
    <xf numFmtId="0" fontId="0" fillId="4" borderId="18" xfId="0" applyFill="1" applyBorder="1" applyAlignment="1"/>
    <xf numFmtId="0" fontId="0" fillId="4" borderId="20" xfId="0" applyFill="1" applyBorder="1" applyAlignment="1"/>
    <xf numFmtId="0" fontId="2" fillId="0" borderId="3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166" fontId="0" fillId="4" borderId="28" xfId="0" applyNumberFormat="1" applyFill="1" applyBorder="1" applyAlignment="1">
      <alignment horizontal="center" vertical="center"/>
    </xf>
    <xf numFmtId="166" fontId="0" fillId="4" borderId="19" xfId="0" applyNumberFormat="1" applyFill="1" applyBorder="1" applyAlignment="1">
      <alignment vertical="center"/>
    </xf>
    <xf numFmtId="166" fontId="0" fillId="4" borderId="29" xfId="0" applyNumberFormat="1" applyFill="1" applyBorder="1" applyAlignment="1">
      <alignment horizontal="center" vertical="center"/>
    </xf>
    <xf numFmtId="166" fontId="0" fillId="4" borderId="21" xfId="0" applyNumberFormat="1" applyFill="1" applyBorder="1" applyAlignment="1">
      <alignment vertical="center"/>
    </xf>
    <xf numFmtId="166" fontId="0" fillId="4" borderId="30" xfId="0" applyNumberFormat="1" applyFill="1" applyBorder="1" applyAlignment="1">
      <alignment horizontal="center" vertical="center"/>
    </xf>
    <xf numFmtId="0" fontId="0" fillId="4" borderId="22" xfId="0" applyFill="1" applyBorder="1" applyAlignment="1"/>
    <xf numFmtId="166" fontId="0" fillId="4" borderId="2" xfId="0" applyNumberFormat="1" applyFill="1" applyBorder="1" applyAlignment="1">
      <alignment vertical="center"/>
    </xf>
    <xf numFmtId="0" fontId="2" fillId="0" borderId="14" xfId="0" applyFont="1" applyBorder="1" applyAlignment="1">
      <alignment horizontal="center"/>
    </xf>
    <xf numFmtId="0" fontId="2" fillId="0" borderId="13" xfId="0" applyFont="1" applyBorder="1"/>
    <xf numFmtId="0" fontId="0" fillId="0" borderId="2" xfId="0" applyBorder="1" applyAlignment="1">
      <alignment horizontal="center"/>
    </xf>
    <xf numFmtId="0" fontId="0" fillId="2" borderId="34" xfId="0" applyFill="1" applyBorder="1" applyAlignment="1">
      <alignment horizontal="center"/>
    </xf>
    <xf numFmtId="0" fontId="0" fillId="0" borderId="35" xfId="0" applyBorder="1" applyAlignment="1">
      <alignment horizontal="center"/>
    </xf>
    <xf numFmtId="9" fontId="0" fillId="2" borderId="36" xfId="0" applyNumberFormat="1" applyFill="1" applyBorder="1" applyAlignment="1">
      <alignment horizontal="center"/>
    </xf>
    <xf numFmtId="165" fontId="0" fillId="2" borderId="37" xfId="0" applyNumberFormat="1" applyFill="1" applyBorder="1" applyAlignment="1"/>
    <xf numFmtId="0" fontId="2" fillId="0" borderId="13" xfId="0" applyFont="1" applyBorder="1" applyAlignment="1">
      <alignment horizontal="center"/>
    </xf>
    <xf numFmtId="166" fontId="0" fillId="6" borderId="19" xfId="0" applyNumberFormat="1" applyFill="1" applyBorder="1" applyAlignment="1">
      <alignment vertical="center"/>
    </xf>
    <xf numFmtId="166" fontId="0" fillId="6" borderId="21" xfId="0" applyNumberFormat="1" applyFill="1" applyBorder="1" applyAlignment="1">
      <alignment vertical="center"/>
    </xf>
    <xf numFmtId="166" fontId="0" fillId="6" borderId="24" xfId="0" applyNumberFormat="1" applyFill="1" applyBorder="1" applyAlignment="1">
      <alignment vertical="center"/>
    </xf>
    <xf numFmtId="0" fontId="0" fillId="0" borderId="19" xfId="0" applyBorder="1"/>
    <xf numFmtId="0" fontId="0" fillId="0" borderId="24" xfId="0" applyBorder="1"/>
    <xf numFmtId="166" fontId="3" fillId="0" borderId="12" xfId="0" applyNumberFormat="1" applyFont="1" applyBorder="1" applyAlignment="1">
      <alignment horizontal="center"/>
    </xf>
    <xf numFmtId="165" fontId="3" fillId="0" borderId="23" xfId="0" applyNumberFormat="1" applyFont="1" applyBorder="1" applyAlignment="1">
      <alignment horizontal="center"/>
    </xf>
    <xf numFmtId="0" fontId="0" fillId="0" borderId="20" xfId="0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0" fillId="0" borderId="33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34" xfId="0" applyBorder="1" applyAlignment="1">
      <alignment horizontal="center"/>
    </xf>
    <xf numFmtId="0" fontId="2" fillId="0" borderId="41" xfId="0" applyFont="1" applyBorder="1" applyAlignment="1">
      <alignment horizontal="center"/>
    </xf>
    <xf numFmtId="0" fontId="2" fillId="0" borderId="34" xfId="0" applyFont="1" applyBorder="1" applyAlignment="1">
      <alignment horizontal="center"/>
    </xf>
    <xf numFmtId="0" fontId="2" fillId="0" borderId="42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165" fontId="0" fillId="4" borderId="26" xfId="0" applyNumberFormat="1" applyFill="1" applyBorder="1" applyAlignment="1">
      <alignment horizontal="center" vertical="center"/>
    </xf>
    <xf numFmtId="165" fontId="0" fillId="4" borderId="27" xfId="0" applyNumberFormat="1" applyFill="1" applyBorder="1" applyAlignment="1">
      <alignment horizontal="center" vertical="center"/>
    </xf>
    <xf numFmtId="165" fontId="0" fillId="4" borderId="15" xfId="0" applyNumberFormat="1" applyFill="1" applyBorder="1" applyAlignment="1">
      <alignment vertical="center"/>
    </xf>
    <xf numFmtId="165" fontId="0" fillId="6" borderId="21" xfId="0" applyNumberFormat="1" applyFill="1" applyBorder="1" applyAlignment="1">
      <alignment vertical="center"/>
    </xf>
    <xf numFmtId="165" fontId="0" fillId="0" borderId="1" xfId="1" applyNumberFormat="1" applyFont="1" applyBorder="1" applyAlignment="1">
      <alignment horizontal="center"/>
    </xf>
    <xf numFmtId="165" fontId="0" fillId="0" borderId="10" xfId="1" applyNumberFormat="1" applyFont="1" applyBorder="1" applyAlignment="1">
      <alignment horizontal="center"/>
    </xf>
    <xf numFmtId="165" fontId="0" fillId="0" borderId="2" xfId="0" applyNumberForma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46" xfId="0" applyFont="1" applyBorder="1" applyAlignment="1">
      <alignment horizontal="center"/>
    </xf>
    <xf numFmtId="0" fontId="0" fillId="0" borderId="47" xfId="0" applyFont="1" applyBorder="1" applyAlignment="1">
      <alignment horizontal="center"/>
    </xf>
    <xf numFmtId="0" fontId="0" fillId="0" borderId="48" xfId="0" applyFont="1" applyBorder="1" applyAlignment="1">
      <alignment horizontal="center"/>
    </xf>
    <xf numFmtId="0" fontId="2" fillId="0" borderId="49" xfId="0" applyFont="1" applyBorder="1" applyAlignment="1">
      <alignment horizontal="center"/>
    </xf>
    <xf numFmtId="0" fontId="2" fillId="0" borderId="51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52" xfId="0" applyFont="1" applyBorder="1" applyAlignment="1">
      <alignment horizontal="center"/>
    </xf>
    <xf numFmtId="165" fontId="0" fillId="0" borderId="39" xfId="1" applyNumberFormat="1" applyFont="1" applyBorder="1" applyAlignment="1">
      <alignment horizontal="center"/>
    </xf>
    <xf numFmtId="165" fontId="0" fillId="0" borderId="11" xfId="1" applyNumberFormat="1" applyFont="1" applyBorder="1" applyAlignment="1">
      <alignment horizontal="center"/>
    </xf>
    <xf numFmtId="165" fontId="0" fillId="0" borderId="6" xfId="1" applyNumberFormat="1" applyFont="1" applyBorder="1" applyAlignment="1">
      <alignment horizontal="center"/>
    </xf>
    <xf numFmtId="165" fontId="0" fillId="0" borderId="7" xfId="1" applyNumberFormat="1" applyFont="1" applyBorder="1" applyAlignment="1">
      <alignment horizontal="center"/>
    </xf>
    <xf numFmtId="165" fontId="0" fillId="0" borderId="8" xfId="1" applyNumberFormat="1" applyFont="1" applyBorder="1" applyAlignment="1">
      <alignment horizontal="center"/>
    </xf>
    <xf numFmtId="165" fontId="0" fillId="0" borderId="16" xfId="0" applyNumberFormat="1" applyBorder="1" applyAlignment="1">
      <alignment horizontal="center"/>
    </xf>
    <xf numFmtId="165" fontId="0" fillId="0" borderId="38" xfId="1" applyNumberFormat="1" applyFont="1" applyBorder="1" applyAlignment="1">
      <alignment horizontal="center"/>
    </xf>
    <xf numFmtId="165" fontId="0" fillId="0" borderId="50" xfId="0" applyNumberFormat="1" applyBorder="1" applyAlignment="1">
      <alignment horizontal="center"/>
    </xf>
    <xf numFmtId="165" fontId="0" fillId="0" borderId="9" xfId="1" applyNumberFormat="1" applyFont="1" applyBorder="1" applyAlignment="1">
      <alignment horizontal="center"/>
    </xf>
    <xf numFmtId="165" fontId="0" fillId="0" borderId="53" xfId="0" applyNumberFormat="1" applyBorder="1" applyAlignment="1">
      <alignment horizontal="center"/>
    </xf>
    <xf numFmtId="165" fontId="0" fillId="0" borderId="54" xfId="0" applyNumberFormat="1" applyBorder="1" applyAlignment="1">
      <alignment horizontal="center"/>
    </xf>
    <xf numFmtId="165" fontId="0" fillId="0" borderId="55" xfId="0" applyNumberFormat="1" applyBorder="1" applyAlignment="1">
      <alignment horizontal="center"/>
    </xf>
    <xf numFmtId="0" fontId="0" fillId="0" borderId="0" xfId="0" applyBorder="1"/>
    <xf numFmtId="0" fontId="0" fillId="0" borderId="21" xfId="0" applyBorder="1"/>
    <xf numFmtId="0" fontId="2" fillId="0" borderId="13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9" fontId="0" fillId="2" borderId="8" xfId="0" applyNumberFormat="1" applyFill="1" applyBorder="1" applyAlignment="1">
      <alignment horizontal="center"/>
    </xf>
    <xf numFmtId="0" fontId="0" fillId="4" borderId="20" xfId="0" applyFill="1" applyBorder="1" applyAlignment="1">
      <alignment horizontal="center"/>
    </xf>
    <xf numFmtId="165" fontId="0" fillId="4" borderId="20" xfId="0" applyNumberFormat="1" applyFill="1" applyBorder="1" applyAlignment="1">
      <alignment horizontal="center"/>
    </xf>
    <xf numFmtId="0" fontId="0" fillId="4" borderId="26" xfId="0" applyFill="1" applyBorder="1" applyAlignment="1">
      <alignment horizontal="center"/>
    </xf>
    <xf numFmtId="0" fontId="0" fillId="4" borderId="27" xfId="0" applyFill="1" applyBorder="1" applyAlignment="1">
      <alignment horizontal="center"/>
    </xf>
    <xf numFmtId="0" fontId="2" fillId="0" borderId="15" xfId="0" applyFont="1" applyBorder="1" applyAlignment="1">
      <alignment horizontal="center" vertical="center" wrapText="1"/>
    </xf>
    <xf numFmtId="0" fontId="0" fillId="2" borderId="26" xfId="0" applyFill="1" applyBorder="1" applyAlignment="1">
      <alignment horizontal="center"/>
    </xf>
    <xf numFmtId="0" fontId="2" fillId="0" borderId="13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167" fontId="0" fillId="4" borderId="20" xfId="0" applyNumberFormat="1" applyFill="1" applyBorder="1" applyAlignment="1">
      <alignment horizontal="center"/>
    </xf>
    <xf numFmtId="1" fontId="0" fillId="4" borderId="20" xfId="0" applyNumberFormat="1" applyFill="1" applyBorder="1" applyAlignment="1">
      <alignment horizontal="center"/>
    </xf>
    <xf numFmtId="0" fontId="0" fillId="0" borderId="56" xfId="0" applyBorder="1"/>
    <xf numFmtId="165" fontId="0" fillId="4" borderId="18" xfId="0" applyNumberFormat="1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0" fontId="0" fillId="4" borderId="18" xfId="0" applyFill="1" applyBorder="1" applyAlignment="1">
      <alignment horizontal="center"/>
    </xf>
    <xf numFmtId="165" fontId="0" fillId="4" borderId="25" xfId="0" applyNumberFormat="1" applyFill="1" applyBorder="1" applyAlignment="1">
      <alignment horizontal="center" vertical="center"/>
    </xf>
    <xf numFmtId="165" fontId="0" fillId="4" borderId="19" xfId="0" applyNumberFormat="1" applyFill="1" applyBorder="1" applyAlignment="1">
      <alignment vertical="center"/>
    </xf>
    <xf numFmtId="165" fontId="0" fillId="4" borderId="22" xfId="0" applyNumberFormat="1" applyFill="1" applyBorder="1" applyAlignment="1">
      <alignment horizontal="center"/>
    </xf>
    <xf numFmtId="1" fontId="0" fillId="4" borderId="22" xfId="0" applyNumberFormat="1" applyFill="1" applyBorder="1" applyAlignment="1">
      <alignment horizontal="center"/>
    </xf>
    <xf numFmtId="167" fontId="0" fillId="4" borderId="22" xfId="0" applyNumberFormat="1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167" fontId="0" fillId="2" borderId="26" xfId="0" applyNumberFormat="1" applyFill="1" applyBorder="1" applyAlignment="1">
      <alignment horizontal="center"/>
    </xf>
    <xf numFmtId="167" fontId="0" fillId="2" borderId="27" xfId="0" applyNumberFormat="1" applyFill="1" applyBorder="1" applyAlignment="1">
      <alignment horizontal="center"/>
    </xf>
    <xf numFmtId="0" fontId="0" fillId="0" borderId="25" xfId="0" applyBorder="1" applyAlignment="1">
      <alignment horizontal="center"/>
    </xf>
    <xf numFmtId="0" fontId="0" fillId="2" borderId="41" xfId="0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0" fillId="0" borderId="42" xfId="0" applyBorder="1" applyAlignment="1">
      <alignment horizontal="center"/>
    </xf>
    <xf numFmtId="0" fontId="2" fillId="4" borderId="25" xfId="0" applyFont="1" applyFill="1" applyBorder="1" applyAlignment="1">
      <alignment horizontal="center"/>
    </xf>
    <xf numFmtId="1" fontId="0" fillId="4" borderId="41" xfId="2" applyNumberFormat="1" applyFont="1" applyFill="1" applyBorder="1" applyAlignment="1">
      <alignment horizontal="center"/>
    </xf>
    <xf numFmtId="1" fontId="0" fillId="4" borderId="34" xfId="2" applyNumberFormat="1" applyFont="1" applyFill="1" applyBorder="1" applyAlignment="1">
      <alignment horizontal="center"/>
    </xf>
    <xf numFmtId="0" fontId="2" fillId="0" borderId="25" xfId="0" applyFont="1" applyBorder="1"/>
    <xf numFmtId="165" fontId="0" fillId="0" borderId="41" xfId="0" applyNumberFormat="1" applyBorder="1" applyAlignment="1">
      <alignment horizontal="center"/>
    </xf>
    <xf numFmtId="165" fontId="0" fillId="0" borderId="34" xfId="0" applyNumberFormat="1" applyBorder="1" applyAlignment="1">
      <alignment horizontal="center"/>
    </xf>
    <xf numFmtId="165" fontId="0" fillId="0" borderId="0" xfId="0" applyNumberFormat="1"/>
    <xf numFmtId="0" fontId="0" fillId="0" borderId="13" xfId="0" applyBorder="1"/>
    <xf numFmtId="1" fontId="0" fillId="4" borderId="42" xfId="2" applyNumberFormat="1" applyFont="1" applyFill="1" applyBorder="1" applyAlignment="1">
      <alignment horizontal="center"/>
    </xf>
    <xf numFmtId="165" fontId="0" fillId="0" borderId="42" xfId="0" applyNumberFormat="1" applyBorder="1" applyAlignment="1">
      <alignment horizontal="center"/>
    </xf>
    <xf numFmtId="165" fontId="0" fillId="0" borderId="26" xfId="0" applyNumberFormat="1" applyFont="1" applyBorder="1" applyAlignment="1">
      <alignment horizontal="center"/>
    </xf>
    <xf numFmtId="0" fontId="0" fillId="0" borderId="57" xfId="0" applyBorder="1" applyAlignment="1">
      <alignment horizontal="center"/>
    </xf>
    <xf numFmtId="1" fontId="0" fillId="4" borderId="57" xfId="2" applyNumberFormat="1" applyFont="1" applyFill="1" applyBorder="1" applyAlignment="1">
      <alignment horizontal="center"/>
    </xf>
    <xf numFmtId="165" fontId="0" fillId="0" borderId="57" xfId="0" applyNumberFormat="1" applyBorder="1" applyAlignment="1">
      <alignment horizontal="center"/>
    </xf>
    <xf numFmtId="165" fontId="0" fillId="0" borderId="26" xfId="0" applyNumberFormat="1" applyBorder="1" applyAlignment="1">
      <alignment horizontal="center"/>
    </xf>
    <xf numFmtId="1" fontId="0" fillId="4" borderId="2" xfId="2" applyNumberFormat="1" applyFont="1" applyFill="1" applyBorder="1" applyAlignment="1">
      <alignment horizontal="center"/>
    </xf>
    <xf numFmtId="0" fontId="0" fillId="4" borderId="13" xfId="0" applyFill="1" applyBorder="1" applyAlignment="1"/>
    <xf numFmtId="9" fontId="0" fillId="6" borderId="2" xfId="0" applyNumberFormat="1" applyFill="1" applyBorder="1" applyAlignment="1">
      <alignment horizontal="center"/>
    </xf>
    <xf numFmtId="165" fontId="0" fillId="2" borderId="27" xfId="0" applyNumberFormat="1" applyFill="1" applyBorder="1" applyAlignment="1">
      <alignment horizontal="center"/>
    </xf>
    <xf numFmtId="1" fontId="0" fillId="0" borderId="37" xfId="0" applyNumberFormat="1" applyBorder="1" applyAlignment="1">
      <alignment horizontal="center"/>
    </xf>
    <xf numFmtId="1" fontId="0" fillId="0" borderId="50" xfId="0" applyNumberFormat="1" applyBorder="1" applyAlignment="1">
      <alignment horizontal="center"/>
    </xf>
    <xf numFmtId="1" fontId="0" fillId="0" borderId="17" xfId="0" applyNumberFormat="1" applyBorder="1" applyAlignment="1">
      <alignment horizontal="center"/>
    </xf>
    <xf numFmtId="1" fontId="0" fillId="6" borderId="42" xfId="2" applyNumberFormat="1" applyFont="1" applyFill="1" applyBorder="1" applyAlignment="1">
      <alignment horizontal="center"/>
    </xf>
    <xf numFmtId="1" fontId="0" fillId="6" borderId="41" xfId="2" applyNumberFormat="1" applyFont="1" applyFill="1" applyBorder="1" applyAlignment="1">
      <alignment horizontal="center"/>
    </xf>
    <xf numFmtId="1" fontId="0" fillId="6" borderId="34" xfId="2" applyNumberFormat="1" applyFont="1" applyFill="1" applyBorder="1" applyAlignment="1">
      <alignment horizontal="center"/>
    </xf>
    <xf numFmtId="0" fontId="2" fillId="0" borderId="16" xfId="0" applyFont="1" applyBorder="1" applyAlignment="1">
      <alignment horizontal="center"/>
    </xf>
    <xf numFmtId="165" fontId="0" fillId="0" borderId="42" xfId="2" applyNumberFormat="1" applyFont="1" applyBorder="1" applyAlignment="1">
      <alignment horizontal="center"/>
    </xf>
    <xf numFmtId="165" fontId="0" fillId="0" borderId="41" xfId="2" applyNumberFormat="1" applyFont="1" applyBorder="1" applyAlignment="1">
      <alignment horizontal="center"/>
    </xf>
    <xf numFmtId="165" fontId="0" fillId="4" borderId="41" xfId="2" applyNumberFormat="1" applyFont="1" applyFill="1" applyBorder="1" applyAlignment="1">
      <alignment horizontal="center"/>
    </xf>
    <xf numFmtId="165" fontId="0" fillId="4" borderId="34" xfId="2" applyNumberFormat="1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165" fontId="0" fillId="0" borderId="4" xfId="0" applyNumberFormat="1" applyBorder="1"/>
    <xf numFmtId="9" fontId="0" fillId="4" borderId="15" xfId="0" applyNumberFormat="1" applyFill="1" applyBorder="1" applyAlignment="1">
      <alignment horizontal="center"/>
    </xf>
    <xf numFmtId="0" fontId="0" fillId="4" borderId="41" xfId="0" applyFill="1" applyBorder="1" applyAlignment="1">
      <alignment horizontal="center"/>
    </xf>
    <xf numFmtId="0" fontId="0" fillId="4" borderId="34" xfId="0" applyFill="1" applyBorder="1" applyAlignment="1">
      <alignment horizontal="center"/>
    </xf>
    <xf numFmtId="0" fontId="0" fillId="0" borderId="0" xfId="0" applyFill="1" applyBorder="1"/>
    <xf numFmtId="169" fontId="4" fillId="0" borderId="0" xfId="0" applyNumberFormat="1" applyFont="1" applyFill="1" applyBorder="1" applyAlignment="1">
      <alignment horizontal="center" vertical="center"/>
    </xf>
    <xf numFmtId="165" fontId="5" fillId="0" borderId="5" xfId="0" applyNumberFormat="1" applyFont="1" applyBorder="1"/>
    <xf numFmtId="0" fontId="0" fillId="0" borderId="58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48" xfId="0" applyBorder="1" applyAlignment="1">
      <alignment horizontal="center"/>
    </xf>
    <xf numFmtId="9" fontId="0" fillId="8" borderId="33" xfId="0" applyNumberFormat="1" applyFill="1" applyBorder="1" applyAlignment="1">
      <alignment horizontal="center"/>
    </xf>
    <xf numFmtId="9" fontId="0" fillId="8" borderId="34" xfId="0" applyNumberFormat="1" applyFill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0" xfId="0" applyBorder="1" applyAlignment="1">
      <alignment horizontal="center"/>
    </xf>
    <xf numFmtId="165" fontId="0" fillId="4" borderId="37" xfId="0" applyNumberFormat="1" applyFill="1" applyBorder="1" applyAlignment="1">
      <alignment horizontal="center"/>
    </xf>
    <xf numFmtId="165" fontId="0" fillId="4" borderId="50" xfId="0" applyNumberFormat="1" applyFill="1" applyBorder="1" applyAlignment="1">
      <alignment horizontal="center"/>
    </xf>
    <xf numFmtId="165" fontId="0" fillId="4" borderId="17" xfId="0" applyNumberFormat="1" applyFill="1" applyBorder="1" applyAlignment="1">
      <alignment horizontal="center"/>
    </xf>
    <xf numFmtId="165" fontId="0" fillId="4" borderId="15" xfId="0" applyNumberFormat="1" applyFill="1" applyBorder="1" applyAlignment="1">
      <alignment horizontal="center"/>
    </xf>
    <xf numFmtId="165" fontId="0" fillId="4" borderId="42" xfId="0" applyNumberFormat="1" applyFill="1" applyBorder="1" applyAlignment="1">
      <alignment horizontal="center"/>
    </xf>
    <xf numFmtId="165" fontId="0" fillId="4" borderId="26" xfId="0" applyNumberFormat="1" applyFill="1" applyBorder="1" applyAlignment="1">
      <alignment horizontal="center"/>
    </xf>
    <xf numFmtId="165" fontId="0" fillId="4" borderId="2" xfId="0" applyNumberFormat="1" applyFill="1" applyBorder="1" applyAlignment="1">
      <alignment horizontal="center"/>
    </xf>
    <xf numFmtId="164" fontId="0" fillId="0" borderId="0" xfId="0" applyNumberFormat="1"/>
    <xf numFmtId="0" fontId="0" fillId="2" borderId="57" xfId="0" applyFill="1" applyBorder="1" applyAlignment="1">
      <alignment horizontal="center"/>
    </xf>
    <xf numFmtId="1" fontId="0" fillId="4" borderId="57" xfId="0" applyNumberFormat="1" applyFill="1" applyBorder="1" applyAlignment="1">
      <alignment horizontal="center"/>
    </xf>
    <xf numFmtId="0" fontId="0" fillId="2" borderId="33" xfId="0" applyFill="1" applyBorder="1" applyAlignment="1">
      <alignment horizontal="center"/>
    </xf>
    <xf numFmtId="166" fontId="0" fillId="2" borderId="24" xfId="0" applyNumberFormat="1" applyFill="1" applyBorder="1" applyAlignment="1">
      <alignment vertical="center"/>
    </xf>
    <xf numFmtId="166" fontId="0" fillId="2" borderId="21" xfId="0" applyNumberFormat="1" applyFill="1" applyBorder="1" applyAlignment="1">
      <alignment vertical="center"/>
    </xf>
    <xf numFmtId="169" fontId="5" fillId="4" borderId="0" xfId="0" applyNumberFormat="1" applyFont="1" applyFill="1" applyBorder="1" applyAlignment="1">
      <alignment horizontal="center" vertical="center"/>
    </xf>
    <xf numFmtId="165" fontId="0" fillId="2" borderId="21" xfId="0" applyNumberFormat="1" applyFill="1" applyBorder="1" applyAlignment="1">
      <alignment vertical="center"/>
    </xf>
    <xf numFmtId="168" fontId="0" fillId="6" borderId="41" xfId="0" applyNumberFormat="1" applyFill="1" applyBorder="1" applyAlignment="1">
      <alignment horizontal="center"/>
    </xf>
    <xf numFmtId="168" fontId="0" fillId="0" borderId="2" xfId="0" applyNumberFormat="1" applyBorder="1"/>
    <xf numFmtId="168" fontId="0" fillId="0" borderId="34" xfId="0" applyNumberFormat="1" applyBorder="1"/>
    <xf numFmtId="169" fontId="5" fillId="4" borderId="26" xfId="0" applyNumberFormat="1" applyFont="1" applyFill="1" applyBorder="1" applyAlignment="1">
      <alignment horizontal="center" vertical="center"/>
    </xf>
    <xf numFmtId="169" fontId="5" fillId="4" borderId="27" xfId="0" applyNumberFormat="1" applyFont="1" applyFill="1" applyBorder="1" applyAlignment="1">
      <alignment horizontal="center" vertical="center"/>
    </xf>
    <xf numFmtId="0" fontId="2" fillId="5" borderId="18" xfId="0" applyFont="1" applyFill="1" applyBorder="1" applyAlignment="1">
      <alignment horizontal="center"/>
    </xf>
    <xf numFmtId="0" fontId="2" fillId="5" borderId="12" xfId="0" applyFont="1" applyFill="1" applyBorder="1" applyAlignment="1">
      <alignment horizontal="center"/>
    </xf>
    <xf numFmtId="0" fontId="2" fillId="5" borderId="19" xfId="0" applyFont="1" applyFill="1" applyBorder="1" applyAlignment="1">
      <alignment horizontal="center"/>
    </xf>
    <xf numFmtId="0" fontId="2" fillId="5" borderId="13" xfId="0" applyFont="1" applyFill="1" applyBorder="1" applyAlignment="1">
      <alignment horizontal="center"/>
    </xf>
    <xf numFmtId="0" fontId="2" fillId="5" borderId="14" xfId="0" applyFont="1" applyFill="1" applyBorder="1" applyAlignment="1">
      <alignment horizontal="center"/>
    </xf>
    <xf numFmtId="0" fontId="2" fillId="5" borderId="15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14" fontId="0" fillId="2" borderId="13" xfId="0" applyNumberFormat="1" applyFill="1" applyBorder="1" applyAlignment="1">
      <alignment horizontal="center"/>
    </xf>
    <xf numFmtId="14" fontId="0" fillId="2" borderId="15" xfId="0" applyNumberFormat="1" applyFill="1" applyBorder="1" applyAlignment="1">
      <alignment horizontal="center"/>
    </xf>
    <xf numFmtId="9" fontId="0" fillId="2" borderId="31" xfId="0" applyNumberFormat="1" applyFill="1" applyBorder="1" applyAlignment="1">
      <alignment horizontal="center"/>
    </xf>
    <xf numFmtId="9" fontId="0" fillId="2" borderId="8" xfId="0" applyNumberFormat="1" applyFill="1" applyBorder="1" applyAlignment="1">
      <alignment horizontal="center"/>
    </xf>
    <xf numFmtId="9" fontId="0" fillId="2" borderId="40" xfId="0" applyNumberFormat="1" applyFill="1" applyBorder="1" applyAlignment="1">
      <alignment horizontal="center"/>
    </xf>
    <xf numFmtId="9" fontId="0" fillId="2" borderId="39" xfId="0" applyNumberFormat="1" applyFill="1" applyBorder="1" applyAlignment="1">
      <alignment horizontal="center"/>
    </xf>
    <xf numFmtId="9" fontId="0" fillId="2" borderId="32" xfId="0" applyNumberFormat="1" applyFill="1" applyBorder="1" applyAlignment="1">
      <alignment horizontal="center"/>
    </xf>
    <xf numFmtId="9" fontId="0" fillId="2" borderId="11" xfId="0" applyNumberFormat="1" applyFill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8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165" fontId="0" fillId="0" borderId="44" xfId="0" applyNumberFormat="1" applyBorder="1" applyAlignment="1">
      <alignment horizontal="center"/>
    </xf>
    <xf numFmtId="0" fontId="0" fillId="0" borderId="45" xfId="0" applyBorder="1" applyAlignment="1">
      <alignment horizontal="center"/>
    </xf>
    <xf numFmtId="0" fontId="2" fillId="5" borderId="13" xfId="0" applyFont="1" applyFill="1" applyBorder="1" applyAlignment="1">
      <alignment horizontal="center" vertical="center"/>
    </xf>
    <xf numFmtId="0" fontId="2" fillId="5" borderId="14" xfId="0" applyFont="1" applyFill="1" applyBorder="1" applyAlignment="1">
      <alignment horizontal="center" vertical="center"/>
    </xf>
    <xf numFmtId="0" fontId="2" fillId="5" borderId="15" xfId="0" applyFont="1" applyFill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165" fontId="0" fillId="0" borderId="43" xfId="0" applyNumberFormat="1" applyBorder="1" applyAlignment="1">
      <alignment horizontal="center"/>
    </xf>
    <xf numFmtId="0" fontId="0" fillId="0" borderId="36" xfId="0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13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7" borderId="13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2" fillId="7" borderId="15" xfId="0" applyFont="1" applyFill="1" applyBorder="1" applyAlignment="1">
      <alignment horizontal="center"/>
    </xf>
    <xf numFmtId="169" fontId="5" fillId="4" borderId="57" xfId="0" applyNumberFormat="1" applyFont="1" applyFill="1" applyBorder="1" applyAlignment="1">
      <alignment horizontal="center" vertical="center"/>
    </xf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Cash Flow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NPV!$F$11:$F$24</c:f>
              <c:numCache>
                <c:formatCode>_-[$$-409]* #,##0.00_ ;_-[$$-409]* \-#,##0.00\ ;_-[$$-409]* "-"??_ ;_-@_ </c:formatCode>
                <c:ptCount val="14"/>
                <c:pt idx="0">
                  <c:v>-261.60232069501836</c:v>
                </c:pt>
                <c:pt idx="1">
                  <c:v>-309.19933716275767</c:v>
                </c:pt>
                <c:pt idx="2">
                  <c:v>-257.97587132779768</c:v>
                </c:pt>
                <c:pt idx="3">
                  <c:v>-85.991957109265883</c:v>
                </c:pt>
                <c:pt idx="4">
                  <c:v>81.35928947357408</c:v>
                </c:pt>
                <c:pt idx="5">
                  <c:v>285.76771335958904</c:v>
                </c:pt>
                <c:pt idx="6">
                  <c:v>638.33770860054597</c:v>
                </c:pt>
                <c:pt idx="7">
                  <c:v>1347.1936236621964</c:v>
                </c:pt>
                <c:pt idx="8">
                  <c:v>1384.7083777332768</c:v>
                </c:pt>
                <c:pt idx="9">
                  <c:v>1508.3632027408999</c:v>
                </c:pt>
                <c:pt idx="10">
                  <c:v>1393.5102007682603</c:v>
                </c:pt>
                <c:pt idx="11">
                  <c:v>1336.2436412858015</c:v>
                </c:pt>
                <c:pt idx="12">
                  <c:v>1248.3056659876015</c:v>
                </c:pt>
                <c:pt idx="13">
                  <c:v>446.05346122520837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2C-40A3-B099-A272C45B05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510812304"/>
        <c:axId val="510809680"/>
      </c:barChart>
      <c:lineChart>
        <c:grouping val="standard"/>
        <c:varyColors val="0"/>
        <c:ser>
          <c:idx val="1"/>
          <c:order val="1"/>
          <c:tx>
            <c:v>NPV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NPV!$G$11:$G$24</c:f>
              <c:numCache>
                <c:formatCode>_-[$$-409]* #,##0.00_ ;_-[$$-409]* \-#,##0.00\ ;_-[$$-409]* "-"??_ ;_-@_ </c:formatCode>
                <c:ptCount val="14"/>
                <c:pt idx="0">
                  <c:v>-261.60232069501836</c:v>
                </c:pt>
                <c:pt idx="1">
                  <c:v>-294.47555920262636</c:v>
                </c:pt>
                <c:pt idx="2">
                  <c:v>-233.99172002521331</c:v>
                </c:pt>
                <c:pt idx="3">
                  <c:v>-74.283085722289925</c:v>
                </c:pt>
                <c:pt idx="4">
                  <c:v>66.934488797218506</c:v>
                </c:pt>
                <c:pt idx="5">
                  <c:v>223.90648094909622</c:v>
                </c:pt>
                <c:pt idx="6">
                  <c:v>476.33742641147245</c:v>
                </c:pt>
                <c:pt idx="7">
                  <c:v>957.42535640706797</c:v>
                </c:pt>
                <c:pt idx="8">
                  <c:v>937.22513498076944</c:v>
                </c:pt>
                <c:pt idx="9">
                  <c:v>972.30436938161711</c:v>
                </c:pt>
                <c:pt idx="10">
                  <c:v>855.49438119587944</c:v>
                </c:pt>
                <c:pt idx="11">
                  <c:v>781.27398223325486</c:v>
                </c:pt>
                <c:pt idx="12">
                  <c:v>695.10330414495502</c:v>
                </c:pt>
                <c:pt idx="13">
                  <c:v>236.55167401696107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2C-40A3-B099-A272C45B05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1202408"/>
        <c:axId val="521203064"/>
      </c:lineChart>
      <c:catAx>
        <c:axId val="510812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809680"/>
        <c:crosses val="autoZero"/>
        <c:auto val="1"/>
        <c:lblAlgn val="ctr"/>
        <c:lblOffset val="100"/>
        <c:noMultiLvlLbl val="0"/>
      </c:catAx>
      <c:valAx>
        <c:axId val="51080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812304"/>
        <c:crosses val="autoZero"/>
        <c:crossBetween val="between"/>
      </c:valAx>
      <c:valAx>
        <c:axId val="521203064"/>
        <c:scaling>
          <c:orientation val="minMax"/>
        </c:scaling>
        <c:delete val="0"/>
        <c:axPos val="r"/>
        <c:numFmt formatCode="_-[$$-409]* #,##0.00_ ;_-[$$-409]* \-#,##0.00\ ;_-[$$-409]* &quot;-&quot;??_ ;_-@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202408"/>
        <c:crosses val="max"/>
        <c:crossBetween val="between"/>
      </c:valAx>
      <c:catAx>
        <c:axId val="521202408"/>
        <c:scaling>
          <c:orientation val="minMax"/>
        </c:scaling>
        <c:delete val="1"/>
        <c:axPos val="b"/>
        <c:majorTickMark val="out"/>
        <c:minorTickMark val="none"/>
        <c:tickLblPos val="nextTo"/>
        <c:crossAx val="5212030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COSTS!$B$2</c:f>
              <c:strCache>
                <c:ptCount val="1"/>
                <c:pt idx="0">
                  <c:v>Manpower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COSTS!$B$3:$B$6</c:f>
              <c:numCache>
                <c:formatCode>_-[$$-409]* #,##0.00_ ;_-[$$-409]* \-#,##0.00\ ;_-[$$-409]* "-"??_ ;_-@_ </c:formatCode>
                <c:ptCount val="4"/>
                <c:pt idx="0">
                  <c:v>268605841.84704065</c:v>
                </c:pt>
                <c:pt idx="1">
                  <c:v>376048178.58585691</c:v>
                </c:pt>
                <c:pt idx="2">
                  <c:v>322327010.21644878</c:v>
                </c:pt>
                <c:pt idx="3">
                  <c:v>107442336.73881626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D5-492C-8A60-6CE92A230FD7}"/>
            </c:ext>
          </c:extLst>
        </c:ser>
        <c:ser>
          <c:idx val="1"/>
          <c:order val="1"/>
          <c:tx>
            <c:strRef>
              <c:f>COSTS!$C$2</c:f>
              <c:strCache>
                <c:ptCount val="1"/>
                <c:pt idx="0">
                  <c:v>Infra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COSTS!$C$3:$C$6</c:f>
              <c:numCache>
                <c:formatCode>_-[$$-409]* #,##0.00_ ;_-[$$-409]* \-#,##0.00\ ;_-[$$-409]* "-"??_ ;_-@_ </c:formatCode>
                <c:ptCount val="4"/>
                <c:pt idx="0">
                  <c:v>86192723.889141321</c:v>
                </c:pt>
                <c:pt idx="1">
                  <c:v>39178510.858700596</c:v>
                </c:pt>
                <c:pt idx="2">
                  <c:v>23507106.515220355</c:v>
                </c:pt>
                <c:pt idx="3">
                  <c:v>7835702.1717401193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D5-492C-8A60-6CE92A230FD7}"/>
            </c:ext>
          </c:extLst>
        </c:ser>
        <c:ser>
          <c:idx val="2"/>
          <c:order val="2"/>
          <c:tx>
            <c:strRef>
              <c:f>COSTS!$D$2</c:f>
              <c:strCache>
                <c:ptCount val="1"/>
                <c:pt idx="0">
                  <c:v>Gen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COSTS!$D$3:$D$6</c:f>
              <c:numCache>
                <c:formatCode>_-[$$-409]* #,##0.00_ ;_-[$$-409]* \-#,##0.00\ ;_-[$$-409]* "-"??_ ;_-@_ </c:formatCode>
                <c:ptCount val="4"/>
                <c:pt idx="0">
                  <c:v>18919035.256701499</c:v>
                </c:pt>
                <c:pt idx="1">
                  <c:v>26486649.359382097</c:v>
                </c:pt>
                <c:pt idx="2">
                  <c:v>22702842.3080418</c:v>
                </c:pt>
                <c:pt idx="3">
                  <c:v>7567614.1026806002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D5-492C-8A60-6CE92A230F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8341136"/>
        <c:axId val="368337200"/>
      </c:areaChart>
      <c:catAx>
        <c:axId val="36834113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337200"/>
        <c:crosses val="autoZero"/>
        <c:auto val="1"/>
        <c:lblAlgn val="ctr"/>
        <c:lblOffset val="100"/>
        <c:noMultiLvlLbl val="0"/>
      </c:catAx>
      <c:valAx>
        <c:axId val="36833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341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6.308243727598567E-2"/>
          <c:y val="0.15839056533939028"/>
          <c:w val="0.93691756272401439"/>
          <c:h val="0.64890486437801809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1D9-4542-AA82-25440C5BA2B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1D9-4542-AA82-25440C5BA2B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1D9-4542-AA82-25440C5BA2B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7-81D9-4542-AA82-25440C5BA2B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9-81D9-4542-AA82-25440C5BA2B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COSTS!$C$10:$G$10</c:f>
              <c:strCache>
                <c:ptCount val="5"/>
                <c:pt idx="0">
                  <c:v>Material Costs</c:v>
                </c:pt>
                <c:pt idx="1">
                  <c:v>Manpower Cost </c:v>
                </c:pt>
                <c:pt idx="2">
                  <c:v>COST OF SALES (17% 1+2)</c:v>
                </c:pt>
                <c:pt idx="3">
                  <c:v>PROCESSING COST  (8% 1+2)</c:v>
                </c:pt>
                <c:pt idx="4">
                  <c:v>GENERAL COST (5% 1)</c:v>
                </c:pt>
              </c:strCache>
            </c:strRef>
          </c:cat>
          <c:val>
            <c:numRef>
              <c:f>COSTS!$C$21:$G$21</c:f>
              <c:numCache>
                <c:formatCode>_-[$$-409]* #,##0.00_ ;_-[$$-409]* \-#,##0.00\ ;_-[$$-409]* "-"??_ ;_-@_ </c:formatCode>
                <c:ptCount val="5"/>
                <c:pt idx="0">
                  <c:v>18207912006.072025</c:v>
                </c:pt>
                <c:pt idx="1">
                  <c:v>748160722.39890957</c:v>
                </c:pt>
                <c:pt idx="2">
                  <c:v>3222532363.8400583</c:v>
                </c:pt>
                <c:pt idx="3">
                  <c:v>1516485818.2776742</c:v>
                </c:pt>
                <c:pt idx="4">
                  <c:v>910395600.30360103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1D9-4542-AA82-25440C5BA2BD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65614</xdr:colOff>
      <xdr:row>1</xdr:row>
      <xdr:rowOff>1</xdr:rowOff>
    </xdr:from>
    <xdr:to>
      <xdr:col>18</xdr:col>
      <xdr:colOff>10584</xdr:colOff>
      <xdr:row>24</xdr:row>
      <xdr:rowOff>202407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EE3AF0C0-218B-4CD6-8AC6-DEF3B6B10E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21</xdr:row>
      <xdr:rowOff>104775</xdr:rowOff>
    </xdr:from>
    <xdr:to>
      <xdr:col>5</xdr:col>
      <xdr:colOff>1076325</xdr:colOff>
      <xdr:row>38</xdr:row>
      <xdr:rowOff>114300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58D86FB-A763-4699-AB5D-63AC51F16B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1143000</xdr:colOff>
      <xdr:row>21</xdr:row>
      <xdr:rowOff>114299</xdr:rowOff>
    </xdr:from>
    <xdr:to>
      <xdr:col>7</xdr:col>
      <xdr:colOff>1238250</xdr:colOff>
      <xdr:row>38</xdr:row>
      <xdr:rowOff>85725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9DDDBA3-6FB0-41B1-8D89-74EC624A68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D3254-175D-42F3-BF4D-E6053DBC30BB}">
  <dimension ref="A1:G25"/>
  <sheetViews>
    <sheetView tabSelected="1" topLeftCell="A7" zoomScale="80" zoomScaleNormal="80" workbookViewId="0">
      <selection activeCell="G21" sqref="G21"/>
    </sheetView>
  </sheetViews>
  <sheetFormatPr defaultRowHeight="15" x14ac:dyDescent="0.25"/>
  <cols>
    <col min="1" max="1" width="13.5703125" customWidth="1"/>
    <col min="2" max="2" width="13.85546875" customWidth="1"/>
    <col min="3" max="3" width="16.42578125" customWidth="1"/>
    <col min="4" max="4" width="17.140625" customWidth="1"/>
    <col min="5" max="5" width="16.140625" customWidth="1"/>
    <col min="6" max="6" width="19" customWidth="1"/>
    <col min="7" max="7" width="30.5703125" customWidth="1"/>
  </cols>
  <sheetData>
    <row r="1" spans="1:7" ht="15.75" thickBot="1" x14ac:dyDescent="0.3"/>
    <row r="2" spans="1:7" ht="15.75" thickBot="1" x14ac:dyDescent="0.3">
      <c r="A2" t="s">
        <v>126</v>
      </c>
      <c r="B2" s="147">
        <v>0.6</v>
      </c>
      <c r="D2" s="76" t="s">
        <v>25</v>
      </c>
      <c r="E2" s="59" t="s">
        <v>10</v>
      </c>
      <c r="G2" s="39" t="s">
        <v>136</v>
      </c>
    </row>
    <row r="3" spans="1:7" ht="15.75" thickBot="1" x14ac:dyDescent="0.3">
      <c r="A3" t="s">
        <v>142</v>
      </c>
      <c r="B3" s="148">
        <v>0.05</v>
      </c>
      <c r="D3" s="144" t="s">
        <v>140</v>
      </c>
      <c r="E3" s="161">
        <v>50000</v>
      </c>
      <c r="G3" s="214">
        <f>IRR(F11:F24)</f>
        <v>0.37222329482416128</v>
      </c>
    </row>
    <row r="4" spans="1:7" x14ac:dyDescent="0.25">
      <c r="D4" s="145" t="s">
        <v>139</v>
      </c>
      <c r="E4" s="102">
        <v>80</v>
      </c>
      <c r="G4" s="169"/>
    </row>
    <row r="5" spans="1:7" ht="15" customHeight="1" thickBot="1" x14ac:dyDescent="0.3">
      <c r="D5" s="145" t="s">
        <v>99</v>
      </c>
      <c r="E5" s="102">
        <v>2</v>
      </c>
      <c r="G5" s="170"/>
    </row>
    <row r="6" spans="1:7" ht="15" customHeight="1" x14ac:dyDescent="0.25">
      <c r="D6" s="145" t="s">
        <v>143</v>
      </c>
      <c r="E6" s="102">
        <v>22000</v>
      </c>
      <c r="G6" s="164"/>
    </row>
    <row r="7" spans="1:7" s="74" customFormat="1" ht="12.75" customHeight="1" x14ac:dyDescent="0.25">
      <c r="D7" s="145" t="s">
        <v>141</v>
      </c>
      <c r="E7" s="102">
        <v>1.4</v>
      </c>
      <c r="F7" s="141"/>
      <c r="G7" s="142"/>
    </row>
    <row r="8" spans="1:7" s="74" customFormat="1" ht="12.75" customHeight="1" thickBot="1" x14ac:dyDescent="0.3">
      <c r="D8" s="146" t="s">
        <v>9</v>
      </c>
      <c r="E8" s="23">
        <v>114</v>
      </c>
      <c r="F8" s="141"/>
      <c r="G8" s="142"/>
    </row>
    <row r="9" spans="1:7" s="74" customFormat="1" ht="12.75" customHeight="1" thickBot="1" x14ac:dyDescent="0.3">
      <c r="F9" s="141"/>
      <c r="G9" s="142"/>
    </row>
    <row r="10" spans="1:7" ht="15.75" thickBot="1" x14ac:dyDescent="0.3">
      <c r="A10" s="53" t="s">
        <v>81</v>
      </c>
      <c r="B10" s="53" t="s">
        <v>132</v>
      </c>
      <c r="C10" s="53" t="s">
        <v>135</v>
      </c>
      <c r="D10" s="53" t="s">
        <v>133</v>
      </c>
      <c r="E10" s="53" t="s">
        <v>134</v>
      </c>
      <c r="F10" s="135" t="s">
        <v>138</v>
      </c>
      <c r="G10" s="135" t="s">
        <v>137</v>
      </c>
    </row>
    <row r="11" spans="1:7" x14ac:dyDescent="0.25">
      <c r="A11" s="44">
        <v>1</v>
      </c>
      <c r="B11" s="104">
        <v>0</v>
      </c>
      <c r="C11" s="104">
        <f>B11</f>
        <v>0</v>
      </c>
      <c r="D11" s="131">
        <f>B11*DATA!$C$62</f>
        <v>0</v>
      </c>
      <c r="E11" s="131">
        <f>COSTS!F3/1000000</f>
        <v>261.60232069501836</v>
      </c>
      <c r="F11" s="131">
        <f t="shared" ref="F11:F24" si="0">D11-E11</f>
        <v>-261.60232069501836</v>
      </c>
      <c r="G11" s="131">
        <f>F11/((1+$B$3)^(A11-1))</f>
        <v>-261.60232069501836</v>
      </c>
    </row>
    <row r="12" spans="1:7" x14ac:dyDescent="0.25">
      <c r="A12" s="42">
        <v>2</v>
      </c>
      <c r="B12" s="40">
        <v>0</v>
      </c>
      <c r="C12" s="40">
        <f>C11+B12</f>
        <v>0</v>
      </c>
      <c r="D12" s="132">
        <f>B12*DATA!$C$62</f>
        <v>0</v>
      </c>
      <c r="E12" s="132">
        <f>COSTS!F4/1000000</f>
        <v>309.19933716275767</v>
      </c>
      <c r="F12" s="132">
        <f t="shared" si="0"/>
        <v>-309.19933716275767</v>
      </c>
      <c r="G12" s="131">
        <f t="shared" ref="G12:G24" si="1">F12/((1+$B$3)^(A12-1))</f>
        <v>-294.47555920262636</v>
      </c>
    </row>
    <row r="13" spans="1:7" x14ac:dyDescent="0.25">
      <c r="A13" s="42">
        <v>3</v>
      </c>
      <c r="B13" s="40">
        <v>0</v>
      </c>
      <c r="C13" s="40">
        <f t="shared" ref="C13:C23" si="2">C12+B13</f>
        <v>0</v>
      </c>
      <c r="D13" s="132">
        <f>B13*DATA!$C$62</f>
        <v>0</v>
      </c>
      <c r="E13" s="132">
        <f>COSTS!F5/1000000</f>
        <v>257.97587132779768</v>
      </c>
      <c r="F13" s="132">
        <f t="shared" si="0"/>
        <v>-257.97587132779768</v>
      </c>
      <c r="G13" s="131">
        <f t="shared" si="1"/>
        <v>-233.99172002521331</v>
      </c>
    </row>
    <row r="14" spans="1:7" x14ac:dyDescent="0.25">
      <c r="A14" s="42">
        <v>4</v>
      </c>
      <c r="B14" s="40">
        <v>0</v>
      </c>
      <c r="C14" s="40">
        <f t="shared" si="2"/>
        <v>0</v>
      </c>
      <c r="D14" s="132">
        <f>B14*DATA!$C$62</f>
        <v>0</v>
      </c>
      <c r="E14" s="132">
        <f>COSTS!F6/1000000</f>
        <v>85.991957109265883</v>
      </c>
      <c r="F14" s="132">
        <f t="shared" si="0"/>
        <v>-85.991957109265883</v>
      </c>
      <c r="G14" s="131">
        <f t="shared" si="1"/>
        <v>-74.283085722289925</v>
      </c>
    </row>
    <row r="15" spans="1:7" x14ac:dyDescent="0.25">
      <c r="A15" s="42">
        <v>5</v>
      </c>
      <c r="B15" s="106">
        <f>COSTS!B11</f>
        <v>6</v>
      </c>
      <c r="C15" s="106">
        <f t="shared" si="2"/>
        <v>6</v>
      </c>
      <c r="D15" s="133">
        <f>B15*DATA!$C$62/1000000</f>
        <v>313.49386642435257</v>
      </c>
      <c r="E15" s="133">
        <f>COSTS!H11/1000000</f>
        <v>232.1345769507785</v>
      </c>
      <c r="F15" s="133">
        <f t="shared" si="0"/>
        <v>81.35928947357408</v>
      </c>
      <c r="G15" s="131">
        <f t="shared" si="1"/>
        <v>66.934488797218506</v>
      </c>
    </row>
    <row r="16" spans="1:7" x14ac:dyDescent="0.25">
      <c r="A16" s="42">
        <v>6</v>
      </c>
      <c r="B16" s="106">
        <f>COSTS!B12</f>
        <v>20</v>
      </c>
      <c r="C16" s="106">
        <f t="shared" si="2"/>
        <v>26</v>
      </c>
      <c r="D16" s="133">
        <f>B16*DATA!$C$62/1000000</f>
        <v>1044.979554747842</v>
      </c>
      <c r="E16" s="133">
        <f>COSTS!H12/1000000</f>
        <v>759.21184138825299</v>
      </c>
      <c r="F16" s="133">
        <f t="shared" si="0"/>
        <v>285.76771335958904</v>
      </c>
      <c r="G16" s="131">
        <f t="shared" si="1"/>
        <v>223.90648094909622</v>
      </c>
    </row>
    <row r="17" spans="1:7" x14ac:dyDescent="0.25">
      <c r="A17" s="42">
        <v>7</v>
      </c>
      <c r="B17" s="106">
        <f>COSTS!B13</f>
        <v>44</v>
      </c>
      <c r="C17" s="106">
        <f t="shared" si="2"/>
        <v>70</v>
      </c>
      <c r="D17" s="133">
        <f>B17*DATA!$C$62/1000000</f>
        <v>2298.9550204452526</v>
      </c>
      <c r="E17" s="133">
        <f>COSTS!H13/1000000</f>
        <v>1660.6173118447066</v>
      </c>
      <c r="F17" s="133">
        <f t="shared" si="0"/>
        <v>638.33770860054597</v>
      </c>
      <c r="G17" s="131">
        <f t="shared" si="1"/>
        <v>476.33742641147245</v>
      </c>
    </row>
    <row r="18" spans="1:7" x14ac:dyDescent="0.25">
      <c r="A18" s="42">
        <v>8</v>
      </c>
      <c r="B18" s="106">
        <f>COSTS!B14</f>
        <v>92</v>
      </c>
      <c r="C18" s="106">
        <f t="shared" si="2"/>
        <v>162</v>
      </c>
      <c r="D18" s="133">
        <f>B18*DATA!$C$62/1000000</f>
        <v>4806.9059518400727</v>
      </c>
      <c r="E18" s="133">
        <f>COSTS!H14/1000000</f>
        <v>3459.7123281778763</v>
      </c>
      <c r="F18" s="133">
        <f t="shared" si="0"/>
        <v>1347.1936236621964</v>
      </c>
      <c r="G18" s="131">
        <f t="shared" si="1"/>
        <v>957.42535640706797</v>
      </c>
    </row>
    <row r="19" spans="1:7" x14ac:dyDescent="0.25">
      <c r="A19" s="42">
        <v>9</v>
      </c>
      <c r="B19" s="106">
        <f>COSTS!B15</f>
        <v>94</v>
      </c>
      <c r="C19" s="106">
        <f t="shared" si="2"/>
        <v>256</v>
      </c>
      <c r="D19" s="133">
        <f>B19*DATA!$C$62/1000000</f>
        <v>4911.4039073148579</v>
      </c>
      <c r="E19" s="133">
        <f>COSTS!H15/1000000</f>
        <v>3526.695529581581</v>
      </c>
      <c r="F19" s="133">
        <f t="shared" si="0"/>
        <v>1384.7083777332768</v>
      </c>
      <c r="G19" s="131">
        <f t="shared" si="1"/>
        <v>937.22513498076944</v>
      </c>
    </row>
    <row r="20" spans="1:7" x14ac:dyDescent="0.25">
      <c r="A20" s="42">
        <v>10</v>
      </c>
      <c r="B20" s="106">
        <f>COSTS!B16</f>
        <v>102</v>
      </c>
      <c r="C20" s="106">
        <f t="shared" si="2"/>
        <v>358</v>
      </c>
      <c r="D20" s="133">
        <f>B20*DATA!$C$62/1000000</f>
        <v>5329.3957292139939</v>
      </c>
      <c r="E20" s="133">
        <f>COSTS!H16/1000000</f>
        <v>3821.0325264730941</v>
      </c>
      <c r="F20" s="133">
        <f t="shared" si="0"/>
        <v>1508.3632027408999</v>
      </c>
      <c r="G20" s="131">
        <f t="shared" si="1"/>
        <v>972.30436938161711</v>
      </c>
    </row>
    <row r="21" spans="1:7" x14ac:dyDescent="0.25">
      <c r="A21" s="42">
        <v>11</v>
      </c>
      <c r="B21" s="106">
        <f>COSTS!B17</f>
        <v>94</v>
      </c>
      <c r="C21" s="106">
        <f t="shared" si="2"/>
        <v>452</v>
      </c>
      <c r="D21" s="133">
        <f>B21*DATA!$C$62/1000000</f>
        <v>4911.4039073148579</v>
      </c>
      <c r="E21" s="133">
        <f>COSTS!H17/1000000</f>
        <v>3517.8937065465975</v>
      </c>
      <c r="F21" s="133">
        <f t="shared" si="0"/>
        <v>1393.5102007682603</v>
      </c>
      <c r="G21" s="131">
        <f t="shared" si="1"/>
        <v>855.49438119587944</v>
      </c>
    </row>
    <row r="22" spans="1:7" x14ac:dyDescent="0.25">
      <c r="A22" s="42">
        <v>12</v>
      </c>
      <c r="B22" s="106">
        <f>COSTS!B18</f>
        <v>90</v>
      </c>
      <c r="C22" s="106">
        <f t="shared" si="2"/>
        <v>542</v>
      </c>
      <c r="D22" s="133">
        <f>B22*DATA!$C$62/1000000</f>
        <v>4702.4079963652885</v>
      </c>
      <c r="E22" s="133">
        <f>COSTS!H18/1000000</f>
        <v>3366.164355079487</v>
      </c>
      <c r="F22" s="133">
        <f t="shared" si="0"/>
        <v>1336.2436412858015</v>
      </c>
      <c r="G22" s="131">
        <f t="shared" si="1"/>
        <v>781.27398223325486</v>
      </c>
    </row>
    <row r="23" spans="1:7" x14ac:dyDescent="0.25">
      <c r="A23" s="42">
        <v>13</v>
      </c>
      <c r="B23" s="106">
        <f>COSTS!B19</f>
        <v>84</v>
      </c>
      <c r="C23" s="106">
        <f t="shared" si="2"/>
        <v>626</v>
      </c>
      <c r="D23" s="133">
        <f>B23*DATA!$C$62/1000000</f>
        <v>4388.9141299409357</v>
      </c>
      <c r="E23" s="133">
        <f>COSTS!H19/1000000</f>
        <v>3140.6084639533342</v>
      </c>
      <c r="F23" s="133">
        <f t="shared" si="0"/>
        <v>1248.3056659876015</v>
      </c>
      <c r="G23" s="131">
        <f t="shared" si="1"/>
        <v>695.10330414495502</v>
      </c>
    </row>
    <row r="24" spans="1:7" ht="15.75" thickBot="1" x14ac:dyDescent="0.3">
      <c r="A24" s="43">
        <v>14</v>
      </c>
      <c r="B24" s="107">
        <f>COSTS!B20</f>
        <v>30</v>
      </c>
      <c r="C24" s="107">
        <f>C23+B24</f>
        <v>656</v>
      </c>
      <c r="D24" s="134">
        <f>B24*DATA!$C$62/1000000</f>
        <v>1567.469332121763</v>
      </c>
      <c r="E24" s="134">
        <f>COSTS!H20/1000000</f>
        <v>1121.4158708965547</v>
      </c>
      <c r="F24" s="134">
        <f t="shared" si="0"/>
        <v>446.05346122520837</v>
      </c>
      <c r="G24" s="131">
        <f t="shared" si="1"/>
        <v>236.55167401696107</v>
      </c>
    </row>
    <row r="25" spans="1:7" ht="32.25" thickBot="1" x14ac:dyDescent="0.55000000000000004">
      <c r="C25" s="136" t="s">
        <v>23</v>
      </c>
      <c r="D25" s="137">
        <f>SUM(D11:D24)</f>
        <v>34275.329395729219</v>
      </c>
      <c r="E25" s="137">
        <f>SUM(E11:E24)</f>
        <v>25520.255997187101</v>
      </c>
      <c r="F25" s="137">
        <f>SUM(F11:F24)</f>
        <v>8755.0733985421139</v>
      </c>
      <c r="G25" s="143">
        <f>SUM(G11:G24)</f>
        <v>5338.203912873144</v>
      </c>
    </row>
  </sheetData>
  <mergeCells count="1">
    <mergeCell ref="G3:G5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728D21-FA3F-4794-AC6C-D61B8337B56E}">
  <dimension ref="A1:H21"/>
  <sheetViews>
    <sheetView topLeftCell="A25" workbookViewId="0">
      <selection activeCell="F13" sqref="F13"/>
    </sheetView>
  </sheetViews>
  <sheetFormatPr defaultRowHeight="15" x14ac:dyDescent="0.25"/>
  <cols>
    <col min="1" max="1" width="6.5703125" bestFit="1" customWidth="1"/>
    <col min="2" max="2" width="20.85546875" customWidth="1"/>
    <col min="3" max="3" width="18.7109375" bestFit="1" customWidth="1"/>
    <col min="4" max="4" width="16" bestFit="1" customWidth="1"/>
    <col min="5" max="5" width="23.28515625" bestFit="1" customWidth="1"/>
    <col min="6" max="6" width="26.140625" bestFit="1" customWidth="1"/>
    <col min="7" max="7" width="20.28515625" bestFit="1" customWidth="1"/>
    <col min="8" max="8" width="18.7109375" bestFit="1" customWidth="1"/>
  </cols>
  <sheetData>
    <row r="1" spans="1:8" ht="15.75" thickBot="1" x14ac:dyDescent="0.3">
      <c r="A1" s="171" t="s">
        <v>87</v>
      </c>
      <c r="B1" s="172"/>
      <c r="C1" s="172"/>
      <c r="D1" s="172"/>
      <c r="E1" s="172"/>
      <c r="F1" s="173"/>
    </row>
    <row r="2" spans="1:8" ht="15.75" thickBot="1" x14ac:dyDescent="0.3">
      <c r="A2" s="53" t="s">
        <v>81</v>
      </c>
      <c r="B2" s="57" t="s">
        <v>83</v>
      </c>
      <c r="C2" s="58" t="s">
        <v>84</v>
      </c>
      <c r="D2" s="61" t="s">
        <v>85</v>
      </c>
      <c r="E2" s="59" t="s">
        <v>86</v>
      </c>
      <c r="F2" s="53" t="s">
        <v>125</v>
      </c>
    </row>
    <row r="3" spans="1:8" x14ac:dyDescent="0.25">
      <c r="A3" s="54">
        <v>1</v>
      </c>
      <c r="B3" s="64">
        <f>'MAN POWER'!B21</f>
        <v>268605841.84704065</v>
      </c>
      <c r="C3" s="65">
        <f>'INFRA COST'!B15</f>
        <v>86192723.889141321</v>
      </c>
      <c r="D3" s="66">
        <f>'GEN COST'!B13</f>
        <v>18919035.256701499</v>
      </c>
      <c r="E3" s="67">
        <f>SUM(B3:D3)</f>
        <v>373717600.99288344</v>
      </c>
      <c r="F3" s="151">
        <f>DATA!$B$13*COSTS!E3</f>
        <v>261602320.69501838</v>
      </c>
      <c r="G3" s="158"/>
    </row>
    <row r="4" spans="1:8" x14ac:dyDescent="0.25">
      <c r="A4" s="55">
        <v>2</v>
      </c>
      <c r="B4" s="68">
        <f>'MAN POWER'!B22</f>
        <v>376048178.58585691</v>
      </c>
      <c r="C4" s="50">
        <f>'INFRA COST'!B16</f>
        <v>39178510.858700596</v>
      </c>
      <c r="D4" s="62">
        <f>'GEN COST'!B14</f>
        <v>26486649.359382097</v>
      </c>
      <c r="E4" s="69">
        <f>SUM(B4:D4)</f>
        <v>441713338.80393958</v>
      </c>
      <c r="F4" s="152">
        <f>DATA!$B$13*COSTS!E4</f>
        <v>309199337.16275769</v>
      </c>
      <c r="G4" s="158"/>
    </row>
    <row r="5" spans="1:8" x14ac:dyDescent="0.25">
      <c r="A5" s="55">
        <v>3</v>
      </c>
      <c r="B5" s="68">
        <f>'MAN POWER'!B23</f>
        <v>322327010.21644878</v>
      </c>
      <c r="C5" s="50">
        <f>'INFRA COST'!B17</f>
        <v>23507106.515220355</v>
      </c>
      <c r="D5" s="62">
        <f>'GEN COST'!B15</f>
        <v>22702842.3080418</v>
      </c>
      <c r="E5" s="69">
        <f>SUM(B5:D5)</f>
        <v>368536959.03971094</v>
      </c>
      <c r="F5" s="152">
        <f>DATA!$B$13*COSTS!E5</f>
        <v>257975871.32779765</v>
      </c>
      <c r="G5" s="158"/>
    </row>
    <row r="6" spans="1:8" ht="15.75" thickBot="1" x14ac:dyDescent="0.3">
      <c r="A6" s="56">
        <v>4</v>
      </c>
      <c r="B6" s="70">
        <f>'MAN POWER'!B24</f>
        <v>107442336.73881626</v>
      </c>
      <c r="C6" s="51">
        <f>'INFRA COST'!B18</f>
        <v>7835702.1717401193</v>
      </c>
      <c r="D6" s="63">
        <f>'GEN COST'!B16</f>
        <v>7567614.1026806002</v>
      </c>
      <c r="E6" s="73">
        <f>SUM(B6:D6)</f>
        <v>122845653.01323697</v>
      </c>
      <c r="F6" s="153">
        <f>DATA!$B$13*COSTS!E6</f>
        <v>85991957.109265879</v>
      </c>
      <c r="G6" s="158"/>
    </row>
    <row r="7" spans="1:8" ht="15.75" thickBot="1" x14ac:dyDescent="0.3">
      <c r="A7" s="60" t="s">
        <v>23</v>
      </c>
      <c r="B7" s="6">
        <f>SUM(B3:B6)</f>
        <v>1074423367.3881626</v>
      </c>
      <c r="C7" s="71">
        <f>SUM(C3:C6)</f>
        <v>156714043.43480238</v>
      </c>
      <c r="D7" s="72">
        <f>SUM(D3:D6)</f>
        <v>75676141.026805982</v>
      </c>
      <c r="E7" s="52">
        <f>SUM(E3:E6)</f>
        <v>1306813551.849771</v>
      </c>
      <c r="F7" s="154">
        <f>SUM(F3:F6)</f>
        <v>914769486.29483962</v>
      </c>
    </row>
    <row r="8" spans="1:8" ht="15.75" thickBot="1" x14ac:dyDescent="0.3"/>
    <row r="9" spans="1:8" ht="15.75" thickBot="1" x14ac:dyDescent="0.3">
      <c r="A9" s="174" t="s">
        <v>121</v>
      </c>
      <c r="B9" s="175"/>
      <c r="C9" s="175"/>
      <c r="D9" s="175"/>
      <c r="E9" s="175"/>
      <c r="F9" s="175"/>
      <c r="G9" s="175"/>
      <c r="H9" s="176"/>
    </row>
    <row r="10" spans="1:8" ht="15.75" thickBot="1" x14ac:dyDescent="0.3">
      <c r="A10" s="103" t="s">
        <v>81</v>
      </c>
      <c r="B10" s="53" t="s">
        <v>112</v>
      </c>
      <c r="C10" s="53" t="s">
        <v>119</v>
      </c>
      <c r="D10" s="53" t="s">
        <v>120</v>
      </c>
      <c r="E10" s="20" t="s">
        <v>122</v>
      </c>
      <c r="F10" s="53" t="s">
        <v>123</v>
      </c>
      <c r="G10" s="53" t="s">
        <v>124</v>
      </c>
      <c r="H10" s="103" t="s">
        <v>23</v>
      </c>
    </row>
    <row r="11" spans="1:8" x14ac:dyDescent="0.25">
      <c r="A11" s="104">
        <v>5</v>
      </c>
      <c r="B11" s="113">
        <f>'MAN POWER RC'!B3</f>
        <v>6</v>
      </c>
      <c r="C11" s="114">
        <f>B11*MATERIAL!$H$12</f>
        <v>166535780.54334164</v>
      </c>
      <c r="D11" s="114">
        <f>'MAN POWER RC'!F3</f>
        <v>12510449.795547478</v>
      </c>
      <c r="E11" s="115">
        <f t="shared" ref="E11:E20" si="0">0.17*(C11+D11)</f>
        <v>30437859.157611154</v>
      </c>
      <c r="F11" s="114">
        <f t="shared" ref="F11:F20" si="1">0.08*(C11+D11)</f>
        <v>14323698.42711113</v>
      </c>
      <c r="G11" s="114">
        <f t="shared" ref="G11:G20" si="2">0.05*(C11)</f>
        <v>8326789.0271670818</v>
      </c>
      <c r="H11" s="155">
        <f t="shared" ref="H11:H20" si="3">SUM(C11:G11)</f>
        <v>232134576.95077848</v>
      </c>
    </row>
    <row r="12" spans="1:8" x14ac:dyDescent="0.25">
      <c r="A12" s="40">
        <v>6</v>
      </c>
      <c r="B12" s="106">
        <f>'MAN POWER RC'!B4</f>
        <v>20</v>
      </c>
      <c r="C12" s="109">
        <f>B12*MATERIAL!$H$12</f>
        <v>555119268.4778055</v>
      </c>
      <c r="D12" s="109">
        <f>'MAN POWER RC'!F4</f>
        <v>30045433.893684689</v>
      </c>
      <c r="E12" s="109">
        <f t="shared" si="0"/>
        <v>99477999.403153345</v>
      </c>
      <c r="F12" s="109">
        <f t="shared" si="1"/>
        <v>46813176.189719222</v>
      </c>
      <c r="G12" s="114">
        <f t="shared" si="2"/>
        <v>27755963.423890278</v>
      </c>
      <c r="H12" s="155">
        <f t="shared" si="3"/>
        <v>759211841.38825297</v>
      </c>
    </row>
    <row r="13" spans="1:8" x14ac:dyDescent="0.25">
      <c r="A13" s="40">
        <v>7</v>
      </c>
      <c r="B13" s="106">
        <f>'MAN POWER RC'!B5</f>
        <v>44</v>
      </c>
      <c r="C13" s="109">
        <f>B13*MATERIAL!$H$12</f>
        <v>1221262390.6511722</v>
      </c>
      <c r="D13" s="109">
        <f>'MAN POWER RC'!F5</f>
        <v>58380963.198546119</v>
      </c>
      <c r="E13" s="109">
        <f t="shared" si="0"/>
        <v>217539370.15445215</v>
      </c>
      <c r="F13" s="109">
        <f t="shared" si="1"/>
        <v>102371468.30797747</v>
      </c>
      <c r="G13" s="114">
        <f t="shared" si="2"/>
        <v>61063119.532558613</v>
      </c>
      <c r="H13" s="155">
        <f t="shared" si="3"/>
        <v>1660617311.8447065</v>
      </c>
    </row>
    <row r="14" spans="1:8" x14ac:dyDescent="0.25">
      <c r="A14" s="40">
        <v>8</v>
      </c>
      <c r="B14" s="106">
        <f>'MAN POWER RC'!B6</f>
        <v>92</v>
      </c>
      <c r="C14" s="109">
        <f>B14*MATERIAL!$H$12</f>
        <v>2553548634.9979053</v>
      </c>
      <c r="D14" s="109">
        <f>'MAN POWER RC'!F6</f>
        <v>112079282.14447978</v>
      </c>
      <c r="E14" s="109">
        <f t="shared" si="0"/>
        <v>453156745.91420549</v>
      </c>
      <c r="F14" s="109">
        <f t="shared" si="1"/>
        <v>213250233.37139082</v>
      </c>
      <c r="G14" s="114">
        <f t="shared" si="2"/>
        <v>127677431.74989527</v>
      </c>
      <c r="H14" s="155">
        <f t="shared" si="3"/>
        <v>3459712328.1778765</v>
      </c>
    </row>
    <row r="15" spans="1:8" x14ac:dyDescent="0.25">
      <c r="A15" s="40">
        <v>9</v>
      </c>
      <c r="B15" s="106">
        <f>'MAN POWER RC'!B7</f>
        <v>94</v>
      </c>
      <c r="C15" s="109">
        <f>B15*MATERIAL!$H$12</f>
        <v>2609060561.845686</v>
      </c>
      <c r="D15" s="109">
        <f>'MAN POWER RC'!F7</f>
        <v>107933439.34575193</v>
      </c>
      <c r="E15" s="109">
        <f t="shared" si="0"/>
        <v>461888980.20254445</v>
      </c>
      <c r="F15" s="109">
        <f t="shared" si="1"/>
        <v>217359520.09531501</v>
      </c>
      <c r="G15" s="114">
        <f t="shared" si="2"/>
        <v>130453028.09228431</v>
      </c>
      <c r="H15" s="155">
        <f t="shared" si="3"/>
        <v>3526695529.5815811</v>
      </c>
    </row>
    <row r="16" spans="1:8" x14ac:dyDescent="0.25">
      <c r="A16" s="40">
        <v>10</v>
      </c>
      <c r="B16" s="106">
        <f>'MAN POWER RC'!B8</f>
        <v>102</v>
      </c>
      <c r="C16" s="109">
        <f>B16*MATERIAL!$H$12</f>
        <v>2831108269.2368078</v>
      </c>
      <c r="D16" s="109">
        <f>'MAN POWER RC'!F8</f>
        <v>112473421.17219445</v>
      </c>
      <c r="E16" s="109">
        <f t="shared" si="0"/>
        <v>500408887.36953044</v>
      </c>
      <c r="F16" s="109">
        <f t="shared" si="1"/>
        <v>235486535.2327202</v>
      </c>
      <c r="G16" s="114">
        <f t="shared" si="2"/>
        <v>141555413.46184039</v>
      </c>
      <c r="H16" s="155">
        <f t="shared" si="3"/>
        <v>3821032526.473094</v>
      </c>
    </row>
    <row r="17" spans="1:8" x14ac:dyDescent="0.25">
      <c r="A17" s="40">
        <v>11</v>
      </c>
      <c r="B17" s="106">
        <f>'MAN POWER RC'!B9</f>
        <v>94</v>
      </c>
      <c r="C17" s="109">
        <f>B17*MATERIAL!$H$12</f>
        <v>2609060561.845686</v>
      </c>
      <c r="D17" s="109">
        <f>'MAN POWER RC'!F9</f>
        <v>100891980.91776465</v>
      </c>
      <c r="E17" s="109">
        <f t="shared" si="0"/>
        <v>460691932.26978666</v>
      </c>
      <c r="F17" s="109">
        <f t="shared" si="1"/>
        <v>216796203.42107606</v>
      </c>
      <c r="G17" s="114">
        <f t="shared" si="2"/>
        <v>130453028.09228431</v>
      </c>
      <c r="H17" s="155">
        <f t="shared" si="3"/>
        <v>3517893706.5465975</v>
      </c>
    </row>
    <row r="18" spans="1:8" x14ac:dyDescent="0.25">
      <c r="A18" s="40">
        <v>12</v>
      </c>
      <c r="B18" s="106">
        <f>'MAN POWER RC'!B10</f>
        <v>90</v>
      </c>
      <c r="C18" s="109">
        <f>B18*MATERIAL!$H$12</f>
        <v>2498036708.1501245</v>
      </c>
      <c r="D18" s="109">
        <f>'MAN POWER RC'!F10</f>
        <v>94973307.58746025</v>
      </c>
      <c r="E18" s="109">
        <f t="shared" si="0"/>
        <v>440811702.67538941</v>
      </c>
      <c r="F18" s="109">
        <f t="shared" si="1"/>
        <v>207440801.25900677</v>
      </c>
      <c r="G18" s="114">
        <f t="shared" si="2"/>
        <v>124901835.40750623</v>
      </c>
      <c r="H18" s="155">
        <f t="shared" si="3"/>
        <v>3366164355.0794868</v>
      </c>
    </row>
    <row r="19" spans="1:8" x14ac:dyDescent="0.25">
      <c r="A19" s="40">
        <v>13</v>
      </c>
      <c r="B19" s="106">
        <f>'MAN POWER RC'!B11</f>
        <v>84</v>
      </c>
      <c r="C19" s="109">
        <f>B19*MATERIAL!$H$12</f>
        <v>2331500927.6067829</v>
      </c>
      <c r="D19" s="109">
        <f>'MAN POWER RC'!F11</f>
        <v>87725806.451612905</v>
      </c>
      <c r="E19" s="109">
        <f t="shared" si="0"/>
        <v>411268544.7899273</v>
      </c>
      <c r="F19" s="109">
        <f t="shared" si="1"/>
        <v>193538138.72467166</v>
      </c>
      <c r="G19" s="114">
        <f t="shared" si="2"/>
        <v>116575046.38033915</v>
      </c>
      <c r="H19" s="155">
        <f t="shared" si="3"/>
        <v>3140608463.9533343</v>
      </c>
    </row>
    <row r="20" spans="1:8" ht="15.75" thickBot="1" x14ac:dyDescent="0.3">
      <c r="A20" s="116">
        <v>14</v>
      </c>
      <c r="B20" s="117">
        <f>'MAN POWER RC'!B12</f>
        <v>30</v>
      </c>
      <c r="C20" s="118">
        <f>B20*MATERIAL!$H$12</f>
        <v>832678902.71670818</v>
      </c>
      <c r="D20" s="118">
        <f>'MAN POWER RC'!F12</f>
        <v>31146637.891867332</v>
      </c>
      <c r="E20" s="118">
        <f t="shared" si="0"/>
        <v>146850341.90345785</v>
      </c>
      <c r="F20" s="118">
        <f t="shared" si="1"/>
        <v>69106043.248686045</v>
      </c>
      <c r="G20" s="119">
        <f t="shared" si="2"/>
        <v>41633945.135835409</v>
      </c>
      <c r="H20" s="156">
        <f t="shared" si="3"/>
        <v>1121415870.8965547</v>
      </c>
    </row>
    <row r="21" spans="1:8" ht="15.75" thickBot="1" x14ac:dyDescent="0.3">
      <c r="A21" s="112" t="s">
        <v>23</v>
      </c>
      <c r="B21" s="120">
        <f t="shared" ref="B21:H21" si="4">SUM(B11:B20)</f>
        <v>656</v>
      </c>
      <c r="C21" s="52">
        <f t="shared" si="4"/>
        <v>18207912006.072025</v>
      </c>
      <c r="D21" s="52">
        <f t="shared" si="4"/>
        <v>748160722.39890957</v>
      </c>
      <c r="E21" s="52">
        <f t="shared" si="4"/>
        <v>3222532363.8400583</v>
      </c>
      <c r="F21" s="52">
        <f t="shared" si="4"/>
        <v>1516485818.2776742</v>
      </c>
      <c r="G21" s="52">
        <f t="shared" si="4"/>
        <v>910395600.30360103</v>
      </c>
      <c r="H21" s="157">
        <f t="shared" si="4"/>
        <v>24605486510.892262</v>
      </c>
    </row>
  </sheetData>
  <mergeCells count="2">
    <mergeCell ref="A1:F1"/>
    <mergeCell ref="A9:H9"/>
  </mergeCell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3D3302-75CA-4787-8DD6-A8F3E8FA6A3F}">
  <dimension ref="A1:AD63"/>
  <sheetViews>
    <sheetView topLeftCell="A58" workbookViewId="0">
      <selection activeCell="C62" sqref="C62"/>
    </sheetView>
  </sheetViews>
  <sheetFormatPr defaultRowHeight="15" x14ac:dyDescent="0.25"/>
  <cols>
    <col min="1" max="1" width="15.42578125" customWidth="1"/>
    <col min="2" max="2" width="19.5703125" customWidth="1"/>
    <col min="3" max="3" width="21.140625" customWidth="1"/>
    <col min="4" max="4" width="9" style="74" customWidth="1"/>
    <col min="5" max="5" width="6.5703125" style="74" bestFit="1" customWidth="1"/>
    <col min="6" max="6" width="15.5703125" style="74" customWidth="1"/>
    <col min="7" max="7" width="20.140625" style="74" customWidth="1"/>
    <col min="8" max="8" width="16" style="74" bestFit="1" customWidth="1"/>
    <col min="9" max="9" width="22.85546875" style="74" customWidth="1"/>
    <col min="10" max="10" width="24.85546875" style="74" customWidth="1"/>
    <col min="11" max="11" width="21.42578125" style="74" customWidth="1"/>
    <col min="12" max="12" width="18.7109375" style="74" bestFit="1" customWidth="1"/>
    <col min="13" max="30" width="9.140625" style="74"/>
  </cols>
  <sheetData>
    <row r="1" spans="1:30" ht="15.75" thickBot="1" x14ac:dyDescent="0.3">
      <c r="A1" s="21" t="s">
        <v>7</v>
      </c>
      <c r="B1" s="181">
        <v>42125</v>
      </c>
      <c r="C1" s="182"/>
    </row>
    <row r="2" spans="1:30" ht="15.75" thickBot="1" x14ac:dyDescent="0.3">
      <c r="A2" s="35"/>
      <c r="B2" s="74"/>
      <c r="C2" s="75"/>
    </row>
    <row r="3" spans="1:30" x14ac:dyDescent="0.25">
      <c r="A3" s="101" t="s">
        <v>25</v>
      </c>
      <c r="B3" s="101" t="s">
        <v>5</v>
      </c>
      <c r="C3" s="101" t="s">
        <v>10</v>
      </c>
    </row>
    <row r="4" spans="1:30" x14ac:dyDescent="0.25">
      <c r="A4" s="40" t="s">
        <v>8</v>
      </c>
      <c r="B4" s="102">
        <v>22010</v>
      </c>
      <c r="C4" s="139">
        <f>NPV!E3</f>
        <v>50000</v>
      </c>
    </row>
    <row r="5" spans="1:30" x14ac:dyDescent="0.25">
      <c r="A5" s="40" t="s">
        <v>96</v>
      </c>
      <c r="B5" s="102">
        <v>52</v>
      </c>
      <c r="C5" s="139">
        <f>NPV!E4</f>
        <v>80</v>
      </c>
    </row>
    <row r="6" spans="1:30" x14ac:dyDescent="0.25">
      <c r="A6" s="40" t="s">
        <v>99</v>
      </c>
      <c r="B6" s="102">
        <v>2</v>
      </c>
      <c r="C6" s="139">
        <f>NPV!E5</f>
        <v>2</v>
      </c>
    </row>
    <row r="7" spans="1:30" x14ac:dyDescent="0.25">
      <c r="A7" s="40" t="s">
        <v>111</v>
      </c>
      <c r="B7" s="102">
        <v>1.52</v>
      </c>
      <c r="C7" s="139">
        <f>NPV!E7</f>
        <v>1.4</v>
      </c>
    </row>
    <row r="8" spans="1:30" s="89" customFormat="1" x14ac:dyDescent="0.25">
      <c r="A8" s="40" t="s">
        <v>9</v>
      </c>
      <c r="B8" s="102">
        <v>50</v>
      </c>
      <c r="C8" s="139">
        <f>NPV!E8</f>
        <v>114</v>
      </c>
      <c r="D8" s="74"/>
      <c r="E8" s="74"/>
      <c r="F8" s="74"/>
      <c r="G8" s="74"/>
      <c r="H8" s="74"/>
      <c r="I8" s="74"/>
      <c r="J8" s="74"/>
      <c r="K8" s="74"/>
      <c r="L8" s="74"/>
      <c r="M8" s="74"/>
      <c r="N8" s="74"/>
      <c r="O8" s="74"/>
      <c r="P8" s="74"/>
      <c r="Q8" s="74"/>
      <c r="R8" s="74"/>
      <c r="S8" s="74"/>
      <c r="T8" s="74"/>
      <c r="U8" s="74"/>
      <c r="V8" s="74"/>
      <c r="W8" s="74"/>
      <c r="X8" s="74"/>
      <c r="Y8" s="74"/>
      <c r="Z8" s="74"/>
      <c r="AA8" s="74"/>
      <c r="AB8" s="74"/>
      <c r="AC8" s="74"/>
      <c r="AD8" s="74"/>
    </row>
    <row r="9" spans="1:30" s="74" customFormat="1" x14ac:dyDescent="0.25">
      <c r="A9" s="116" t="s">
        <v>143</v>
      </c>
      <c r="B9" s="159">
        <v>8895</v>
      </c>
      <c r="C9" s="160">
        <f>NPV!$E$6</f>
        <v>22000</v>
      </c>
    </row>
    <row r="10" spans="1:30" s="74" customFormat="1" ht="15.75" thickBot="1" x14ac:dyDescent="0.3">
      <c r="A10" s="41" t="s">
        <v>106</v>
      </c>
      <c r="B10" s="23">
        <v>75</v>
      </c>
      <c r="C10" s="140">
        <f>B10</f>
        <v>75</v>
      </c>
    </row>
    <row r="11" spans="1:30" ht="15.75" thickBot="1" x14ac:dyDescent="0.3">
      <c r="A11" s="35"/>
      <c r="B11" s="74"/>
      <c r="C11" s="75"/>
    </row>
    <row r="12" spans="1:30" ht="45.75" thickBot="1" x14ac:dyDescent="0.3">
      <c r="A12" s="177" t="s">
        <v>0</v>
      </c>
      <c r="B12" s="178"/>
      <c r="C12" s="5" t="s">
        <v>3</v>
      </c>
    </row>
    <row r="13" spans="1:30" x14ac:dyDescent="0.25">
      <c r="A13" s="2" t="s">
        <v>1</v>
      </c>
      <c r="B13" s="78">
        <v>0.7</v>
      </c>
      <c r="C13" s="3">
        <v>41.72</v>
      </c>
    </row>
    <row r="14" spans="1:30" ht="15.75" thickBot="1" x14ac:dyDescent="0.3">
      <c r="A14" s="24" t="s">
        <v>24</v>
      </c>
      <c r="B14" s="25">
        <v>0.3</v>
      </c>
      <c r="C14" s="26">
        <v>83.44</v>
      </c>
    </row>
    <row r="15" spans="1:30" ht="15.75" thickBot="1" x14ac:dyDescent="0.3">
      <c r="A15" s="179" t="s">
        <v>2</v>
      </c>
      <c r="B15" s="180"/>
      <c r="C15" s="4">
        <f>C13*B13+B14*C14</f>
        <v>54.235999999999997</v>
      </c>
    </row>
    <row r="16" spans="1:30" ht="15.75" thickBot="1" x14ac:dyDescent="0.3">
      <c r="A16" s="35"/>
      <c r="B16" s="74"/>
      <c r="C16" s="75"/>
    </row>
    <row r="17" spans="1:3" ht="15.75" thickBot="1" x14ac:dyDescent="0.3">
      <c r="A17" s="36" t="s">
        <v>60</v>
      </c>
      <c r="B17" s="37"/>
      <c r="C17" s="38"/>
    </row>
    <row r="18" spans="1:3" x14ac:dyDescent="0.25">
      <c r="A18" s="39" t="s">
        <v>52</v>
      </c>
      <c r="B18" s="183">
        <v>0.25</v>
      </c>
      <c r="C18" s="184"/>
    </row>
    <row r="19" spans="1:3" x14ac:dyDescent="0.25">
      <c r="A19" s="40" t="s">
        <v>53</v>
      </c>
      <c r="B19" s="185">
        <v>0.35</v>
      </c>
      <c r="C19" s="186"/>
    </row>
    <row r="20" spans="1:3" x14ac:dyDescent="0.25">
      <c r="A20" s="40" t="s">
        <v>54</v>
      </c>
      <c r="B20" s="185">
        <v>0.3</v>
      </c>
      <c r="C20" s="186"/>
    </row>
    <row r="21" spans="1:3" ht="15.75" thickBot="1" x14ac:dyDescent="0.3">
      <c r="A21" s="41" t="s">
        <v>55</v>
      </c>
      <c r="B21" s="187">
        <v>0.1</v>
      </c>
      <c r="C21" s="188"/>
    </row>
    <row r="22" spans="1:3" ht="15.75" thickBot="1" x14ac:dyDescent="0.3">
      <c r="A22" s="35"/>
      <c r="B22" s="74"/>
      <c r="C22" s="75"/>
    </row>
    <row r="23" spans="1:3" ht="15.75" thickBot="1" x14ac:dyDescent="0.3">
      <c r="A23" s="189" t="s">
        <v>61</v>
      </c>
      <c r="B23" s="190"/>
      <c r="C23" s="191"/>
    </row>
    <row r="24" spans="1:3" x14ac:dyDescent="0.25">
      <c r="A24" s="39" t="s">
        <v>52</v>
      </c>
      <c r="B24" s="183">
        <v>0.55000000000000004</v>
      </c>
      <c r="C24" s="184"/>
    </row>
    <row r="25" spans="1:3" x14ac:dyDescent="0.25">
      <c r="A25" s="40" t="s">
        <v>53</v>
      </c>
      <c r="B25" s="185">
        <v>0.25</v>
      </c>
      <c r="C25" s="186"/>
    </row>
    <row r="26" spans="1:3" x14ac:dyDescent="0.25">
      <c r="A26" s="40" t="s">
        <v>54</v>
      </c>
      <c r="B26" s="185">
        <v>0.15</v>
      </c>
      <c r="C26" s="186"/>
    </row>
    <row r="27" spans="1:3" ht="15.75" thickBot="1" x14ac:dyDescent="0.3">
      <c r="A27" s="41" t="s">
        <v>55</v>
      </c>
      <c r="B27" s="187">
        <v>0.05</v>
      </c>
      <c r="C27" s="188"/>
    </row>
    <row r="28" spans="1:3" ht="15.75" thickBot="1" x14ac:dyDescent="0.3">
      <c r="A28" s="35"/>
      <c r="B28" s="74"/>
      <c r="C28" s="75"/>
    </row>
    <row r="29" spans="1:3" ht="15.75" thickBot="1" x14ac:dyDescent="0.3">
      <c r="A29" s="189" t="s">
        <v>72</v>
      </c>
      <c r="B29" s="190"/>
      <c r="C29" s="191"/>
    </row>
    <row r="30" spans="1:3" x14ac:dyDescent="0.25">
      <c r="A30" s="39" t="s">
        <v>52</v>
      </c>
      <c r="B30" s="183">
        <v>0.25</v>
      </c>
      <c r="C30" s="184"/>
    </row>
    <row r="31" spans="1:3" x14ac:dyDescent="0.25">
      <c r="A31" s="40" t="s">
        <v>53</v>
      </c>
      <c r="B31" s="185">
        <v>0.35</v>
      </c>
      <c r="C31" s="186"/>
    </row>
    <row r="32" spans="1:3" x14ac:dyDescent="0.25">
      <c r="A32" s="40" t="s">
        <v>54</v>
      </c>
      <c r="B32" s="185">
        <v>0.3</v>
      </c>
      <c r="C32" s="186"/>
    </row>
    <row r="33" spans="1:3" ht="15.75" thickBot="1" x14ac:dyDescent="0.3">
      <c r="A33" s="41" t="s">
        <v>55</v>
      </c>
      <c r="B33" s="187">
        <v>0.1</v>
      </c>
      <c r="C33" s="188"/>
    </row>
    <row r="34" spans="1:3" ht="15.75" thickBot="1" x14ac:dyDescent="0.3">
      <c r="A34" s="35"/>
      <c r="B34" s="74"/>
      <c r="C34" s="75"/>
    </row>
    <row r="35" spans="1:3" ht="15.75" thickBot="1" x14ac:dyDescent="0.3">
      <c r="A35" s="86" t="s">
        <v>15</v>
      </c>
      <c r="B35" s="45" t="s">
        <v>91</v>
      </c>
      <c r="C35" s="75"/>
    </row>
    <row r="36" spans="1:3" x14ac:dyDescent="0.25">
      <c r="A36" s="9" t="s">
        <v>89</v>
      </c>
      <c r="B36" s="98">
        <v>1.2</v>
      </c>
      <c r="C36" s="75"/>
    </row>
    <row r="37" spans="1:3" x14ac:dyDescent="0.25">
      <c r="A37" s="10" t="s">
        <v>94</v>
      </c>
      <c r="B37" s="84">
        <v>1.4</v>
      </c>
      <c r="C37" s="75"/>
    </row>
    <row r="38" spans="1:3" x14ac:dyDescent="0.25">
      <c r="A38" s="10" t="s">
        <v>97</v>
      </c>
      <c r="B38" s="84">
        <v>1.1000000000000001</v>
      </c>
      <c r="C38" s="75"/>
    </row>
    <row r="39" spans="1:3" x14ac:dyDescent="0.25">
      <c r="A39" s="10" t="s">
        <v>101</v>
      </c>
      <c r="B39" s="99">
        <v>1</v>
      </c>
      <c r="C39" s="75"/>
    </row>
    <row r="40" spans="1:3" x14ac:dyDescent="0.25">
      <c r="A40" s="10" t="s">
        <v>6</v>
      </c>
      <c r="B40" s="99">
        <v>1</v>
      </c>
      <c r="C40" s="75"/>
    </row>
    <row r="41" spans="1:3" x14ac:dyDescent="0.25">
      <c r="A41" s="10" t="s">
        <v>104</v>
      </c>
      <c r="B41" s="99">
        <v>1.3</v>
      </c>
      <c r="C41" s="75"/>
    </row>
    <row r="42" spans="1:3" x14ac:dyDescent="0.25">
      <c r="A42" s="10" t="s">
        <v>107</v>
      </c>
      <c r="B42" s="99">
        <v>0.9</v>
      </c>
      <c r="C42" s="75"/>
    </row>
    <row r="43" spans="1:3" x14ac:dyDescent="0.25">
      <c r="A43" s="10" t="s">
        <v>11</v>
      </c>
      <c r="B43" s="84">
        <v>1.5</v>
      </c>
      <c r="C43" s="75"/>
    </row>
    <row r="44" spans="1:3" ht="15.75" thickBot="1" x14ac:dyDescent="0.3">
      <c r="A44" s="18" t="s">
        <v>109</v>
      </c>
      <c r="B44" s="100">
        <v>1</v>
      </c>
      <c r="C44" s="75"/>
    </row>
    <row r="45" spans="1:3" x14ac:dyDescent="0.25">
      <c r="A45" s="35"/>
      <c r="B45" s="74"/>
      <c r="C45" s="75"/>
    </row>
    <row r="46" spans="1:3" ht="15.75" thickBot="1" x14ac:dyDescent="0.3">
      <c r="A46" s="35"/>
      <c r="B46" s="74"/>
      <c r="C46" s="75"/>
    </row>
    <row r="47" spans="1:3" ht="15.75" thickBot="1" x14ac:dyDescent="0.3">
      <c r="A47" s="121" t="s">
        <v>126</v>
      </c>
      <c r="B47" s="122">
        <v>0.6</v>
      </c>
      <c r="C47" s="138">
        <f>NPV!$B$2</f>
        <v>0.6</v>
      </c>
    </row>
    <row r="48" spans="1:3" ht="15.75" thickBot="1" x14ac:dyDescent="0.3">
      <c r="A48" s="103" t="s">
        <v>81</v>
      </c>
      <c r="B48" s="53" t="s">
        <v>127</v>
      </c>
      <c r="C48" s="77" t="s">
        <v>128</v>
      </c>
    </row>
    <row r="49" spans="1:3" x14ac:dyDescent="0.25">
      <c r="A49" s="104">
        <v>5</v>
      </c>
      <c r="B49" s="127">
        <v>6</v>
      </c>
      <c r="C49" s="124">
        <f>$C$47/$B$47*B49</f>
        <v>6</v>
      </c>
    </row>
    <row r="50" spans="1:3" x14ac:dyDescent="0.25">
      <c r="A50" s="40">
        <v>6</v>
      </c>
      <c r="B50" s="128">
        <v>20</v>
      </c>
      <c r="C50" s="125">
        <f t="shared" ref="C50:C58" si="0">$C$47/$B$47*B50</f>
        <v>20</v>
      </c>
    </row>
    <row r="51" spans="1:3" x14ac:dyDescent="0.25">
      <c r="A51" s="40">
        <v>7</v>
      </c>
      <c r="B51" s="128">
        <v>44</v>
      </c>
      <c r="C51" s="125">
        <f t="shared" si="0"/>
        <v>44</v>
      </c>
    </row>
    <row r="52" spans="1:3" x14ac:dyDescent="0.25">
      <c r="A52" s="40">
        <v>8</v>
      </c>
      <c r="B52" s="128">
        <v>92</v>
      </c>
      <c r="C52" s="125">
        <f t="shared" si="0"/>
        <v>92</v>
      </c>
    </row>
    <row r="53" spans="1:3" x14ac:dyDescent="0.25">
      <c r="A53" s="40">
        <v>9</v>
      </c>
      <c r="B53" s="128">
        <v>94</v>
      </c>
      <c r="C53" s="125">
        <f t="shared" si="0"/>
        <v>94</v>
      </c>
    </row>
    <row r="54" spans="1:3" x14ac:dyDescent="0.25">
      <c r="A54" s="40">
        <v>10</v>
      </c>
      <c r="B54" s="128">
        <v>102</v>
      </c>
      <c r="C54" s="125">
        <f t="shared" si="0"/>
        <v>102</v>
      </c>
    </row>
    <row r="55" spans="1:3" x14ac:dyDescent="0.25">
      <c r="A55" s="40">
        <v>11</v>
      </c>
      <c r="B55" s="128">
        <v>94</v>
      </c>
      <c r="C55" s="125">
        <f t="shared" si="0"/>
        <v>94</v>
      </c>
    </row>
    <row r="56" spans="1:3" x14ac:dyDescent="0.25">
      <c r="A56" s="40">
        <v>12</v>
      </c>
      <c r="B56" s="128">
        <v>90</v>
      </c>
      <c r="C56" s="125">
        <f t="shared" si="0"/>
        <v>90</v>
      </c>
    </row>
    <row r="57" spans="1:3" x14ac:dyDescent="0.25">
      <c r="A57" s="40">
        <v>13</v>
      </c>
      <c r="B57" s="128">
        <v>84</v>
      </c>
      <c r="C57" s="125">
        <f t="shared" si="0"/>
        <v>84</v>
      </c>
    </row>
    <row r="58" spans="1:3" ht="15.75" thickBot="1" x14ac:dyDescent="0.3">
      <c r="A58" s="41">
        <v>14</v>
      </c>
      <c r="B58" s="129">
        <v>30</v>
      </c>
      <c r="C58" s="126">
        <f t="shared" si="0"/>
        <v>30</v>
      </c>
    </row>
    <row r="59" spans="1:3" ht="15.75" thickBot="1" x14ac:dyDescent="0.3">
      <c r="A59" s="22" t="s">
        <v>114</v>
      </c>
      <c r="B59" s="123">
        <v>25</v>
      </c>
      <c r="C59" s="75"/>
    </row>
    <row r="60" spans="1:3" ht="15.75" thickBot="1" x14ac:dyDescent="0.3">
      <c r="A60" s="149"/>
      <c r="B60" s="150"/>
      <c r="C60" s="75"/>
    </row>
    <row r="61" spans="1:3" ht="15.75" thickBot="1" x14ac:dyDescent="0.3">
      <c r="A61" s="192" t="s">
        <v>129</v>
      </c>
      <c r="B61" s="59" t="s">
        <v>130</v>
      </c>
      <c r="C61" s="130" t="s">
        <v>131</v>
      </c>
    </row>
    <row r="62" spans="1:3" ht="15.75" thickBot="1" x14ac:dyDescent="0.3">
      <c r="A62" s="193"/>
      <c r="B62" s="166">
        <v>23000000</v>
      </c>
      <c r="C62" s="167">
        <f>(1+(0.3-0.5*C47))*B63</f>
        <v>52248977.737392098</v>
      </c>
    </row>
    <row r="63" spans="1:3" ht="15.75" thickBot="1" x14ac:dyDescent="0.3">
      <c r="A63" t="s">
        <v>144</v>
      </c>
      <c r="B63" s="168">
        <f>C4/B4*B62</f>
        <v>52248977.737392098</v>
      </c>
    </row>
  </sheetData>
  <mergeCells count="18">
    <mergeCell ref="A61:A62"/>
    <mergeCell ref="A29:C29"/>
    <mergeCell ref="B30:C30"/>
    <mergeCell ref="B31:C31"/>
    <mergeCell ref="B32:C32"/>
    <mergeCell ref="B20:C20"/>
    <mergeCell ref="B33:C33"/>
    <mergeCell ref="B21:C21"/>
    <mergeCell ref="B24:C24"/>
    <mergeCell ref="B25:C25"/>
    <mergeCell ref="B26:C26"/>
    <mergeCell ref="B27:C27"/>
    <mergeCell ref="A23:C23"/>
    <mergeCell ref="A12:B12"/>
    <mergeCell ref="A15:B15"/>
    <mergeCell ref="B1:C1"/>
    <mergeCell ref="B18:C18"/>
    <mergeCell ref="B19:C19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C6548-CE0B-4409-97D6-4152A24CE7C0}">
  <dimension ref="A1:O24"/>
  <sheetViews>
    <sheetView workbookViewId="0">
      <selection activeCell="B21" sqref="B21:C21"/>
    </sheetView>
  </sheetViews>
  <sheetFormatPr defaultRowHeight="15" x14ac:dyDescent="0.25"/>
  <cols>
    <col min="1" max="1" width="18" bestFit="1" customWidth="1"/>
    <col min="2" max="2" width="20.28515625" style="1" customWidth="1"/>
    <col min="3" max="3" width="13.28515625" bestFit="1" customWidth="1"/>
    <col min="4" max="4" width="1.140625" customWidth="1"/>
    <col min="5" max="5" width="16.85546875" bestFit="1" customWidth="1"/>
    <col min="6" max="6" width="13.5703125" bestFit="1" customWidth="1"/>
    <col min="7" max="7" width="13.28515625" bestFit="1" customWidth="1"/>
    <col min="8" max="8" width="1.140625" customWidth="1"/>
    <col min="9" max="9" width="21.140625" bestFit="1" customWidth="1"/>
    <col min="10" max="10" width="13.5703125" bestFit="1" customWidth="1"/>
    <col min="11" max="11" width="13.28515625" bestFit="1" customWidth="1"/>
    <col min="12" max="12" width="1.28515625" customWidth="1"/>
    <col min="13" max="13" width="21.140625" bestFit="1" customWidth="1"/>
    <col min="14" max="14" width="13.5703125" bestFit="1" customWidth="1"/>
    <col min="15" max="15" width="13.28515625" bestFit="1" customWidth="1"/>
  </cols>
  <sheetData>
    <row r="1" spans="1:15" ht="15.75" thickBot="1" x14ac:dyDescent="0.3">
      <c r="A1" s="196" t="s">
        <v>16</v>
      </c>
      <c r="B1" s="197"/>
      <c r="C1" s="198"/>
      <c r="E1" s="196" t="s">
        <v>17</v>
      </c>
      <c r="F1" s="197"/>
      <c r="G1" s="198"/>
      <c r="I1" s="196" t="s">
        <v>28</v>
      </c>
      <c r="J1" s="197"/>
      <c r="K1" s="198"/>
      <c r="M1" s="196" t="s">
        <v>41</v>
      </c>
      <c r="N1" s="197"/>
      <c r="O1" s="198"/>
    </row>
    <row r="2" spans="1:15" ht="15.75" thickBot="1" x14ac:dyDescent="0.3">
      <c r="A2" s="27" t="s">
        <v>15</v>
      </c>
      <c r="B2" s="11" t="s">
        <v>5</v>
      </c>
      <c r="C2" s="12" t="s">
        <v>10</v>
      </c>
      <c r="E2" s="27" t="s">
        <v>15</v>
      </c>
      <c r="F2" s="11" t="s">
        <v>5</v>
      </c>
      <c r="G2" s="12" t="s">
        <v>10</v>
      </c>
      <c r="I2" s="27" t="s">
        <v>15</v>
      </c>
      <c r="J2" s="11" t="s">
        <v>5</v>
      </c>
      <c r="K2" s="12" t="s">
        <v>10</v>
      </c>
      <c r="M2" s="27" t="s">
        <v>15</v>
      </c>
      <c r="N2" s="11" t="s">
        <v>5</v>
      </c>
      <c r="O2" s="12" t="s">
        <v>10</v>
      </c>
    </row>
    <row r="3" spans="1:15" x14ac:dyDescent="0.25">
      <c r="A3" s="9" t="s">
        <v>4</v>
      </c>
      <c r="B3" s="13">
        <v>27983</v>
      </c>
      <c r="C3" s="28">
        <f>B3</f>
        <v>27983</v>
      </c>
      <c r="E3" s="9" t="s">
        <v>18</v>
      </c>
      <c r="F3" s="13">
        <v>135050</v>
      </c>
      <c r="G3" s="14">
        <f>DATA!$C$4/DATA!$B$4*F3</f>
        <v>306792.36710586096</v>
      </c>
      <c r="I3" s="9" t="s">
        <v>40</v>
      </c>
      <c r="J3" s="13">
        <v>208050</v>
      </c>
      <c r="K3" s="14">
        <f>DATA!$C$4/DATA!$B$4*J3</f>
        <v>472626.07905497501</v>
      </c>
      <c r="M3" s="9" t="s">
        <v>42</v>
      </c>
      <c r="N3" s="13">
        <v>19467</v>
      </c>
      <c r="O3" s="29">
        <f t="shared" ref="O3" si="0">N3</f>
        <v>19467</v>
      </c>
    </row>
    <row r="4" spans="1:15" x14ac:dyDescent="0.25">
      <c r="A4" s="10" t="s">
        <v>6</v>
      </c>
      <c r="B4" s="15">
        <v>229950</v>
      </c>
      <c r="C4" s="16">
        <f>DATA!$C$4/DATA!$B$4*B4</f>
        <v>522376.19263970922</v>
      </c>
      <c r="E4" s="10" t="s">
        <v>19</v>
      </c>
      <c r="F4" s="15">
        <v>237250</v>
      </c>
      <c r="G4" s="16">
        <f>DATA!$C$4/DATA!$B$4*F4</f>
        <v>538959.56383462064</v>
      </c>
      <c r="I4" s="10" t="s">
        <v>29</v>
      </c>
      <c r="J4" s="15">
        <v>111933</v>
      </c>
      <c r="K4" s="16">
        <f>DATA!$C$4/DATA!$B$4*J4</f>
        <v>254277.60109041346</v>
      </c>
      <c r="M4" s="10" t="s">
        <v>43</v>
      </c>
      <c r="N4" s="15">
        <v>103417</v>
      </c>
      <c r="O4" s="16">
        <f>DATA!$C$4/DATA!$B$4*N4</f>
        <v>234931.84915947297</v>
      </c>
    </row>
    <row r="5" spans="1:15" x14ac:dyDescent="0.25">
      <c r="A5" s="10" t="s">
        <v>11</v>
      </c>
      <c r="B5" s="15">
        <v>279833</v>
      </c>
      <c r="C5" s="16">
        <f>DATA!$C$4/DATA!$B$4*B5</f>
        <v>635695.13857337576</v>
      </c>
      <c r="E5" s="10" t="s">
        <v>20</v>
      </c>
      <c r="F5" s="15">
        <v>76650</v>
      </c>
      <c r="G5" s="16">
        <f>DATA!$C$4/DATA!$B$4*F5</f>
        <v>174125.39754656976</v>
      </c>
      <c r="I5" s="10" t="s">
        <v>30</v>
      </c>
      <c r="J5" s="15">
        <v>160600</v>
      </c>
      <c r="K5" s="16">
        <f>DATA!$C$4/DATA!$B$4*J5</f>
        <v>364834.16628805088</v>
      </c>
      <c r="M5" s="10" t="s">
        <v>44</v>
      </c>
      <c r="N5" s="15">
        <v>203183</v>
      </c>
      <c r="O5" s="29">
        <f>N5</f>
        <v>203183</v>
      </c>
    </row>
    <row r="6" spans="1:15" x14ac:dyDescent="0.25">
      <c r="A6" s="10" t="s">
        <v>14</v>
      </c>
      <c r="B6" s="15">
        <v>365000</v>
      </c>
      <c r="C6" s="16">
        <f>DATA!$C$4/DATA!$B$4*B6</f>
        <v>829168.55974557018</v>
      </c>
      <c r="E6" s="10" t="s">
        <v>11</v>
      </c>
      <c r="F6" s="15">
        <v>365000</v>
      </c>
      <c r="G6" s="16">
        <f>DATA!$C$4/DATA!$B$4*F6</f>
        <v>829168.55974557018</v>
      </c>
      <c r="I6" s="10" t="s">
        <v>31</v>
      </c>
      <c r="J6" s="15">
        <v>122883</v>
      </c>
      <c r="K6" s="16">
        <f>DATA!$C$4/DATA!$B$4*J6</f>
        <v>279152.65788278059</v>
      </c>
      <c r="M6" s="10" t="s">
        <v>45</v>
      </c>
      <c r="N6" s="15">
        <v>6083</v>
      </c>
      <c r="O6" s="29">
        <f t="shared" ref="O6:O9" si="1">N6</f>
        <v>6083</v>
      </c>
    </row>
    <row r="7" spans="1:15" x14ac:dyDescent="0.25">
      <c r="A7" s="10" t="s">
        <v>26</v>
      </c>
      <c r="B7" s="15">
        <v>121667</v>
      </c>
      <c r="C7" s="16">
        <f>DATA!$C$4/DATA!$B$4*B7</f>
        <v>276390.27714675147</v>
      </c>
      <c r="E7" s="10" t="s">
        <v>6</v>
      </c>
      <c r="F7" s="15">
        <v>92467</v>
      </c>
      <c r="G7" s="16">
        <f>DATA!$C$4/DATA!$B$4*F7</f>
        <v>210056.79236710587</v>
      </c>
      <c r="I7" s="10" t="s">
        <v>32</v>
      </c>
      <c r="J7" s="15">
        <v>48667</v>
      </c>
      <c r="K7" s="16">
        <f>DATA!$C$4/DATA!$B$4*J7</f>
        <v>110556.56519763744</v>
      </c>
      <c r="M7" s="10" t="s">
        <v>46</v>
      </c>
      <c r="N7" s="15">
        <v>128967</v>
      </c>
      <c r="O7" s="29">
        <f t="shared" si="1"/>
        <v>128967</v>
      </c>
    </row>
    <row r="8" spans="1:15" x14ac:dyDescent="0.25">
      <c r="A8" s="10" t="s">
        <v>12</v>
      </c>
      <c r="B8" s="15">
        <v>60833</v>
      </c>
      <c r="C8" s="16">
        <f>DATA!$C$4/DATA!$B$4*B8</f>
        <v>138194.00272603362</v>
      </c>
      <c r="E8" s="10" t="s">
        <v>14</v>
      </c>
      <c r="F8" s="15">
        <v>365000</v>
      </c>
      <c r="G8" s="16">
        <f>DATA!$C$4/DATA!$B$4*F8</f>
        <v>829168.55974557018</v>
      </c>
      <c r="I8" s="10" t="s">
        <v>33</v>
      </c>
      <c r="J8" s="15">
        <v>2828750</v>
      </c>
      <c r="K8" s="16">
        <f>DATA!$C$4/DATA!$B$4*J8</f>
        <v>6426056.3380281692</v>
      </c>
      <c r="M8" s="10" t="s">
        <v>47</v>
      </c>
      <c r="N8" s="15">
        <v>77867</v>
      </c>
      <c r="O8" s="29">
        <f t="shared" si="1"/>
        <v>77867</v>
      </c>
    </row>
    <row r="9" spans="1:15" ht="15.75" thickBot="1" x14ac:dyDescent="0.3">
      <c r="A9" s="18" t="s">
        <v>13</v>
      </c>
      <c r="B9" s="17">
        <v>51100</v>
      </c>
      <c r="C9" s="162">
        <f>DATA!$C$9/DATA!$B$9*B9</f>
        <v>126385.60989319843</v>
      </c>
      <c r="E9" s="10" t="s">
        <v>26</v>
      </c>
      <c r="F9" s="15">
        <v>399067</v>
      </c>
      <c r="G9" s="16">
        <f>DATA!$C$4/DATA!$B$4*F9</f>
        <v>906558.38255338487</v>
      </c>
      <c r="I9" s="10" t="s">
        <v>34</v>
      </c>
      <c r="J9" s="15">
        <v>60833</v>
      </c>
      <c r="K9" s="16">
        <f>DATA!$C$4/DATA!$B$4*J9</f>
        <v>138194.00272603362</v>
      </c>
      <c r="M9" s="18" t="s">
        <v>48</v>
      </c>
      <c r="N9" s="17">
        <v>96117</v>
      </c>
      <c r="O9" s="30">
        <f t="shared" si="1"/>
        <v>96117</v>
      </c>
    </row>
    <row r="10" spans="1:15" ht="15.75" thickBot="1" x14ac:dyDescent="0.3">
      <c r="A10" s="189" t="s">
        <v>23</v>
      </c>
      <c r="B10" s="191"/>
      <c r="C10" s="19">
        <f>SUM(C3:C9)</f>
        <v>2556192.7807246391</v>
      </c>
      <c r="E10" s="10" t="s">
        <v>12</v>
      </c>
      <c r="F10" s="15">
        <v>97333</v>
      </c>
      <c r="G10" s="16">
        <f>DATA!$C$4/DATA!$B$4*F10</f>
        <v>221110.85870059064</v>
      </c>
      <c r="I10" s="10" t="s">
        <v>35</v>
      </c>
      <c r="J10" s="15">
        <v>97333</v>
      </c>
      <c r="K10" s="16">
        <f>DATA!$C$4/DATA!$B$4*J10</f>
        <v>221110.85870059064</v>
      </c>
      <c r="M10" s="189" t="s">
        <v>23</v>
      </c>
      <c r="N10" s="191"/>
      <c r="O10" s="19">
        <f>SUM(O3:O9)</f>
        <v>766615.84915947297</v>
      </c>
    </row>
    <row r="11" spans="1:15" x14ac:dyDescent="0.25">
      <c r="E11" s="10" t="s">
        <v>13</v>
      </c>
      <c r="F11" s="15">
        <v>121667</v>
      </c>
      <c r="G11" s="163">
        <f>DATA!$C$9/DATA!$B$9*F11</f>
        <v>300918.94322653179</v>
      </c>
      <c r="I11" s="10" t="s">
        <v>36</v>
      </c>
      <c r="J11" s="15">
        <v>585217</v>
      </c>
      <c r="K11" s="16">
        <f>DATA!$C$4/DATA!$B$4*J11</f>
        <v>1329434.3480236258</v>
      </c>
    </row>
    <row r="12" spans="1:15" x14ac:dyDescent="0.25">
      <c r="E12" s="10" t="s">
        <v>21</v>
      </c>
      <c r="F12" s="15">
        <v>121667</v>
      </c>
      <c r="G12" s="16">
        <f>DATA!$C$4/DATA!$B$4*F12</f>
        <v>276390.27714675147</v>
      </c>
      <c r="I12" s="10" t="s">
        <v>37</v>
      </c>
      <c r="J12" s="15">
        <v>526817</v>
      </c>
      <c r="K12" s="16">
        <f>DATA!$C$4/DATA!$B$4*J12</f>
        <v>1196767.3784643344</v>
      </c>
    </row>
    <row r="13" spans="1:15" x14ac:dyDescent="0.25">
      <c r="E13" s="10" t="s">
        <v>22</v>
      </c>
      <c r="F13" s="15">
        <v>62050</v>
      </c>
      <c r="G13" s="29">
        <f>F13</f>
        <v>62050</v>
      </c>
      <c r="I13" s="10" t="s">
        <v>38</v>
      </c>
      <c r="J13" s="15">
        <v>784750</v>
      </c>
      <c r="K13" s="29">
        <f>J13</f>
        <v>784750</v>
      </c>
    </row>
    <row r="14" spans="1:15" ht="15.75" thickBot="1" x14ac:dyDescent="0.3">
      <c r="E14" s="18" t="s">
        <v>27</v>
      </c>
      <c r="F14" s="17">
        <v>115583</v>
      </c>
      <c r="G14" s="30">
        <f>F14</f>
        <v>115583</v>
      </c>
      <c r="I14" s="18" t="s">
        <v>39</v>
      </c>
      <c r="J14" s="17">
        <v>138700</v>
      </c>
      <c r="K14" s="30">
        <f>J14</f>
        <v>138700</v>
      </c>
    </row>
    <row r="15" spans="1:15" ht="15.75" thickBot="1" x14ac:dyDescent="0.3">
      <c r="E15" s="189" t="s">
        <v>23</v>
      </c>
      <c r="F15" s="191"/>
      <c r="G15" s="19">
        <f>SUM(G3:G14)</f>
        <v>4770882.7019725554</v>
      </c>
      <c r="I15" s="189" t="s">
        <v>23</v>
      </c>
      <c r="J15" s="191"/>
      <c r="K15" s="19">
        <f>SUM(K3:K14)</f>
        <v>11716459.99545661</v>
      </c>
    </row>
    <row r="16" spans="1:15" ht="15.75" thickBot="1" x14ac:dyDescent="0.3"/>
    <row r="17" spans="1:3" ht="15.75" x14ac:dyDescent="0.25">
      <c r="A17" s="199" t="s">
        <v>49</v>
      </c>
      <c r="B17" s="33">
        <f>C10+G15+K15+O10</f>
        <v>19810151.327313274</v>
      </c>
      <c r="C17" s="31" t="s">
        <v>50</v>
      </c>
    </row>
    <row r="18" spans="1:3" ht="16.5" thickBot="1" x14ac:dyDescent="0.3">
      <c r="A18" s="200"/>
      <c r="B18" s="34">
        <f>B17*DATA!C15</f>
        <v>1074423367.3881626</v>
      </c>
      <c r="C18" s="32" t="s">
        <v>51</v>
      </c>
    </row>
    <row r="19" spans="1:3" ht="15.75" thickBot="1" x14ac:dyDescent="0.3"/>
    <row r="20" spans="1:3" ht="15.75" thickBot="1" x14ac:dyDescent="0.3">
      <c r="A20" s="201" t="s">
        <v>82</v>
      </c>
      <c r="B20" s="202"/>
      <c r="C20" s="203"/>
    </row>
    <row r="21" spans="1:3" x14ac:dyDescent="0.25">
      <c r="A21" s="44" t="s">
        <v>56</v>
      </c>
      <c r="B21" s="204">
        <f>$B$18*DATA!B18</f>
        <v>268605841.84704065</v>
      </c>
      <c r="C21" s="205"/>
    </row>
    <row r="22" spans="1:3" x14ac:dyDescent="0.25">
      <c r="A22" s="42" t="s">
        <v>57</v>
      </c>
      <c r="B22" s="204">
        <f>$B$18*DATA!B19</f>
        <v>376048178.58585691</v>
      </c>
      <c r="C22" s="205"/>
    </row>
    <row r="23" spans="1:3" x14ac:dyDescent="0.25">
      <c r="A23" s="42" t="s">
        <v>58</v>
      </c>
      <c r="B23" s="204">
        <f>$B$18*DATA!B20</f>
        <v>322327010.21644878</v>
      </c>
      <c r="C23" s="205"/>
    </row>
    <row r="24" spans="1:3" ht="15.75" thickBot="1" x14ac:dyDescent="0.3">
      <c r="A24" s="43" t="s">
        <v>59</v>
      </c>
      <c r="B24" s="194">
        <f>$B$18*DATA!B21</f>
        <v>107442336.73881626</v>
      </c>
      <c r="C24" s="195"/>
    </row>
  </sheetData>
  <mergeCells count="14">
    <mergeCell ref="B24:C24"/>
    <mergeCell ref="M1:O1"/>
    <mergeCell ref="M10:N10"/>
    <mergeCell ref="A17:A18"/>
    <mergeCell ref="A20:C20"/>
    <mergeCell ref="B21:C21"/>
    <mergeCell ref="B22:C22"/>
    <mergeCell ref="B23:C23"/>
    <mergeCell ref="A10:B10"/>
    <mergeCell ref="E15:F15"/>
    <mergeCell ref="I1:K1"/>
    <mergeCell ref="I15:J15"/>
    <mergeCell ref="A1:C1"/>
    <mergeCell ref="E1:G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E5B3AA-7C64-4CD1-AD51-1495D5472705}">
  <dimension ref="A1:C18"/>
  <sheetViews>
    <sheetView workbookViewId="0">
      <selection activeCell="B15" sqref="B15:C15"/>
    </sheetView>
  </sheetViews>
  <sheetFormatPr defaultRowHeight="15" x14ac:dyDescent="0.25"/>
  <cols>
    <col min="1" max="1" width="21.140625" customWidth="1"/>
    <col min="2" max="2" width="18" style="1" bestFit="1" customWidth="1"/>
    <col min="3" max="3" width="17.85546875" customWidth="1"/>
    <col min="4" max="4" width="1.140625" customWidth="1"/>
  </cols>
  <sheetData>
    <row r="1" spans="1:3" ht="15.75" thickBot="1" x14ac:dyDescent="0.3">
      <c r="A1" s="196" t="s">
        <v>63</v>
      </c>
      <c r="B1" s="197"/>
      <c r="C1" s="198"/>
    </row>
    <row r="2" spans="1:3" ht="15.75" thickBot="1" x14ac:dyDescent="0.3">
      <c r="A2" s="27" t="s">
        <v>15</v>
      </c>
      <c r="B2" s="45" t="s">
        <v>5</v>
      </c>
      <c r="C2" s="12" t="s">
        <v>10</v>
      </c>
    </row>
    <row r="3" spans="1:3" x14ac:dyDescent="0.25">
      <c r="A3" s="9" t="s">
        <v>62</v>
      </c>
      <c r="B3" s="46">
        <v>17880000</v>
      </c>
      <c r="C3" s="7">
        <f>DATA!$C$4/DATA!$B$4*B3</f>
        <v>40617900.95411177</v>
      </c>
    </row>
    <row r="4" spans="1:3" x14ac:dyDescent="0.25">
      <c r="A4" s="10" t="s">
        <v>64</v>
      </c>
      <c r="B4" s="46">
        <v>9536000</v>
      </c>
      <c r="C4" s="7">
        <f>DATA!$C$4/DATA!$B$4*B4</f>
        <v>21662880.508859612</v>
      </c>
    </row>
    <row r="5" spans="1:3" x14ac:dyDescent="0.25">
      <c r="A5" s="10" t="s">
        <v>33</v>
      </c>
      <c r="B5" s="46">
        <v>35760000</v>
      </c>
      <c r="C5" s="7">
        <f>DATA!$C$4/DATA!$B$4*B5</f>
        <v>81235801.90822354</v>
      </c>
    </row>
    <row r="6" spans="1:3" x14ac:dyDescent="0.25">
      <c r="A6" s="10" t="s">
        <v>65</v>
      </c>
      <c r="B6" s="46">
        <v>1192000</v>
      </c>
      <c r="C6" s="7">
        <f>DATA!$C$4/DATA!$B$4*B6</f>
        <v>2707860.0636074515</v>
      </c>
    </row>
    <row r="7" spans="1:3" x14ac:dyDescent="0.25">
      <c r="A7" s="10" t="s">
        <v>66</v>
      </c>
      <c r="B7" s="46">
        <v>6913600</v>
      </c>
      <c r="C7" s="49">
        <f>B7</f>
        <v>6913600</v>
      </c>
    </row>
    <row r="8" spans="1:3" x14ac:dyDescent="0.25">
      <c r="A8" s="10" t="s">
        <v>67</v>
      </c>
      <c r="B8" s="46">
        <v>596000</v>
      </c>
      <c r="C8" s="49">
        <f t="shared" ref="C8:C11" si="0">B8</f>
        <v>596000</v>
      </c>
    </row>
    <row r="9" spans="1:3" x14ac:dyDescent="0.25">
      <c r="A9" s="10" t="s">
        <v>68</v>
      </c>
      <c r="B9" s="46">
        <v>596000</v>
      </c>
      <c r="C9" s="49">
        <f t="shared" si="0"/>
        <v>596000</v>
      </c>
    </row>
    <row r="10" spans="1:3" x14ac:dyDescent="0.25">
      <c r="A10" s="10" t="s">
        <v>69</v>
      </c>
      <c r="B10" s="46">
        <v>1788000</v>
      </c>
      <c r="C10" s="49">
        <f t="shared" si="0"/>
        <v>1788000</v>
      </c>
    </row>
    <row r="11" spans="1:3" ht="15.75" thickBot="1" x14ac:dyDescent="0.3">
      <c r="A11" s="18" t="s">
        <v>70</v>
      </c>
      <c r="B11" s="47">
        <v>596000</v>
      </c>
      <c r="C11" s="49">
        <f t="shared" si="0"/>
        <v>596000</v>
      </c>
    </row>
    <row r="12" spans="1:3" ht="15.75" thickBot="1" x14ac:dyDescent="0.3">
      <c r="A12" s="189" t="s">
        <v>23</v>
      </c>
      <c r="B12" s="206"/>
      <c r="C12" s="48">
        <f>SUM(C3:C11)</f>
        <v>156714043.43480238</v>
      </c>
    </row>
    <row r="13" spans="1:3" ht="15.75" thickBot="1" x14ac:dyDescent="0.3"/>
    <row r="14" spans="1:3" ht="15.75" thickBot="1" x14ac:dyDescent="0.3">
      <c r="A14" s="201" t="s">
        <v>71</v>
      </c>
      <c r="B14" s="202"/>
      <c r="C14" s="203"/>
    </row>
    <row r="15" spans="1:3" x14ac:dyDescent="0.25">
      <c r="A15" s="44" t="s">
        <v>56</v>
      </c>
      <c r="B15" s="204">
        <f>$C$12*DATA!B24</f>
        <v>86192723.889141321</v>
      </c>
      <c r="C15" s="205"/>
    </row>
    <row r="16" spans="1:3" x14ac:dyDescent="0.25">
      <c r="A16" s="42" t="s">
        <v>57</v>
      </c>
      <c r="B16" s="204">
        <f>$C$12*DATA!B25</f>
        <v>39178510.858700596</v>
      </c>
      <c r="C16" s="205"/>
    </row>
    <row r="17" spans="1:3" x14ac:dyDescent="0.25">
      <c r="A17" s="42" t="s">
        <v>58</v>
      </c>
      <c r="B17" s="204">
        <f>$C$12*DATA!B26</f>
        <v>23507106.515220355</v>
      </c>
      <c r="C17" s="205"/>
    </row>
    <row r="18" spans="1:3" ht="15.75" thickBot="1" x14ac:dyDescent="0.3">
      <c r="A18" s="43" t="s">
        <v>59</v>
      </c>
      <c r="B18" s="194">
        <f>$C$12*DATA!B27</f>
        <v>7835702.1717401193</v>
      </c>
      <c r="C18" s="195"/>
    </row>
  </sheetData>
  <mergeCells count="7">
    <mergeCell ref="A1:C1"/>
    <mergeCell ref="A12:B12"/>
    <mergeCell ref="B17:C17"/>
    <mergeCell ref="B18:C18"/>
    <mergeCell ref="A14:C14"/>
    <mergeCell ref="B15:C15"/>
    <mergeCell ref="B16:C1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4DFD4-2719-47AA-BA2A-B1A29BEA90DC}">
  <dimension ref="A1:C16"/>
  <sheetViews>
    <sheetView workbookViewId="0">
      <selection activeCell="C9" sqref="C9"/>
    </sheetView>
  </sheetViews>
  <sheetFormatPr defaultRowHeight="15" x14ac:dyDescent="0.25"/>
  <cols>
    <col min="1" max="1" width="32.5703125" customWidth="1"/>
    <col min="2" max="2" width="18" style="1" bestFit="1" customWidth="1"/>
    <col min="3" max="3" width="17.85546875" customWidth="1"/>
    <col min="4" max="4" width="1.140625" customWidth="1"/>
  </cols>
  <sheetData>
    <row r="1" spans="1:3" ht="15.75" thickBot="1" x14ac:dyDescent="0.3">
      <c r="A1" s="196" t="s">
        <v>73</v>
      </c>
      <c r="B1" s="197"/>
      <c r="C1" s="198"/>
    </row>
    <row r="2" spans="1:3" ht="15.75" thickBot="1" x14ac:dyDescent="0.3">
      <c r="A2" s="27" t="s">
        <v>15</v>
      </c>
      <c r="B2" s="45" t="s">
        <v>5</v>
      </c>
      <c r="C2" s="12" t="s">
        <v>10</v>
      </c>
    </row>
    <row r="3" spans="1:3" x14ac:dyDescent="0.25">
      <c r="A3" s="9" t="s">
        <v>74</v>
      </c>
      <c r="B3" s="46">
        <v>834400</v>
      </c>
      <c r="C3" s="49">
        <f t="shared" ref="C3:C6" si="0">B3</f>
        <v>834400</v>
      </c>
    </row>
    <row r="4" spans="1:3" x14ac:dyDescent="0.25">
      <c r="A4" s="10" t="s">
        <v>75</v>
      </c>
      <c r="B4" s="46">
        <v>4529600</v>
      </c>
      <c r="C4" s="49">
        <f t="shared" si="0"/>
        <v>4529600</v>
      </c>
    </row>
    <row r="5" spans="1:3" x14ac:dyDescent="0.25">
      <c r="A5" s="10" t="s">
        <v>76</v>
      </c>
      <c r="B5" s="46">
        <v>2980000</v>
      </c>
      <c r="C5" s="49">
        <f t="shared" si="0"/>
        <v>2980000</v>
      </c>
    </row>
    <row r="6" spans="1:3" x14ac:dyDescent="0.25">
      <c r="A6" s="10" t="s">
        <v>77</v>
      </c>
      <c r="B6" s="46">
        <v>5006400</v>
      </c>
      <c r="C6" s="49">
        <f t="shared" si="0"/>
        <v>5006400</v>
      </c>
    </row>
    <row r="7" spans="1:3" x14ac:dyDescent="0.25">
      <c r="A7" s="10" t="s">
        <v>78</v>
      </c>
      <c r="B7" s="46">
        <v>23840000</v>
      </c>
      <c r="C7" s="49">
        <f>B7</f>
        <v>23840000</v>
      </c>
    </row>
    <row r="8" spans="1:3" x14ac:dyDescent="0.25">
      <c r="A8" s="10" t="s">
        <v>79</v>
      </c>
      <c r="B8" s="46">
        <v>27416000</v>
      </c>
      <c r="C8" s="49">
        <f t="shared" ref="C8" si="1">B8</f>
        <v>27416000</v>
      </c>
    </row>
    <row r="9" spans="1:3" ht="15.75" thickBot="1" x14ac:dyDescent="0.3">
      <c r="A9" s="18" t="s">
        <v>80</v>
      </c>
      <c r="B9" s="47">
        <v>4872900</v>
      </c>
      <c r="C9" s="8">
        <f>DATA!$C$4/DATA!$B$4*B9</f>
        <v>11069741.026805997</v>
      </c>
    </row>
    <row r="10" spans="1:3" ht="15.75" thickBot="1" x14ac:dyDescent="0.3">
      <c r="A10" s="207" t="s">
        <v>23</v>
      </c>
      <c r="B10" s="206"/>
      <c r="C10" s="8">
        <f>SUM(C3:C9)</f>
        <v>75676141.026805997</v>
      </c>
    </row>
    <row r="11" spans="1:3" ht="15.75" thickBot="1" x14ac:dyDescent="0.3"/>
    <row r="12" spans="1:3" ht="15.75" thickBot="1" x14ac:dyDescent="0.3">
      <c r="A12" s="201" t="s">
        <v>71</v>
      </c>
      <c r="B12" s="202"/>
      <c r="C12" s="203"/>
    </row>
    <row r="13" spans="1:3" x14ac:dyDescent="0.25">
      <c r="A13" s="44" t="s">
        <v>56</v>
      </c>
      <c r="B13" s="204">
        <f>$C$10*DATA!B30</f>
        <v>18919035.256701499</v>
      </c>
      <c r="C13" s="205"/>
    </row>
    <row r="14" spans="1:3" x14ac:dyDescent="0.25">
      <c r="A14" s="42" t="s">
        <v>57</v>
      </c>
      <c r="B14" s="204">
        <f>$C$10*DATA!B31</f>
        <v>26486649.359382097</v>
      </c>
      <c r="C14" s="205"/>
    </row>
    <row r="15" spans="1:3" x14ac:dyDescent="0.25">
      <c r="A15" s="42" t="s">
        <v>58</v>
      </c>
      <c r="B15" s="204">
        <f>$C$10*DATA!B32</f>
        <v>22702842.3080418</v>
      </c>
      <c r="C15" s="205"/>
    </row>
    <row r="16" spans="1:3" ht="15.75" thickBot="1" x14ac:dyDescent="0.3">
      <c r="A16" s="43" t="s">
        <v>59</v>
      </c>
      <c r="B16" s="194">
        <f>$C$10*DATA!B33</f>
        <v>7567614.1026806002</v>
      </c>
      <c r="C16" s="195"/>
    </row>
  </sheetData>
  <mergeCells count="7">
    <mergeCell ref="B16:C16"/>
    <mergeCell ref="A1:C1"/>
    <mergeCell ref="A10:B10"/>
    <mergeCell ref="A12:C12"/>
    <mergeCell ref="B13:C13"/>
    <mergeCell ref="B14:C14"/>
    <mergeCell ref="B15:C1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C9E82-8876-4437-A527-9A12D637CAFC}">
  <dimension ref="A1:H12"/>
  <sheetViews>
    <sheetView workbookViewId="0">
      <selection activeCell="E6" sqref="E6"/>
    </sheetView>
  </sheetViews>
  <sheetFormatPr defaultRowHeight="15" x14ac:dyDescent="0.25"/>
  <cols>
    <col min="1" max="1" width="21.140625" customWidth="1"/>
    <col min="2" max="2" width="14.28515625" customWidth="1"/>
    <col min="3" max="3" width="14.85546875" customWidth="1"/>
    <col min="4" max="5" width="15" customWidth="1"/>
    <col min="6" max="6" width="17.5703125" customWidth="1"/>
    <col min="7" max="7" width="18" customWidth="1"/>
    <col min="8" max="8" width="20.85546875" customWidth="1"/>
  </cols>
  <sheetData>
    <row r="1" spans="1:8" ht="15.75" thickBot="1" x14ac:dyDescent="0.3">
      <c r="A1" s="196" t="s">
        <v>88</v>
      </c>
      <c r="B1" s="197"/>
      <c r="C1" s="197"/>
      <c r="D1" s="197"/>
      <c r="E1" s="197"/>
      <c r="F1" s="197"/>
      <c r="G1" s="197"/>
      <c r="H1" s="198"/>
    </row>
    <row r="2" spans="1:8" ht="30.75" thickBot="1" x14ac:dyDescent="0.3">
      <c r="A2" s="85" t="s">
        <v>15</v>
      </c>
      <c r="B2" s="209" t="s">
        <v>100</v>
      </c>
      <c r="C2" s="210"/>
      <c r="D2" s="45" t="s">
        <v>5</v>
      </c>
      <c r="E2" s="12" t="s">
        <v>10</v>
      </c>
      <c r="F2" s="45" t="s">
        <v>91</v>
      </c>
      <c r="G2" s="83" t="s">
        <v>93</v>
      </c>
      <c r="H2" s="83" t="s">
        <v>92</v>
      </c>
    </row>
    <row r="3" spans="1:8" x14ac:dyDescent="0.25">
      <c r="A3" s="9" t="s">
        <v>89</v>
      </c>
      <c r="B3" s="90">
        <v>8</v>
      </c>
      <c r="C3" s="91" t="s">
        <v>90</v>
      </c>
      <c r="D3" s="92">
        <f>DATA!B4</f>
        <v>22010</v>
      </c>
      <c r="E3" s="92">
        <f>DATA!C4</f>
        <v>50000</v>
      </c>
      <c r="F3" s="92">
        <f>DATA!B36</f>
        <v>1.2</v>
      </c>
      <c r="G3" s="93">
        <f t="shared" ref="G3:G11" si="0">B3*D3*F3</f>
        <v>211296</v>
      </c>
      <c r="H3" s="94">
        <f t="shared" ref="H3:H11" si="1">B3*E3*F3</f>
        <v>480000</v>
      </c>
    </row>
    <row r="4" spans="1:8" x14ac:dyDescent="0.25">
      <c r="A4" s="10" t="s">
        <v>94</v>
      </c>
      <c r="B4" s="80">
        <v>834</v>
      </c>
      <c r="C4" s="81" t="s">
        <v>110</v>
      </c>
      <c r="D4" s="88">
        <f>DATA!B5*10.7584</f>
        <v>559.43679999999995</v>
      </c>
      <c r="E4" s="88">
        <f>DATA!C5*10.7584</f>
        <v>860.67200000000003</v>
      </c>
      <c r="F4" s="79">
        <f>DATA!B37</f>
        <v>1.4</v>
      </c>
      <c r="G4" s="46">
        <f t="shared" si="0"/>
        <v>653198.40767999995</v>
      </c>
      <c r="H4" s="7">
        <f t="shared" si="1"/>
        <v>1004920.6271999999</v>
      </c>
    </row>
    <row r="5" spans="1:8" x14ac:dyDescent="0.25">
      <c r="A5" s="10" t="s">
        <v>97</v>
      </c>
      <c r="B5" s="80">
        <v>2000000</v>
      </c>
      <c r="C5" s="81" t="s">
        <v>98</v>
      </c>
      <c r="D5" s="79">
        <f>DATA!B6</f>
        <v>2</v>
      </c>
      <c r="E5" s="79">
        <f>DATA!C6</f>
        <v>2</v>
      </c>
      <c r="F5" s="79">
        <f>DATA!B38</f>
        <v>1.1000000000000001</v>
      </c>
      <c r="G5" s="46">
        <f t="shared" si="0"/>
        <v>4400000</v>
      </c>
      <c r="H5" s="165">
        <f>B5*E5*F5*DATA!$C$9/DATA!$B$9</f>
        <v>10882518.268690275</v>
      </c>
    </row>
    <row r="6" spans="1:8" x14ac:dyDescent="0.25">
      <c r="A6" s="10" t="s">
        <v>101</v>
      </c>
      <c r="B6" s="80">
        <v>11920</v>
      </c>
      <c r="C6" s="81" t="s">
        <v>102</v>
      </c>
      <c r="D6" s="88">
        <f>DATA!B7*39.37</f>
        <v>59.842399999999998</v>
      </c>
      <c r="E6" s="88">
        <f>DATA!C7*39.37</f>
        <v>55.117999999999995</v>
      </c>
      <c r="F6" s="87">
        <f>DATA!B39</f>
        <v>1</v>
      </c>
      <c r="G6" s="46">
        <f t="shared" si="0"/>
        <v>713321.40799999994</v>
      </c>
      <c r="H6" s="7">
        <f t="shared" si="1"/>
        <v>657006.55999999994</v>
      </c>
    </row>
    <row r="7" spans="1:8" x14ac:dyDescent="0.25">
      <c r="A7" s="10" t="s">
        <v>6</v>
      </c>
      <c r="B7" s="80">
        <v>19072</v>
      </c>
      <c r="C7" s="81" t="s">
        <v>103</v>
      </c>
      <c r="D7" s="88">
        <f>DATA!B8</f>
        <v>50</v>
      </c>
      <c r="E7" s="88">
        <f>DATA!C8</f>
        <v>114</v>
      </c>
      <c r="F7" s="87">
        <f>DATA!B40</f>
        <v>1</v>
      </c>
      <c r="G7" s="46">
        <f t="shared" si="0"/>
        <v>953600</v>
      </c>
      <c r="H7" s="7">
        <f t="shared" si="1"/>
        <v>2174208</v>
      </c>
    </row>
    <row r="8" spans="1:8" x14ac:dyDescent="0.25">
      <c r="A8" s="10" t="s">
        <v>104</v>
      </c>
      <c r="B8" s="80">
        <v>8940</v>
      </c>
      <c r="C8" s="81" t="s">
        <v>105</v>
      </c>
      <c r="D8" s="88">
        <f>DATA!B10</f>
        <v>75</v>
      </c>
      <c r="E8" s="88">
        <f>DATA!C10</f>
        <v>75</v>
      </c>
      <c r="F8" s="87">
        <f>DATA!B41</f>
        <v>1.3</v>
      </c>
      <c r="G8" s="46">
        <f t="shared" si="0"/>
        <v>871650</v>
      </c>
      <c r="H8" s="7">
        <f t="shared" si="1"/>
        <v>871650</v>
      </c>
    </row>
    <row r="9" spans="1:8" x14ac:dyDescent="0.25">
      <c r="A9" s="10" t="s">
        <v>107</v>
      </c>
      <c r="B9" s="80">
        <v>953600</v>
      </c>
      <c r="C9" s="81" t="s">
        <v>108</v>
      </c>
      <c r="D9" s="88">
        <v>1</v>
      </c>
      <c r="E9" s="88">
        <v>1</v>
      </c>
      <c r="F9" s="87">
        <f>DATA!B42</f>
        <v>0.9</v>
      </c>
      <c r="G9" s="46">
        <f t="shared" si="0"/>
        <v>858240</v>
      </c>
      <c r="H9" s="7">
        <f t="shared" si="1"/>
        <v>858240</v>
      </c>
    </row>
    <row r="10" spans="1:8" x14ac:dyDescent="0.25">
      <c r="A10" s="10" t="s">
        <v>11</v>
      </c>
      <c r="B10" s="80">
        <v>143</v>
      </c>
      <c r="C10" s="81" t="s">
        <v>90</v>
      </c>
      <c r="D10" s="79">
        <f t="shared" ref="D10:E10" si="2">D3</f>
        <v>22010</v>
      </c>
      <c r="E10" s="79">
        <f t="shared" si="2"/>
        <v>50000</v>
      </c>
      <c r="F10" s="79">
        <f>DATA!B43</f>
        <v>1.5</v>
      </c>
      <c r="G10" s="46">
        <f t="shared" si="0"/>
        <v>4721145</v>
      </c>
      <c r="H10" s="7">
        <f t="shared" si="1"/>
        <v>10725000</v>
      </c>
    </row>
    <row r="11" spans="1:8" ht="15.75" thickBot="1" x14ac:dyDescent="0.3">
      <c r="A11" s="18" t="s">
        <v>109</v>
      </c>
      <c r="B11" s="95">
        <v>119</v>
      </c>
      <c r="C11" s="82" t="s">
        <v>95</v>
      </c>
      <c r="D11" s="96">
        <f t="shared" ref="D11:E11" si="3">D4</f>
        <v>559.43679999999995</v>
      </c>
      <c r="E11" s="96">
        <f t="shared" si="3"/>
        <v>860.67200000000003</v>
      </c>
      <c r="F11" s="97">
        <f>DATA!B44</f>
        <v>1</v>
      </c>
      <c r="G11" s="47">
        <f t="shared" si="0"/>
        <v>66572.979199999987</v>
      </c>
      <c r="H11" s="8">
        <f t="shared" si="1"/>
        <v>102419.96800000001</v>
      </c>
    </row>
    <row r="12" spans="1:8" ht="15.75" thickBot="1" x14ac:dyDescent="0.3">
      <c r="A12" s="207" t="s">
        <v>23</v>
      </c>
      <c r="B12" s="208"/>
      <c r="C12" s="208"/>
      <c r="D12" s="208"/>
      <c r="E12" s="208"/>
      <c r="F12" s="208"/>
      <c r="G12" s="206"/>
      <c r="H12" s="8">
        <f>SUM(H3:H11)</f>
        <v>27755963.423890274</v>
      </c>
    </row>
  </sheetData>
  <mergeCells count="3">
    <mergeCell ref="A1:H1"/>
    <mergeCell ref="A12:G12"/>
    <mergeCell ref="B2:C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42DC2-7169-4AC7-AE3D-9700699FE626}">
  <dimension ref="A1:F13"/>
  <sheetViews>
    <sheetView workbookViewId="0">
      <selection activeCell="C15" sqref="C15"/>
    </sheetView>
  </sheetViews>
  <sheetFormatPr defaultRowHeight="15" x14ac:dyDescent="0.25"/>
  <cols>
    <col min="1" max="1" width="9" customWidth="1"/>
    <col min="2" max="2" width="10.42578125" bestFit="1" customWidth="1"/>
    <col min="3" max="3" width="21.5703125" bestFit="1" customWidth="1"/>
    <col min="4" max="4" width="22.140625" bestFit="1" customWidth="1"/>
    <col min="5" max="5" width="30" customWidth="1"/>
    <col min="6" max="6" width="29.28515625" bestFit="1" customWidth="1"/>
    <col min="7" max="7" width="23.28515625" customWidth="1"/>
    <col min="8" max="8" width="20.85546875" customWidth="1"/>
  </cols>
  <sheetData>
    <row r="1" spans="1:6" ht="15.75" thickBot="1" x14ac:dyDescent="0.3">
      <c r="A1" s="211" t="s">
        <v>118</v>
      </c>
      <c r="B1" s="212"/>
      <c r="C1" s="212"/>
      <c r="D1" s="212"/>
      <c r="E1" s="212"/>
      <c r="F1" s="213"/>
    </row>
    <row r="2" spans="1:6" x14ac:dyDescent="0.25">
      <c r="A2" s="105" t="s">
        <v>81</v>
      </c>
      <c r="B2" s="59" t="s">
        <v>112</v>
      </c>
      <c r="C2" s="108" t="s">
        <v>113</v>
      </c>
      <c r="D2" s="108" t="s">
        <v>115</v>
      </c>
      <c r="E2" s="108" t="s">
        <v>116</v>
      </c>
      <c r="F2" s="108" t="s">
        <v>117</v>
      </c>
    </row>
    <row r="3" spans="1:6" x14ac:dyDescent="0.25">
      <c r="A3" s="40">
        <v>5</v>
      </c>
      <c r="B3" s="106">
        <f>DATA!C49</f>
        <v>6</v>
      </c>
      <c r="C3" s="40">
        <v>36714</v>
      </c>
      <c r="D3" s="109">
        <f>C3*DATA!$B$59</f>
        <v>917850</v>
      </c>
      <c r="E3" s="109">
        <f>D3*B3</f>
        <v>5507100</v>
      </c>
      <c r="F3" s="109">
        <f>E3*DATA!$C$4/DATA!$B$4</f>
        <v>12510449.795547478</v>
      </c>
    </row>
    <row r="4" spans="1:6" x14ac:dyDescent="0.25">
      <c r="A4" s="40">
        <v>6</v>
      </c>
      <c r="B4" s="106">
        <f>DATA!C50</f>
        <v>20</v>
      </c>
      <c r="C4" s="40">
        <v>26452</v>
      </c>
      <c r="D4" s="109">
        <f>C4*DATA!$B$59</f>
        <v>661300</v>
      </c>
      <c r="E4" s="109">
        <f t="shared" ref="E4:E12" si="0">D4*B4</f>
        <v>13226000</v>
      </c>
      <c r="F4" s="109">
        <f>E4*DATA!$C$4/DATA!$B$4</f>
        <v>30045433.893684689</v>
      </c>
    </row>
    <row r="5" spans="1:6" x14ac:dyDescent="0.25">
      <c r="A5" s="40">
        <v>7</v>
      </c>
      <c r="B5" s="106">
        <f>DATA!C51</f>
        <v>44</v>
      </c>
      <c r="C5" s="40">
        <v>23363</v>
      </c>
      <c r="D5" s="109">
        <f>C5*DATA!$B$59</f>
        <v>584075</v>
      </c>
      <c r="E5" s="109">
        <f t="shared" si="0"/>
        <v>25699300</v>
      </c>
      <c r="F5" s="109">
        <f>E5*DATA!$C$4/DATA!$B$4</f>
        <v>58380963.198546119</v>
      </c>
    </row>
    <row r="6" spans="1:6" x14ac:dyDescent="0.25">
      <c r="A6" s="40">
        <v>8</v>
      </c>
      <c r="B6" s="106">
        <f>DATA!C52</f>
        <v>92</v>
      </c>
      <c r="C6" s="40">
        <v>21451</v>
      </c>
      <c r="D6" s="109">
        <f>C6*DATA!$B$59</f>
        <v>536275</v>
      </c>
      <c r="E6" s="109">
        <f t="shared" si="0"/>
        <v>49337300</v>
      </c>
      <c r="F6" s="109">
        <f>E6*DATA!$C$4/DATA!$B$4</f>
        <v>112079282.14447978</v>
      </c>
    </row>
    <row r="7" spans="1:6" x14ac:dyDescent="0.25">
      <c r="A7" s="40">
        <v>9</v>
      </c>
      <c r="B7" s="106">
        <f>DATA!C53</f>
        <v>94</v>
      </c>
      <c r="C7" s="40">
        <v>20218</v>
      </c>
      <c r="D7" s="109">
        <f>C7*DATA!$B$59</f>
        <v>505450</v>
      </c>
      <c r="E7" s="109">
        <f t="shared" si="0"/>
        <v>47512300</v>
      </c>
      <c r="F7" s="109">
        <f>E7*DATA!$C$4/DATA!$B$4</f>
        <v>107933439.34575193</v>
      </c>
    </row>
    <row r="8" spans="1:6" x14ac:dyDescent="0.25">
      <c r="A8" s="40">
        <v>10</v>
      </c>
      <c r="B8" s="106">
        <f>DATA!C54</f>
        <v>102</v>
      </c>
      <c r="C8" s="40">
        <v>19416</v>
      </c>
      <c r="D8" s="109">
        <f>C8*DATA!$B$59</f>
        <v>485400</v>
      </c>
      <c r="E8" s="109">
        <f t="shared" si="0"/>
        <v>49510800</v>
      </c>
      <c r="F8" s="109">
        <f>E8*DATA!$C$4/DATA!$B$4</f>
        <v>112473421.17219445</v>
      </c>
    </row>
    <row r="9" spans="1:6" x14ac:dyDescent="0.25">
      <c r="A9" s="40">
        <v>11</v>
      </c>
      <c r="B9" s="106">
        <f>DATA!C55</f>
        <v>94</v>
      </c>
      <c r="C9" s="40">
        <v>18899</v>
      </c>
      <c r="D9" s="109">
        <f>C9*DATA!$B$59</f>
        <v>472475</v>
      </c>
      <c r="E9" s="109">
        <f t="shared" si="0"/>
        <v>44412650</v>
      </c>
      <c r="F9" s="109">
        <f>E9*DATA!$C$4/DATA!$B$4</f>
        <v>100891980.91776465</v>
      </c>
    </row>
    <row r="10" spans="1:6" x14ac:dyDescent="0.25">
      <c r="A10" s="40">
        <v>12</v>
      </c>
      <c r="B10" s="106">
        <f>DATA!C56</f>
        <v>90</v>
      </c>
      <c r="C10" s="40">
        <v>18581</v>
      </c>
      <c r="D10" s="109">
        <f>C10*DATA!$B$59</f>
        <v>464525</v>
      </c>
      <c r="E10" s="109">
        <f t="shared" si="0"/>
        <v>41807250</v>
      </c>
      <c r="F10" s="109">
        <f>E10*DATA!$C$4/DATA!$B$4</f>
        <v>94973307.58746025</v>
      </c>
    </row>
    <row r="11" spans="1:6" x14ac:dyDescent="0.25">
      <c r="A11" s="40">
        <v>13</v>
      </c>
      <c r="B11" s="106">
        <f>DATA!C57</f>
        <v>84</v>
      </c>
      <c r="C11" s="40">
        <v>18389</v>
      </c>
      <c r="D11" s="109">
        <f>C11*DATA!$B$59</f>
        <v>459725</v>
      </c>
      <c r="E11" s="109">
        <f t="shared" si="0"/>
        <v>38616900</v>
      </c>
      <c r="F11" s="109">
        <f>E11*DATA!$C$4/DATA!$B$4</f>
        <v>87725806.451612905</v>
      </c>
    </row>
    <row r="12" spans="1:6" ht="15.75" thickBot="1" x14ac:dyDescent="0.3">
      <c r="A12" s="41">
        <v>14</v>
      </c>
      <c r="B12" s="107">
        <f>DATA!C58</f>
        <v>30</v>
      </c>
      <c r="C12" s="41">
        <v>18281</v>
      </c>
      <c r="D12" s="110">
        <f>C12*DATA!$B$59</f>
        <v>457025</v>
      </c>
      <c r="E12" s="110">
        <f t="shared" si="0"/>
        <v>13710750</v>
      </c>
      <c r="F12" s="110">
        <f>E12*DATA!$C$4/DATA!$B$4</f>
        <v>31146637.891867332</v>
      </c>
    </row>
    <row r="13" spans="1:6" x14ac:dyDescent="0.25">
      <c r="D13" s="111"/>
    </row>
  </sheetData>
  <mergeCells count="1">
    <mergeCell ref="A1:F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NPV</vt:lpstr>
      <vt:lpstr>COSTS</vt:lpstr>
      <vt:lpstr>DATA</vt:lpstr>
      <vt:lpstr>MAN POWER</vt:lpstr>
      <vt:lpstr>INFRA COST</vt:lpstr>
      <vt:lpstr>GEN COST</vt:lpstr>
      <vt:lpstr>MATERIAL</vt:lpstr>
      <vt:lpstr>MAN POWER RC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Alexandre Fregnani</dc:creator>
  <cp:lastModifiedBy>Jose Alexandre Fregnani</cp:lastModifiedBy>
  <dcterms:created xsi:type="dcterms:W3CDTF">2018-12-04T22:18:26Z</dcterms:created>
  <dcterms:modified xsi:type="dcterms:W3CDTF">2018-12-20T10:08:55Z</dcterms:modified>
</cp:coreProperties>
</file>