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706"/>
  <workbookPr defaultThemeVersion="124226"/>
  <xr:revisionPtr revIDLastSave="1" documentId="11_70D7EE8263C76143E028A30714D422C704018908" xr6:coauthVersionLast="46" xr6:coauthVersionMax="46" xr10:uidLastSave="{ED42F551-A6A6-4581-B3B8-A93A1551C982}"/>
  <bookViews>
    <workbookView xWindow="120" yWindow="105" windowWidth="28515" windowHeight="1260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datosX">Hoja1!$B$13:$B$40</definedName>
    <definedName name="datosY">Hoja1!$C$13:$C$40</definedName>
    <definedName name="n">Hoja1!$F$12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P14" i="1"/>
  <c r="F22" i="1"/>
  <c r="F21" i="1"/>
  <c r="G18" i="1"/>
  <c r="G17" i="1"/>
  <c r="F18" i="1"/>
  <c r="F17" i="1"/>
  <c r="G15" i="1"/>
  <c r="F15" i="1"/>
  <c r="G14" i="1"/>
  <c r="F14" i="1"/>
  <c r="G13" i="1"/>
  <c r="F13" i="1"/>
  <c r="F12" i="1"/>
  <c r="F52" i="1" l="1"/>
  <c r="T28" i="1"/>
  <c r="U28" i="1" s="1"/>
  <c r="T36" i="1"/>
  <c r="U36" i="1" s="1"/>
  <c r="G16" i="1"/>
  <c r="F16" i="1"/>
  <c r="P15" i="1" s="1"/>
  <c r="K49" i="1" l="1"/>
  <c r="N49" i="1"/>
  <c r="T20" i="1"/>
  <c r="U20" i="1" s="1"/>
  <c r="O15" i="1"/>
  <c r="T17" i="1"/>
  <c r="U17" i="1" s="1"/>
  <c r="T32" i="1"/>
  <c r="U32" i="1" s="1"/>
  <c r="T16" i="1"/>
  <c r="U16" i="1" s="1"/>
  <c r="T40" i="1"/>
  <c r="U40" i="1" s="1"/>
  <c r="T24" i="1"/>
  <c r="U24" i="1" s="1"/>
  <c r="F47" i="1"/>
  <c r="T39" i="1"/>
  <c r="U39" i="1" s="1"/>
  <c r="T35" i="1"/>
  <c r="U35" i="1" s="1"/>
  <c r="T31" i="1"/>
  <c r="U31" i="1" s="1"/>
  <c r="T27" i="1"/>
  <c r="U27" i="1" s="1"/>
  <c r="T23" i="1"/>
  <c r="U23" i="1" s="1"/>
  <c r="T19" i="1"/>
  <c r="U19" i="1" s="1"/>
  <c r="T15" i="1"/>
  <c r="U15" i="1" s="1"/>
  <c r="T38" i="1"/>
  <c r="U38" i="1" s="1"/>
  <c r="T34" i="1"/>
  <c r="U34" i="1" s="1"/>
  <c r="T30" i="1"/>
  <c r="U30" i="1" s="1"/>
  <c r="T26" i="1"/>
  <c r="U26" i="1" s="1"/>
  <c r="T22" i="1"/>
  <c r="U22" i="1" s="1"/>
  <c r="T18" i="1"/>
  <c r="U18" i="1" s="1"/>
  <c r="T14" i="1"/>
  <c r="U14" i="1" s="1"/>
  <c r="T13" i="1"/>
  <c r="U13" i="1" s="1"/>
  <c r="T37" i="1"/>
  <c r="U37" i="1" s="1"/>
  <c r="T33" i="1"/>
  <c r="U33" i="1" s="1"/>
  <c r="T29" i="1"/>
  <c r="U29" i="1" s="1"/>
  <c r="T25" i="1"/>
  <c r="U25" i="1" s="1"/>
  <c r="T21" i="1"/>
  <c r="U21" i="1" s="1"/>
  <c r="X13" i="1" l="1"/>
  <c r="K50" i="1" l="1"/>
  <c r="K51" i="1" s="1"/>
  <c r="N50" i="1"/>
  <c r="N51" i="1" s="1"/>
  <c r="F48" i="1"/>
  <c r="F49" i="1" s="1"/>
  <c r="X15" i="1"/>
  <c r="Q54" i="1"/>
  <c r="R54" i="1" s="1"/>
  <c r="Q49" i="1"/>
  <c r="R49" i="1" s="1"/>
  <c r="F51" i="1"/>
  <c r="Q50" i="1"/>
  <c r="R50" i="1" s="1"/>
  <c r="N54" i="1" l="1"/>
  <c r="N53" i="1"/>
  <c r="K54" i="1"/>
  <c r="K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</author>
  </authors>
  <commentList>
    <comment ref="O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Pablo: con funciones de excel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Pablo: escribiendo a mano las fórmulas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4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un p-valor tan pequeño indica que debemos rechazar la hipóteis beta1=0, y por tanto el modelo de regresion "explica" bien los datos (como ya se veía en el valor de R^2, por ejemplo, o en la propia gráfica)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Pablo: observa que son dos test distintos, pero que dan el mismo p-valor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Pablo: en el caso de la regresión lineal simple, R^2=rho^2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se abre la caja de herramientas (que está en el menú "Datos") llamada "Análisis de datos", y luego "regresión". Si no la encontráis, hay que activarla desde "complementos", tal y como hicísteis con solver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<sst xmlns="http://schemas.openxmlformats.org/spreadsheetml/2006/main" count="77" uniqueCount="70">
  <si>
    <t>0. Datos</t>
  </si>
  <si>
    <t>1. Estadísicos de la muestra</t>
  </si>
  <si>
    <t>2. Representación gráfica</t>
  </si>
  <si>
    <t>3. Estimación de parámetros</t>
  </si>
  <si>
    <t>4. Pronósticos y residuos</t>
  </si>
  <si>
    <t>X</t>
  </si>
  <si>
    <t>Y</t>
  </si>
  <si>
    <t>datos</t>
  </si>
  <si>
    <t>(incluye recta de regresión y R^2 con botón derecho sobre el gráfico y "agregar tendencia")</t>
  </si>
  <si>
    <t>y gorro</t>
  </si>
  <si>
    <t>residuos</t>
  </si>
  <si>
    <t>Estimación de sigma^2</t>
  </si>
  <si>
    <t>medias</t>
  </si>
  <si>
    <t>b0gorro</t>
  </si>
  <si>
    <t>beta1gorro</t>
  </si>
  <si>
    <t>s_R^2</t>
  </si>
  <si>
    <t>cuasi desv típ</t>
  </si>
  <si>
    <t>cuasi var</t>
  </si>
  <si>
    <t>s_R</t>
  </si>
  <si>
    <t>var</t>
  </si>
  <si>
    <t>mínimo</t>
  </si>
  <si>
    <t>máximo</t>
  </si>
  <si>
    <t>coef de correl</t>
  </si>
  <si>
    <t>covarianza</t>
  </si>
  <si>
    <t>5. Sumas de cuadrados y R^2</t>
  </si>
  <si>
    <t>6. Intervalos de confianza</t>
  </si>
  <si>
    <t>7. Contrastes de hipótesis</t>
  </si>
  <si>
    <t>TSS</t>
  </si>
  <si>
    <t>IC para beta1</t>
  </si>
  <si>
    <t>IC para beta0</t>
  </si>
  <si>
    <t>Planteamos H_0: beta1=0</t>
  </si>
  <si>
    <t>RSS</t>
  </si>
  <si>
    <t>alpha</t>
  </si>
  <si>
    <t>MSS</t>
  </si>
  <si>
    <t>percentil t</t>
  </si>
  <si>
    <t>estadístico t</t>
  </si>
  <si>
    <t>estadístico F</t>
  </si>
  <si>
    <t>R^2</t>
  </si>
  <si>
    <t>semilongitud</t>
  </si>
  <si>
    <t>IC</t>
  </si>
  <si>
    <t>Si fuera H_0: beta0=0</t>
  </si>
  <si>
    <t>8. Con herramienta de excel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</si>
  <si>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</si>
  <si>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</si>
  <si>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</si>
  <si>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</si>
  <si>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</si>
  <si>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</si>
  <si>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</si>
  <si>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</si>
  <si>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Grados de libertad</t>
  </si>
  <si>
    <t>Suma de cuadrados</t>
  </si>
  <si>
    <t>Promedio de los cuadrados</t>
  </si>
  <si>
    <t>F</t>
  </si>
  <si>
    <t>Valor crítico de F</t>
  </si>
  <si>
    <t>Regresión</t>
  </si>
  <si>
    <t>Residuos</t>
  </si>
  <si>
    <t>Total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</si>
  <si>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</si>
  <si>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</si>
  <si>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</si>
  <si>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</si>
  <si>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</si>
  <si>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</si>
  <si>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</si>
  <si>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Intercepción</t>
  </si>
  <si>
    <t>Variable X 1</t>
  </si>
  <si>
    <t>Análisis de los residuales</t>
  </si>
  <si>
    <t>Observación</t>
  </si>
  <si>
    <t>Pronóstico para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</si>
</sst>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%"/>
    <numFmt numFmtId="165" formatCode="0.000000000000%"/>
    <numFmt numFmtId="166" formatCode="0.000"/>
    <numFmt numFmtId="167" formatCode="0.00000"/>
    <numFmt numFmtId="168" formatCode="0.0000"/>
    <numFmt numFmtId="169" formatCode="0.000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Continuous"/>
    </xf>
    <xf numFmtId="9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5" fillId="0" borderId="0" xfId="0" applyFont="1"/>
    <xf numFmtId="0" fontId="0" fillId="3" borderId="0" xfId="0" applyFill="1"/>
    <xf numFmtId="169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4" borderId="18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5" borderId="0" xfId="0" applyFill="1"/>
    <xf numFmtId="165" fontId="0" fillId="5" borderId="0" xfId="1" applyNumberFormat="1" applyFont="1" applyFill="1"/>
    <xf numFmtId="164" fontId="0" fillId="5" borderId="0" xfId="1" applyNumberFormat="1" applyFont="1" applyFill="1"/>
    <xf numFmtId="0" fontId="0" fillId="5" borderId="0" xfId="0" applyFill="1" applyBorder="1" applyAlignment="1"/>
    <xf numFmtId="0" fontId="0" fillId="5" borderId="7" xfId="0" applyFill="1" applyBorder="1" applyAlignment="1"/>
    <xf numFmtId="0" fontId="0" fillId="4" borderId="0" xfId="0" applyFill="1" applyBorder="1" applyAlignment="1"/>
    <xf numFmtId="0" fontId="0" fillId="4" borderId="7" xfId="0" applyFill="1" applyBorder="1" applyAlignment="1"/>
    <xf numFmtId="169" fontId="0" fillId="6" borderId="0" xfId="0" applyNumberFormat="1" applyFill="1" applyAlignment="1">
      <alignment horizontal="center"/>
    </xf>
    <xf numFmtId="0" fontId="0" fillId="6" borderId="0" xfId="0" applyFill="1"/>
    <xf numFmtId="167" fontId="0" fillId="6" borderId="0" xfId="0" applyNumberFormat="1" applyFill="1" applyAlignment="1">
      <alignment horizontal="center"/>
    </xf>
    <xf numFmtId="0" fontId="0" fillId="6" borderId="0" xfId="0" applyFill="1" applyBorder="1" applyAlignment="1"/>
    <xf numFmtId="0" fontId="0" fillId="6" borderId="7" xfId="0" applyFill="1" applyBorder="1" applyAlignment="1"/>
    <xf numFmtId="0" fontId="0" fillId="7" borderId="0" xfId="0" applyFill="1"/>
    <xf numFmtId="0" fontId="0" fillId="3" borderId="0" xfId="0" applyFill="1" applyBorder="1" applyAlignment="1"/>
    <xf numFmtId="0" fontId="0" fillId="3" borderId="7" xfId="0" applyFill="1" applyBorder="1" applyAlignment="1"/>
    <xf numFmtId="0" fontId="0" fillId="7" borderId="0" xfId="0" applyFill="1" applyBorder="1" applyAlignment="1"/>
    <xf numFmtId="0" fontId="0" fillId="7" borderId="7" xfId="0" applyFill="1" applyBorder="1" applyAlignment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trendline>
            <c:trendlineType val="linear"/>
            <c:dispRSqr val="1"/>
            <c:dispEq val="1"/>
            <c:trendlineLbl>
              <c:layout>
                <c:manualLayout>
                  <c:x val="-0.24238449407840415"/>
                  <c:y val="-6.105923049931322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2,8459x + 3,6726
R² = 0,8672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Hoja1!$B$13:$B$40</c:f>
              <c:numCache>
                <c:formatCode>0.00</c:formatCode>
                <c:ptCount val="28"/>
                <c:pt idx="0">
                  <c:v>10.9556919124106</c:v>
                </c:pt>
                <c:pt idx="1">
                  <c:v>12.153298611988745</c:v>
                </c:pt>
                <c:pt idx="2">
                  <c:v>10.954233294426341</c:v>
                </c:pt>
                <c:pt idx="3">
                  <c:v>10.32571015871873</c:v>
                </c:pt>
                <c:pt idx="4">
                  <c:v>11.448481380922136</c:v>
                </c:pt>
                <c:pt idx="5">
                  <c:v>8.6670871852692848</c:v>
                </c:pt>
                <c:pt idx="6">
                  <c:v>12.793802350431484</c:v>
                </c:pt>
                <c:pt idx="7">
                  <c:v>7.4093734569938379</c:v>
                </c:pt>
                <c:pt idx="8">
                  <c:v>11.204223713410688</c:v>
                </c:pt>
                <c:pt idx="9">
                  <c:v>11.186832198205785</c:v>
                </c:pt>
                <c:pt idx="10">
                  <c:v>8.600886278384225</c:v>
                </c:pt>
                <c:pt idx="11">
                  <c:v>10.428920900612729</c:v>
                </c:pt>
                <c:pt idx="12">
                  <c:v>12.198894958096776</c:v>
                </c:pt>
                <c:pt idx="13">
                  <c:v>9.803647408269013</c:v>
                </c:pt>
                <c:pt idx="14">
                  <c:v>11.81745601053367</c:v>
                </c:pt>
                <c:pt idx="15">
                  <c:v>12.489482219268746</c:v>
                </c:pt>
                <c:pt idx="16">
                  <c:v>8.5367388600339105</c:v>
                </c:pt>
                <c:pt idx="17">
                  <c:v>12.632823679388222</c:v>
                </c:pt>
                <c:pt idx="18">
                  <c:v>10.871753344697995</c:v>
                </c:pt>
                <c:pt idx="19">
                  <c:v>7.41993381644998</c:v>
                </c:pt>
                <c:pt idx="20">
                  <c:v>11.285991336722907</c:v>
                </c:pt>
                <c:pt idx="21">
                  <c:v>8.3479381917451292</c:v>
                </c:pt>
                <c:pt idx="22">
                  <c:v>6.7751376495314464</c:v>
                </c:pt>
                <c:pt idx="23">
                  <c:v>8.7651918528738939</c:v>
                </c:pt>
                <c:pt idx="24">
                  <c:v>12.53233964121122</c:v>
                </c:pt>
                <c:pt idx="25">
                  <c:v>10.432534353814118</c:v>
                </c:pt>
                <c:pt idx="26">
                  <c:v>10.455263430043599</c:v>
                </c:pt>
                <c:pt idx="27">
                  <c:v>12.639137085943016</c:v>
                </c:pt>
              </c:numCache>
            </c:numRef>
          </c:xVal>
          <c:yVal>
            <c:numRef>
              <c:f>Hoja1!$C$13:$C$40</c:f>
              <c:numCache>
                <c:formatCode>0.00</c:formatCode>
                <c:ptCount val="28"/>
                <c:pt idx="0">
                  <c:v>34.918988003126863</c:v>
                </c:pt>
                <c:pt idx="1">
                  <c:v>36.401199040622195</c:v>
                </c:pt>
                <c:pt idx="2">
                  <c:v>30.742025731213676</c:v>
                </c:pt>
                <c:pt idx="3">
                  <c:v>36.195000659589908</c:v>
                </c:pt>
                <c:pt idx="4">
                  <c:v>37.015205055979933</c:v>
                </c:pt>
                <c:pt idx="5">
                  <c:v>29.29642001461999</c:v>
                </c:pt>
                <c:pt idx="6">
                  <c:v>43.778791993532025</c:v>
                </c:pt>
                <c:pt idx="7">
                  <c:v>24.028414672698744</c:v>
                </c:pt>
                <c:pt idx="8">
                  <c:v>34.998311654213687</c:v>
                </c:pt>
                <c:pt idx="9">
                  <c:v>36.685517896794671</c:v>
                </c:pt>
                <c:pt idx="10">
                  <c:v>28.506968565862636</c:v>
                </c:pt>
                <c:pt idx="11">
                  <c:v>36.813270301401872</c:v>
                </c:pt>
                <c:pt idx="12">
                  <c:v>40.050642113432268</c:v>
                </c:pt>
                <c:pt idx="13">
                  <c:v>31.445245138396285</c:v>
                </c:pt>
                <c:pt idx="14">
                  <c:v>38.841458385495301</c:v>
                </c:pt>
                <c:pt idx="15">
                  <c:v>38.658299901427178</c:v>
                </c:pt>
                <c:pt idx="16">
                  <c:v>29.110413877072009</c:v>
                </c:pt>
                <c:pt idx="17">
                  <c:v>36.949024022547981</c:v>
                </c:pt>
                <c:pt idx="18">
                  <c:v>30.634686270360451</c:v>
                </c:pt>
                <c:pt idx="19">
                  <c:v>23.547911277323145</c:v>
                </c:pt>
                <c:pt idx="20">
                  <c:v>35.841490183777744</c:v>
                </c:pt>
                <c:pt idx="21">
                  <c:v>24.661406775078692</c:v>
                </c:pt>
                <c:pt idx="22">
                  <c:v>23.001885883274934</c:v>
                </c:pt>
                <c:pt idx="23">
                  <c:v>30.093066376291436</c:v>
                </c:pt>
                <c:pt idx="24">
                  <c:v>38.296426003839208</c:v>
                </c:pt>
                <c:pt idx="25">
                  <c:v>34.373919225928098</c:v>
                </c:pt>
                <c:pt idx="26">
                  <c:v>33.945618828532268</c:v>
                </c:pt>
                <c:pt idx="27">
                  <c:v>38.236947869327537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4-463A-98B6-537E64E62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57632"/>
        <c:axId val="147959168"/>
      </c:scatterChart>
      <c:valAx>
        <c:axId val="1479576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7959168"/>
        <c:crosses val="autoZero"/>
        <c:crossBetween val="midCat"/>
      </c:valAx>
      <c:valAx>
        <c:axId val="147959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7957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49991</xdr:colOff>
      <xdr:row>13</xdr:row>
      <xdr:rowOff>51769</xdr:rowOff>
    </xdr:from>
    <xdr:to>
      <xdr:col>12</xdr:col>
      <xdr:colOff>1689653</xdr:colOff>
      <xdr:row>33</xdr:row>
      <xdr:rowOff>106197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16566</xdr:colOff>
      <xdr:row>20</xdr:row>
      <xdr:rowOff>156864</xdr:rowOff>
    </xdr:from>
    <xdr:to>
      <xdr:col>17</xdr:col>
      <xdr:colOff>575228</xdr:colOff>
      <xdr:row>24</xdr:row>
      <xdr:rowOff>83239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2609" y="3983429"/>
          <a:ext cx="3184249" cy="688375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54</xdr:row>
      <xdr:rowOff>57151</xdr:rowOff>
    </xdr:from>
    <xdr:to>
      <xdr:col>11</xdr:col>
      <xdr:colOff>1148934</xdr:colOff>
      <xdr:row>57</xdr:row>
      <xdr:rowOff>153164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5675" y="10391776"/>
          <a:ext cx="2882484" cy="667513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753719</xdr:colOff>
      <xdr:row>57</xdr:row>
      <xdr:rowOff>178905</xdr:rowOff>
    </xdr:from>
    <xdr:to>
      <xdr:col>11</xdr:col>
      <xdr:colOff>1140653</xdr:colOff>
      <xdr:row>61</xdr:row>
      <xdr:rowOff>82905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7394" y="11085030"/>
          <a:ext cx="2882484" cy="66600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X120"/>
  <sheetViews>
    <sheetView tabSelected="1" topLeftCell="G7" zoomScaleNormal="100" workbookViewId="0">
      <selection activeCell="O15" sqref="O15"/>
    </sheetView>
  </sheetViews>
  <sheetFormatPr defaultColWidth="11.42578125" defaultRowHeight="15"/>
  <cols>
    <col min="1" max="1" width="12.85546875" bestFit="1" customWidth="1"/>
    <col min="5" max="5" width="16.7109375" customWidth="1"/>
    <col min="10" max="10" width="14.5703125" customWidth="1"/>
    <col min="12" max="12" width="19.140625" bestFit="1" customWidth="1"/>
    <col min="13" max="13" width="14.85546875" customWidth="1"/>
    <col min="15" max="15" width="16.5703125" bestFit="1" customWidth="1"/>
    <col min="18" max="18" width="17.7109375" bestFit="1" customWidth="1"/>
  </cols>
  <sheetData>
    <row r="10" spans="2:24">
      <c r="B10" s="22" t="s">
        <v>0</v>
      </c>
      <c r="E10" s="22" t="s">
        <v>1</v>
      </c>
      <c r="I10" s="22" t="s">
        <v>2</v>
      </c>
      <c r="O10" s="22" t="s">
        <v>3</v>
      </c>
      <c r="T10" s="22" t="s">
        <v>4</v>
      </c>
    </row>
    <row r="11" spans="2:24" ht="15.75" thickBot="1"/>
    <row r="12" spans="2:24" ht="15.75" thickBot="1">
      <c r="B12" s="1" t="s">
        <v>5</v>
      </c>
      <c r="C12" s="1" t="s">
        <v>6</v>
      </c>
      <c r="E12" t="s">
        <v>7</v>
      </c>
      <c r="F12" s="1">
        <f>COUNT(datosX)</f>
        <v>28</v>
      </c>
      <c r="I12" t="s">
        <v>8</v>
      </c>
      <c r="T12" s="14" t="s">
        <v>9</v>
      </c>
      <c r="U12" s="15" t="s">
        <v>10</v>
      </c>
      <c r="W12" t="s">
        <v>11</v>
      </c>
    </row>
    <row r="13" spans="2:24">
      <c r="B13" s="2">
        <v>10.9556919124106</v>
      </c>
      <c r="C13" s="3">
        <v>34.918988003126863</v>
      </c>
      <c r="E13" t="s">
        <v>12</v>
      </c>
      <c r="F13" s="13">
        <f>AVERAGE(datosX)</f>
        <v>10.469028760014222</v>
      </c>
      <c r="G13" s="13">
        <f>AVERAGE(datosY)</f>
        <v>33.466734132920024</v>
      </c>
      <c r="O13" t="s">
        <v>13</v>
      </c>
      <c r="P13" t="s">
        <v>14</v>
      </c>
      <c r="T13" s="16">
        <f t="shared" ref="T13:T40" si="0">$O$14+$P$14*B13</f>
        <v>34.851741769924779</v>
      </c>
      <c r="U13" s="17">
        <f t="shared" ref="U13:U40" si="1">C13-T13</f>
        <v>6.7246233202084227E-2</v>
      </c>
      <c r="W13" t="s">
        <v>15</v>
      </c>
      <c r="X13" s="41">
        <f>1/(n-2)*SUMSQ(U13:U40)</f>
        <v>4.0432836392607356</v>
      </c>
    </row>
    <row r="14" spans="2:24">
      <c r="B14" s="4">
        <v>12.153298611988745</v>
      </c>
      <c r="C14" s="5">
        <v>36.401199040622195</v>
      </c>
      <c r="E14" t="s">
        <v>16</v>
      </c>
      <c r="F14" s="13">
        <f>STDEV(datosX)</f>
        <v>1.7716108714359418</v>
      </c>
      <c r="G14" s="13">
        <f>STDEV(datosY)</f>
        <v>5.4142434257937371</v>
      </c>
      <c r="O14" s="39">
        <f>INTERCEPT(datosY,datosX)</f>
        <v>3.6726461415769123</v>
      </c>
      <c r="P14" s="39">
        <f>SLOPE(datosY,datosX)</f>
        <v>2.8459266541648738</v>
      </c>
      <c r="T14" s="18">
        <f t="shared" si="0"/>
        <v>38.260042597460647</v>
      </c>
      <c r="U14" s="19">
        <f t="shared" si="1"/>
        <v>-1.8588435568384511</v>
      </c>
    </row>
    <row r="15" spans="2:24">
      <c r="B15" s="4">
        <v>10.954233294426341</v>
      </c>
      <c r="C15" s="5">
        <v>30.742025731213676</v>
      </c>
      <c r="E15" t="s">
        <v>17</v>
      </c>
      <c r="F15" s="13">
        <f>_xlfn.VAR.S(datosX)</f>
        <v>3.1386050797900173</v>
      </c>
      <c r="G15" s="13">
        <f>_xlfn.VAR.S(datosY)</f>
        <v>29.314031873750704</v>
      </c>
      <c r="O15" s="24">
        <f>G13-F13*P15</f>
        <v>3.6726461415769869</v>
      </c>
      <c r="P15" s="24">
        <f>F22/F16</f>
        <v>2.8459266541648667</v>
      </c>
      <c r="T15" s="18">
        <f t="shared" si="0"/>
        <v>34.847590650125134</v>
      </c>
      <c r="U15" s="19">
        <f t="shared" si="1"/>
        <v>-4.1055649189114582</v>
      </c>
      <c r="W15" t="s">
        <v>18</v>
      </c>
      <c r="X15" s="40">
        <f>SQRT(X13)</f>
        <v>2.0107917941101547</v>
      </c>
    </row>
    <row r="16" spans="2:24">
      <c r="B16" s="4">
        <v>10.32571015871873</v>
      </c>
      <c r="C16" s="5">
        <v>36.195000659589908</v>
      </c>
      <c r="E16" t="s">
        <v>19</v>
      </c>
      <c r="F16" s="13">
        <f>_xlfn.VAR.P(B13:B40)</f>
        <v>3.0265120412260904</v>
      </c>
      <c r="G16" s="13">
        <f>_xlfn.VAR.P(C13:C40)</f>
        <v>28.267102163974005</v>
      </c>
      <c r="T16" s="18">
        <f t="shared" si="0"/>
        <v>33.058859905455556</v>
      </c>
      <c r="U16" s="19">
        <f t="shared" si="1"/>
        <v>3.1361407541343524</v>
      </c>
    </row>
    <row r="17" spans="2:21">
      <c r="B17" s="4">
        <v>11.448481380922136</v>
      </c>
      <c r="C17" s="5">
        <v>37.015205055979933</v>
      </c>
      <c r="E17" t="s">
        <v>20</v>
      </c>
      <c r="F17" s="13">
        <f>MIN(datosX)</f>
        <v>6.7751376495314464</v>
      </c>
      <c r="G17" s="13">
        <f>MIN(datosY)</f>
        <v>23.001885883274934</v>
      </c>
      <c r="T17" s="18">
        <f t="shared" si="0"/>
        <v>36.254184453253501</v>
      </c>
      <c r="U17" s="19">
        <f t="shared" si="1"/>
        <v>0.76102060272643257</v>
      </c>
    </row>
    <row r="18" spans="2:21">
      <c r="B18" s="4">
        <v>8.6670871852692848</v>
      </c>
      <c r="C18" s="5">
        <v>29.29642001461999</v>
      </c>
      <c r="E18" t="s">
        <v>21</v>
      </c>
      <c r="F18" s="13">
        <f>MAX(datosX)</f>
        <v>12.793802350431484</v>
      </c>
      <c r="G18" s="13">
        <f>MAX(datosY)</f>
        <v>43.778791993532025</v>
      </c>
      <c r="T18" s="18">
        <f t="shared" si="0"/>
        <v>28.338540576105583</v>
      </c>
      <c r="U18" s="19">
        <f t="shared" si="1"/>
        <v>0.95787943851440716</v>
      </c>
    </row>
    <row r="19" spans="2:21">
      <c r="B19" s="4">
        <v>12.793802350431484</v>
      </c>
      <c r="C19" s="5">
        <v>43.778791993532025</v>
      </c>
      <c r="T19" s="18">
        <f t="shared" si="0"/>
        <v>40.082869258787085</v>
      </c>
      <c r="U19" s="19">
        <f t="shared" si="1"/>
        <v>3.6959227347449399</v>
      </c>
    </row>
    <row r="20" spans="2:21">
      <c r="B20" s="4">
        <v>7.4093734569938379</v>
      </c>
      <c r="C20" s="5">
        <v>24.028414672698744</v>
      </c>
      <c r="T20" s="18">
        <f t="shared" si="0"/>
        <v>24.759179553497411</v>
      </c>
      <c r="U20" s="19">
        <f t="shared" si="1"/>
        <v>-0.73076488079866664</v>
      </c>
    </row>
    <row r="21" spans="2:21">
      <c r="B21" s="4">
        <v>11.204223713410688</v>
      </c>
      <c r="C21" s="5">
        <v>34.998311654213687</v>
      </c>
      <c r="E21" t="s">
        <v>22</v>
      </c>
      <c r="F21" s="25">
        <f>CORREL(datosX,datosY)</f>
        <v>0.93122421792267918</v>
      </c>
      <c r="T21" s="18">
        <f t="shared" si="0"/>
        <v>35.559045046798531</v>
      </c>
      <c r="U21" s="19">
        <f t="shared" si="1"/>
        <v>-0.56073339258484367</v>
      </c>
    </row>
    <row r="22" spans="2:21">
      <c r="B22" s="4">
        <v>11.186832198205785</v>
      </c>
      <c r="C22" s="5">
        <v>36.685517896794671</v>
      </c>
      <c r="E22" t="s">
        <v>23</v>
      </c>
      <c r="F22" s="26">
        <f>_xlfn.COVARIANCE.P(datosX,datosY)</f>
        <v>8.613231287276248</v>
      </c>
      <c r="T22" s="18">
        <f t="shared" si="0"/>
        <v>35.509550070120582</v>
      </c>
      <c r="U22" s="19">
        <f t="shared" si="1"/>
        <v>1.1759678266740892</v>
      </c>
    </row>
    <row r="23" spans="2:21">
      <c r="B23" s="4">
        <v>8.600886278384225</v>
      </c>
      <c r="C23" s="5">
        <v>28.506968565862636</v>
      </c>
      <c r="T23" s="18">
        <f t="shared" si="0"/>
        <v>28.150137650671503</v>
      </c>
      <c r="U23" s="19">
        <f t="shared" si="1"/>
        <v>0.35683091519113219</v>
      </c>
    </row>
    <row r="24" spans="2:21">
      <c r="B24" s="4">
        <v>10.428920900612729</v>
      </c>
      <c r="C24" s="5">
        <v>36.813270301401872</v>
      </c>
      <c r="T24" s="18">
        <f t="shared" si="0"/>
        <v>33.352590106807817</v>
      </c>
      <c r="U24" s="19">
        <f t="shared" si="1"/>
        <v>3.4606801945940546</v>
      </c>
    </row>
    <row r="25" spans="2:21">
      <c r="B25" s="4">
        <v>12.198894958096776</v>
      </c>
      <c r="C25" s="5">
        <v>40.050642113432268</v>
      </c>
      <c r="T25" s="18">
        <f t="shared" si="0"/>
        <v>38.389806454182022</v>
      </c>
      <c r="U25" s="19">
        <f t="shared" si="1"/>
        <v>1.660835659250246</v>
      </c>
    </row>
    <row r="26" spans="2:21">
      <c r="B26" s="4">
        <v>9.803647408269013</v>
      </c>
      <c r="C26" s="5">
        <v>31.445245138396285</v>
      </c>
      <c r="T26" s="18">
        <f t="shared" si="0"/>
        <v>31.573107608804079</v>
      </c>
      <c r="U26" s="19">
        <f t="shared" si="1"/>
        <v>-0.12786247040779486</v>
      </c>
    </row>
    <row r="27" spans="2:21">
      <c r="B27" s="4">
        <v>11.81745601053367</v>
      </c>
      <c r="C27" s="5">
        <v>38.841458385495301</v>
      </c>
      <c r="T27" s="18">
        <f t="shared" si="0"/>
        <v>37.304259186375575</v>
      </c>
      <c r="U27" s="19">
        <f t="shared" si="1"/>
        <v>1.5371991991197262</v>
      </c>
    </row>
    <row r="28" spans="2:21">
      <c r="B28" s="4">
        <v>12.489482219268746</v>
      </c>
      <c r="C28" s="5">
        <v>38.658299901427178</v>
      </c>
      <c r="T28" s="18">
        <f t="shared" si="0"/>
        <v>39.216796486112095</v>
      </c>
      <c r="U28" s="19">
        <f t="shared" si="1"/>
        <v>-0.55849658468491725</v>
      </c>
    </row>
    <row r="29" spans="2:21">
      <c r="B29" s="4">
        <v>8.5367388600339105</v>
      </c>
      <c r="C29" s="5">
        <v>29.110413877072009</v>
      </c>
      <c r="T29" s="18">
        <f t="shared" si="0"/>
        <v>27.967578802992477</v>
      </c>
      <c r="U29" s="19">
        <f t="shared" si="1"/>
        <v>1.1428350740795317</v>
      </c>
    </row>
    <row r="30" spans="2:21">
      <c r="B30" s="4">
        <v>12.632823679388222</v>
      </c>
      <c r="C30" s="5">
        <v>36.949024022547981</v>
      </c>
      <c r="T30" s="18">
        <f t="shared" si="0"/>
        <v>39.624735768113027</v>
      </c>
      <c r="U30" s="19">
        <f t="shared" si="1"/>
        <v>-2.6757117455650459</v>
      </c>
    </row>
    <row r="31" spans="2:21">
      <c r="B31" s="4">
        <v>10.871753344697995</v>
      </c>
      <c r="C31" s="5">
        <v>30.634686270360451</v>
      </c>
      <c r="T31" s="18">
        <f t="shared" si="0"/>
        <v>34.612858762759053</v>
      </c>
      <c r="U31" s="19">
        <f t="shared" si="1"/>
        <v>-3.9781724923986026</v>
      </c>
    </row>
    <row r="32" spans="2:21">
      <c r="B32" s="4">
        <v>7.41993381644998</v>
      </c>
      <c r="C32" s="5">
        <v>23.547911277323145</v>
      </c>
      <c r="T32" s="18">
        <f t="shared" si="0"/>
        <v>24.789233561951207</v>
      </c>
      <c r="U32" s="19">
        <f t="shared" si="1"/>
        <v>-1.2413222846280618</v>
      </c>
    </row>
    <row r="33" spans="2:21">
      <c r="B33" s="4">
        <v>11.285991336722907</v>
      </c>
      <c r="C33" s="5">
        <v>35.841490183777744</v>
      </c>
      <c r="T33" s="18">
        <f t="shared" si="0"/>
        <v>35.791749705430483</v>
      </c>
      <c r="U33" s="19">
        <f t="shared" si="1"/>
        <v>4.9740478347260364E-2</v>
      </c>
    </row>
    <row r="34" spans="2:21">
      <c r="B34" s="4">
        <v>8.3479381917451292</v>
      </c>
      <c r="C34" s="5">
        <v>24.661406775078692</v>
      </c>
      <c r="T34" s="18">
        <f t="shared" si="0"/>
        <v>27.430265948785294</v>
      </c>
      <c r="U34" s="19">
        <f t="shared" si="1"/>
        <v>-2.768859173706602</v>
      </c>
    </row>
    <row r="35" spans="2:21">
      <c r="B35" s="4">
        <v>6.7751376495314464</v>
      </c>
      <c r="C35" s="5">
        <v>23.001885883274934</v>
      </c>
      <c r="T35" s="18">
        <f t="shared" si="0"/>
        <v>22.954190964014408</v>
      </c>
      <c r="U35" s="19">
        <f t="shared" si="1"/>
        <v>4.7694919260525381E-2</v>
      </c>
    </row>
    <row r="36" spans="2:21">
      <c r="B36" s="4">
        <v>8.7651918528738939</v>
      </c>
      <c r="C36" s="5">
        <v>30.093066376291436</v>
      </c>
      <c r="T36" s="18">
        <f t="shared" si="0"/>
        <v>28.617739264539523</v>
      </c>
      <c r="U36" s="19">
        <f t="shared" si="1"/>
        <v>1.4753271117519127</v>
      </c>
    </row>
    <row r="37" spans="2:21">
      <c r="B37" s="4">
        <v>12.53233964121122</v>
      </c>
      <c r="C37" s="5">
        <v>38.296426003839208</v>
      </c>
      <c r="T37" s="18">
        <f t="shared" si="0"/>
        <v>39.338765565546971</v>
      </c>
      <c r="U37" s="19">
        <f t="shared" si="1"/>
        <v>-1.0423395617077631</v>
      </c>
    </row>
    <row r="38" spans="2:21">
      <c r="B38" s="4">
        <v>10.432534353814118</v>
      </c>
      <c r="C38" s="5">
        <v>34.373919225928098</v>
      </c>
      <c r="T38" s="18">
        <f t="shared" si="0"/>
        <v>33.362873729587228</v>
      </c>
      <c r="U38" s="19">
        <f t="shared" si="1"/>
        <v>1.0110454963408699</v>
      </c>
    </row>
    <row r="39" spans="2:21">
      <c r="B39" s="4">
        <v>10.455263430043599</v>
      </c>
      <c r="C39" s="5">
        <v>33.945618828532268</v>
      </c>
      <c r="T39" s="18">
        <f t="shared" si="0"/>
        <v>33.427559013453255</v>
      </c>
      <c r="U39" s="19">
        <f t="shared" si="1"/>
        <v>0.51805981507901322</v>
      </c>
    </row>
    <row r="40" spans="2:21" ht="15.75" thickBot="1">
      <c r="B40" s="6">
        <v>12.639137085943016</v>
      </c>
      <c r="C40" s="7">
        <v>38.236947869327537</v>
      </c>
      <c r="T40" s="20">
        <f t="shared" si="0"/>
        <v>39.64270326010589</v>
      </c>
      <c r="U40" s="21">
        <f t="shared" si="1"/>
        <v>-1.4057553907783529</v>
      </c>
    </row>
    <row r="45" spans="2:21">
      <c r="E45" s="22" t="s">
        <v>24</v>
      </c>
      <c r="J45" s="22" t="s">
        <v>25</v>
      </c>
      <c r="P45" s="22" t="s">
        <v>26</v>
      </c>
    </row>
    <row r="47" spans="2:21">
      <c r="E47" t="s">
        <v>27</v>
      </c>
      <c r="F47" s="44">
        <f>n*G16</f>
        <v>791.47886059127211</v>
      </c>
      <c r="J47" t="s">
        <v>28</v>
      </c>
      <c r="M47" t="s">
        <v>29</v>
      </c>
      <c r="P47" t="s">
        <v>30</v>
      </c>
    </row>
    <row r="48" spans="2:21">
      <c r="E48" t="s">
        <v>31</v>
      </c>
      <c r="F48" s="44">
        <f>(n-2)*X13</f>
        <v>105.12537462077913</v>
      </c>
      <c r="J48" t="s">
        <v>32</v>
      </c>
      <c r="K48" s="12">
        <v>0.05</v>
      </c>
      <c r="M48" t="s">
        <v>32</v>
      </c>
      <c r="N48" s="12">
        <v>0.05</v>
      </c>
    </row>
    <row r="49" spans="5:18">
      <c r="E49" t="s">
        <v>33</v>
      </c>
      <c r="F49" s="44">
        <f>F47-F48</f>
        <v>686.35348597049301</v>
      </c>
      <c r="J49" t="s">
        <v>34</v>
      </c>
      <c r="K49">
        <f>_xlfn.T.INV(1-K48/2,n-2)</f>
        <v>2.0555294386428731</v>
      </c>
      <c r="M49" t="s">
        <v>34</v>
      </c>
      <c r="N49">
        <f>_xlfn.T.INV(1-N48/2,n-2)</f>
        <v>2.0555294386428731</v>
      </c>
      <c r="P49" s="29" t="s">
        <v>35</v>
      </c>
      <c r="Q49" s="32">
        <f>P14/(SQRT(1/(n*F16))*SQRT(X13))</f>
        <v>13.028872006349108</v>
      </c>
      <c r="R49" s="33">
        <f>TDIST(Q49,n-2,2)</f>
        <v>6.6277308844591312E-13</v>
      </c>
    </row>
    <row r="50" spans="5:18">
      <c r="K50" s="23">
        <f>SQRT(1/(n*F16))*SQRT(X13)</f>
        <v>0.21843231346336225</v>
      </c>
      <c r="N50" s="23">
        <f>SQRT(1/n+F13^2/(n*F16))*SQRT(X13)</f>
        <v>2.3181326751860269</v>
      </c>
      <c r="P50" s="29" t="s">
        <v>36</v>
      </c>
      <c r="Q50" s="32">
        <f>F49/X13</f>
        <v>169.75150575782615</v>
      </c>
      <c r="R50" s="33">
        <f>FDIST(Q50,1,n-2)</f>
        <v>6.6277308844597209E-13</v>
      </c>
    </row>
    <row r="51" spans="5:18">
      <c r="E51" t="s">
        <v>37</v>
      </c>
      <c r="F51" s="40">
        <f>F49/F47</f>
        <v>0.86717854404570516</v>
      </c>
      <c r="J51" t="s">
        <v>38</v>
      </c>
      <c r="K51">
        <f>K49*K50</f>
        <v>0.44899405067480908</v>
      </c>
      <c r="M51" t="s">
        <v>38</v>
      </c>
      <c r="N51">
        <f>N49*N50</f>
        <v>4.7649899565248353</v>
      </c>
    </row>
    <row r="52" spans="5:18" ht="15.75" thickBot="1">
      <c r="F52">
        <f>F21^2</f>
        <v>0.86717854404570549</v>
      </c>
    </row>
    <row r="53" spans="5:18">
      <c r="J53" s="49" t="s">
        <v>39</v>
      </c>
      <c r="K53" s="27">
        <f>P14+K51</f>
        <v>3.2949207048396829</v>
      </c>
      <c r="M53" s="49" t="s">
        <v>39</v>
      </c>
      <c r="N53" s="27">
        <f>O14+N51</f>
        <v>8.4376360981017484</v>
      </c>
      <c r="P53" t="s">
        <v>40</v>
      </c>
    </row>
    <row r="54" spans="5:18" ht="15.75" thickBot="1">
      <c r="J54" s="50"/>
      <c r="K54" s="28">
        <f>P14-K51</f>
        <v>2.3969326034900647</v>
      </c>
      <c r="M54" s="50"/>
      <c r="N54" s="28">
        <f>O14-N51</f>
        <v>-1.092343814947923</v>
      </c>
      <c r="P54" t="s">
        <v>35</v>
      </c>
      <c r="Q54" s="32">
        <f>O14/(SQRT(1/n+F13^2/(n*F16))*SQRT(X13))</f>
        <v>1.5843123134797223</v>
      </c>
      <c r="R54" s="34">
        <f>TDIST(Q54,n-2,2)</f>
        <v>0.12521198978085055</v>
      </c>
    </row>
    <row r="65" spans="5:10">
      <c r="E65" s="22" t="s">
        <v>41</v>
      </c>
    </row>
    <row r="69" spans="5:10">
      <c r="E69" t="s">
        <v>42</v>
      </c>
    </row>
    <row r="70" spans="5:10" ht="15.75" thickBot="1"/>
    <row r="71" spans="5:10">
      <c r="E71" s="11" t="s">
        <v>43</v>
      </c>
      <c r="F71" s="11"/>
    </row>
    <row r="72" spans="5:10">
      <c r="E72" s="30" t="s">
        <v>44</v>
      </c>
      <c r="F72" s="8">
        <v>0.93122421792267929</v>
      </c>
    </row>
    <row r="73" spans="5:10">
      <c r="E73" s="30" t="s">
        <v>45</v>
      </c>
      <c r="F73" s="40">
        <v>0.86717854404570571</v>
      </c>
    </row>
    <row r="74" spans="5:10">
      <c r="E74" s="30" t="s">
        <v>46</v>
      </c>
      <c r="F74" s="8">
        <v>0.86207002650900211</v>
      </c>
    </row>
    <row r="75" spans="5:10">
      <c r="E75" s="30" t="s">
        <v>47</v>
      </c>
      <c r="F75" s="42">
        <v>2.0107917941101543</v>
      </c>
    </row>
    <row r="76" spans="5:10" ht="15.75" thickBot="1">
      <c r="E76" s="31" t="s">
        <v>48</v>
      </c>
      <c r="F76" s="9">
        <v>28</v>
      </c>
    </row>
    <row r="78" spans="5:10" ht="15.75" thickBot="1">
      <c r="E78" t="s">
        <v>49</v>
      </c>
    </row>
    <row r="79" spans="5:10">
      <c r="E79" s="10"/>
      <c r="F79" s="10" t="s">
        <v>50</v>
      </c>
      <c r="G79" s="10" t="s">
        <v>51</v>
      </c>
      <c r="H79" s="10" t="s">
        <v>52</v>
      </c>
      <c r="I79" s="10" t="s">
        <v>53</v>
      </c>
      <c r="J79" s="10" t="s">
        <v>54</v>
      </c>
    </row>
    <row r="80" spans="5:10">
      <c r="E80" s="8" t="s">
        <v>55</v>
      </c>
      <c r="F80" s="8">
        <v>1</v>
      </c>
      <c r="G80" s="47">
        <v>686.35348597049642</v>
      </c>
      <c r="H80" s="8">
        <v>686.35348597049642</v>
      </c>
      <c r="I80" s="35">
        <v>169.75150575782706</v>
      </c>
      <c r="J80" s="35">
        <v>6.6277308844592968E-13</v>
      </c>
    </row>
    <row r="81" spans="5:13">
      <c r="E81" s="8" t="s">
        <v>56</v>
      </c>
      <c r="F81" s="8">
        <v>26</v>
      </c>
      <c r="G81" s="47">
        <v>105.12537462077908</v>
      </c>
      <c r="H81" s="8">
        <v>4.0432836392607339</v>
      </c>
      <c r="I81" s="8"/>
      <c r="J81" s="8"/>
    </row>
    <row r="82" spans="5:13" ht="15.75" thickBot="1">
      <c r="E82" s="9" t="s">
        <v>57</v>
      </c>
      <c r="F82" s="9">
        <v>27</v>
      </c>
      <c r="G82" s="48">
        <v>791.47886059127552</v>
      </c>
      <c r="H82" s="9"/>
      <c r="I82" s="9"/>
      <c r="J82" s="9"/>
    </row>
    <row r="83" spans="5:13" ht="15.75" thickBot="1"/>
    <row r="84" spans="5:13">
      <c r="E84" s="10"/>
      <c r="F84" s="10" t="s">
        <v>58</v>
      </c>
      <c r="G84" s="10" t="s">
        <v>47</v>
      </c>
      <c r="H84" s="10" t="s">
        <v>59</v>
      </c>
      <c r="I84" s="10" t="s">
        <v>60</v>
      </c>
      <c r="J84" s="10" t="s">
        <v>61</v>
      </c>
      <c r="K84" s="10" t="s">
        <v>62</v>
      </c>
      <c r="L84" s="10" t="s">
        <v>63</v>
      </c>
      <c r="M84" s="10" t="s">
        <v>64</v>
      </c>
    </row>
    <row r="85" spans="5:13">
      <c r="E85" s="8" t="s">
        <v>65</v>
      </c>
      <c r="F85" s="42">
        <v>3.6726461415769123</v>
      </c>
      <c r="G85" s="45">
        <v>2.3181326751860292</v>
      </c>
      <c r="H85" s="35">
        <v>1.5843123134797208</v>
      </c>
      <c r="I85" s="35">
        <v>0.12521198978085116</v>
      </c>
      <c r="J85" s="8">
        <v>-1.0923438149479283</v>
      </c>
      <c r="K85" s="8">
        <v>8.437636098101752</v>
      </c>
      <c r="L85" s="37">
        <v>-1.0923438149479283</v>
      </c>
      <c r="M85" s="37">
        <v>8.437636098101752</v>
      </c>
    </row>
    <row r="86" spans="5:13" ht="15.75" thickBot="1">
      <c r="E86" s="9" t="s">
        <v>66</v>
      </c>
      <c r="F86" s="43">
        <v>2.8459266541648738</v>
      </c>
      <c r="G86" s="46">
        <v>0.21843231346336248</v>
      </c>
      <c r="H86" s="36">
        <v>13.028872006349095</v>
      </c>
      <c r="I86" s="36">
        <v>6.6277308844592968E-13</v>
      </c>
      <c r="J86" s="9">
        <v>2.3969326034900642</v>
      </c>
      <c r="K86" s="9">
        <v>3.2949207048396834</v>
      </c>
      <c r="L86" s="38">
        <v>2.3969326034900642</v>
      </c>
      <c r="M86" s="38">
        <v>3.2949207048396834</v>
      </c>
    </row>
    <row r="90" spans="5:13">
      <c r="E90" t="s">
        <v>67</v>
      </c>
    </row>
    <row r="91" spans="5:13" ht="15.75" thickBot="1"/>
    <row r="92" spans="5:13">
      <c r="E92" s="10" t="s">
        <v>68</v>
      </c>
      <c r="F92" s="10" t="s">
        <v>69</v>
      </c>
      <c r="G92" s="10" t="s">
        <v>56</v>
      </c>
    </row>
    <row r="93" spans="5:13">
      <c r="E93" s="8">
        <v>1</v>
      </c>
      <c r="F93" s="8">
        <v>34.851741769924779</v>
      </c>
      <c r="G93" s="8">
        <v>6.7246233202084227E-2</v>
      </c>
    </row>
    <row r="94" spans="5:13">
      <c r="E94" s="8">
        <v>2</v>
      </c>
      <c r="F94" s="8">
        <v>38.260042597460647</v>
      </c>
      <c r="G94" s="8">
        <v>-1.8588435568384511</v>
      </c>
    </row>
    <row r="95" spans="5:13">
      <c r="E95" s="8">
        <v>3</v>
      </c>
      <c r="F95" s="8">
        <v>34.847590650125134</v>
      </c>
      <c r="G95" s="8">
        <v>-4.1055649189114582</v>
      </c>
    </row>
    <row r="96" spans="5:13">
      <c r="E96" s="8">
        <v>4</v>
      </c>
      <c r="F96" s="8">
        <v>33.058859905455556</v>
      </c>
      <c r="G96" s="8">
        <v>3.1361407541343524</v>
      </c>
    </row>
    <row r="97" spans="5:7">
      <c r="E97" s="8">
        <v>5</v>
      </c>
      <c r="F97" s="8">
        <v>36.254184453253501</v>
      </c>
      <c r="G97" s="8">
        <v>0.76102060272643257</v>
      </c>
    </row>
    <row r="98" spans="5:7">
      <c r="E98" s="8">
        <v>6</v>
      </c>
      <c r="F98" s="8">
        <v>28.338540576105583</v>
      </c>
      <c r="G98" s="8">
        <v>0.95787943851440716</v>
      </c>
    </row>
    <row r="99" spans="5:7">
      <c r="E99" s="8">
        <v>7</v>
      </c>
      <c r="F99" s="8">
        <v>40.082869258787085</v>
      </c>
      <c r="G99" s="8">
        <v>3.6959227347449399</v>
      </c>
    </row>
    <row r="100" spans="5:7">
      <c r="E100" s="8">
        <v>8</v>
      </c>
      <c r="F100" s="8">
        <v>24.759179553497411</v>
      </c>
      <c r="G100" s="8">
        <v>-0.73076488079866664</v>
      </c>
    </row>
    <row r="101" spans="5:7">
      <c r="E101" s="8">
        <v>9</v>
      </c>
      <c r="F101" s="8">
        <v>35.559045046798531</v>
      </c>
      <c r="G101" s="8">
        <v>-0.56073339258484367</v>
      </c>
    </row>
    <row r="102" spans="5:7">
      <c r="E102" s="8">
        <v>10</v>
      </c>
      <c r="F102" s="8">
        <v>35.509550070120582</v>
      </c>
      <c r="G102" s="8">
        <v>1.1759678266740892</v>
      </c>
    </row>
    <row r="103" spans="5:7">
      <c r="E103" s="8">
        <v>11</v>
      </c>
      <c r="F103" s="8">
        <v>28.150137650671503</v>
      </c>
      <c r="G103" s="8">
        <v>0.35683091519113219</v>
      </c>
    </row>
    <row r="104" spans="5:7">
      <c r="E104" s="8">
        <v>12</v>
      </c>
      <c r="F104" s="8">
        <v>33.352590106807817</v>
      </c>
      <c r="G104" s="8">
        <v>3.4606801945940546</v>
      </c>
    </row>
    <row r="105" spans="5:7">
      <c r="E105" s="8">
        <v>13</v>
      </c>
      <c r="F105" s="8">
        <v>38.389806454182022</v>
      </c>
      <c r="G105" s="8">
        <v>1.660835659250246</v>
      </c>
    </row>
    <row r="106" spans="5:7">
      <c r="E106" s="8">
        <v>14</v>
      </c>
      <c r="F106" s="8">
        <v>31.573107608804079</v>
      </c>
      <c r="G106" s="8">
        <v>-0.12786247040779486</v>
      </c>
    </row>
    <row r="107" spans="5:7">
      <c r="E107" s="8">
        <v>15</v>
      </c>
      <c r="F107" s="8">
        <v>37.304259186375575</v>
      </c>
      <c r="G107" s="8">
        <v>1.5371991991197262</v>
      </c>
    </row>
    <row r="108" spans="5:7">
      <c r="E108" s="8">
        <v>16</v>
      </c>
      <c r="F108" s="8">
        <v>39.216796486112095</v>
      </c>
      <c r="G108" s="8">
        <v>-0.55849658468491725</v>
      </c>
    </row>
    <row r="109" spans="5:7">
      <c r="E109" s="8">
        <v>17</v>
      </c>
      <c r="F109" s="8">
        <v>27.967578802992477</v>
      </c>
      <c r="G109" s="8">
        <v>1.1428350740795317</v>
      </c>
    </row>
    <row r="110" spans="5:7">
      <c r="E110" s="8">
        <v>18</v>
      </c>
      <c r="F110" s="8">
        <v>39.624735768113027</v>
      </c>
      <c r="G110" s="8">
        <v>-2.6757117455650459</v>
      </c>
    </row>
    <row r="111" spans="5:7">
      <c r="E111" s="8">
        <v>19</v>
      </c>
      <c r="F111" s="8">
        <v>34.612858762759053</v>
      </c>
      <c r="G111" s="8">
        <v>-3.9781724923986026</v>
      </c>
    </row>
    <row r="112" spans="5:7">
      <c r="E112" s="8">
        <v>20</v>
      </c>
      <c r="F112" s="8">
        <v>24.789233561951207</v>
      </c>
      <c r="G112" s="8">
        <v>-1.2413222846280618</v>
      </c>
    </row>
    <row r="113" spans="5:7">
      <c r="E113" s="8">
        <v>21</v>
      </c>
      <c r="F113" s="8">
        <v>35.791749705430483</v>
      </c>
      <c r="G113" s="8">
        <v>4.9740478347260364E-2</v>
      </c>
    </row>
    <row r="114" spans="5:7">
      <c r="E114" s="8">
        <v>22</v>
      </c>
      <c r="F114" s="8">
        <v>27.430265948785294</v>
      </c>
      <c r="G114" s="8">
        <v>-2.768859173706602</v>
      </c>
    </row>
    <row r="115" spans="5:7">
      <c r="E115" s="8">
        <v>23</v>
      </c>
      <c r="F115" s="8">
        <v>22.954190964014408</v>
      </c>
      <c r="G115" s="8">
        <v>4.7694919260525381E-2</v>
      </c>
    </row>
    <row r="116" spans="5:7">
      <c r="E116" s="8">
        <v>24</v>
      </c>
      <c r="F116" s="8">
        <v>28.617739264539523</v>
      </c>
      <c r="G116" s="8">
        <v>1.4753271117519127</v>
      </c>
    </row>
    <row r="117" spans="5:7">
      <c r="E117" s="8">
        <v>25</v>
      </c>
      <c r="F117" s="8">
        <v>39.338765565546971</v>
      </c>
      <c r="G117" s="8">
        <v>-1.0423395617077631</v>
      </c>
    </row>
    <row r="118" spans="5:7">
      <c r="E118" s="8">
        <v>26</v>
      </c>
      <c r="F118" s="8">
        <v>33.362873729587228</v>
      </c>
      <c r="G118" s="8">
        <v>1.0110454963408699</v>
      </c>
    </row>
    <row r="119" spans="5:7">
      <c r="E119" s="8">
        <v>27</v>
      </c>
      <c r="F119" s="8">
        <v>33.427559013453255</v>
      </c>
      <c r="G119" s="8">
        <v>0.51805981507901322</v>
      </c>
    </row>
    <row r="120" spans="5:7" ht="15.75" thickBot="1">
      <c r="E120" s="9">
        <v>28</v>
      </c>
      <c r="F120" s="9">
        <v>39.64270326010589</v>
      </c>
      <c r="G120" s="9">
        <v>-1.4057553907783529</v>
      </c>
    </row>
  </sheetData>
  <mergeCells count="2">
    <mergeCell ref="J53:J54"/>
    <mergeCell ref="M53:M5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27F473C1DB7F946B525A47D99548295" ma:contentTypeVersion="2" ma:contentTypeDescription="Crear nuevo documento." ma:contentTypeScope="" ma:versionID="53b824cc5dcf41efc33a3f03b304364a">
  <xsd:schema xmlns:xsd="http://www.w3.org/2001/XMLSchema" xmlns:xs="http://www.w3.org/2001/XMLSchema" xmlns:p="http://schemas.microsoft.com/office/2006/metadata/properties" xmlns:ns2="fd2a0b23-e46b-48a5-8764-afc6986d404a" targetNamespace="http://schemas.microsoft.com/office/2006/metadata/properties" ma:root="true" ma:fieldsID="c9fa51405bb5ed33c54e1ac8bd6ba38e" ns2:_="">
    <xsd:import namespace="fd2a0b23-e46b-48a5-8764-afc6986d40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0b23-e46b-48a5-8764-afc6986d40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4AF8FB-C522-4F38-AF2E-2E78660F9175}"/>
</file>

<file path=customXml/itemProps2.xml><?xml version="1.0" encoding="utf-8"?>
<ds:datastoreItem xmlns:ds="http://schemas.openxmlformats.org/officeDocument/2006/customXml" ds:itemID="{563E3E01-6EE4-45B7-A0AD-A6A4CEE50541}"/>
</file>

<file path=customXml/itemProps3.xml><?xml version="1.0" encoding="utf-8"?>
<ds:datastoreItem xmlns:ds="http://schemas.openxmlformats.org/officeDocument/2006/customXml" ds:itemID="{237D564F-FB47-4F17-945D-BE1ACA3862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</dc:creator>
  <cp:keywords/>
  <dc:description/>
  <cp:lastModifiedBy>Luis Perez Miguel</cp:lastModifiedBy>
  <cp:revision/>
  <dcterms:created xsi:type="dcterms:W3CDTF">2018-04-10T21:09:30Z</dcterms:created>
  <dcterms:modified xsi:type="dcterms:W3CDTF">2021-01-08T19:18:19Z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0x010100027F473C1DB7F946B525A47D99548295</vt:lpwstr>
  </property>
</Properties>
</file>