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<sst xmlns="http://schemas.openxmlformats.org/spreadsheetml/2006/main" count="57" uniqueCount="56">
  <si>
    <t>BALANCE</t>
  </si>
  <si>
    <t>Activo no corriente</t>
  </si>
  <si>
    <t>Material</t>
  </si>
  <si>
    <t>Inmaterial</t>
  </si>
  <si>
    <t>Financiero</t>
  </si>
  <si>
    <t>Otros AF</t>
  </si>
  <si>
    <t>Activo corriente</t>
  </si>
  <si>
    <t>Stocks</t>
  </si>
  <si>
    <t>Clientes</t>
  </si>
  <si>
    <t>Inv. financiera</t>
  </si>
  <si>
    <t>Caja</t>
  </si>
  <si>
    <t>efectivo + tesoreria</t>
  </si>
  <si>
    <t>Otros AC</t>
  </si>
  <si>
    <t>TOTAL ACTIVO</t>
  </si>
  <si>
    <t>Patrimonio Neto</t>
  </si>
  <si>
    <t>Capital social</t>
  </si>
  <si>
    <t>Reservas</t>
  </si>
  <si>
    <t>PyG</t>
  </si>
  <si>
    <t>(pyg se incluye en reservas en investing.com)</t>
  </si>
  <si>
    <t>Pasivo no corriente</t>
  </si>
  <si>
    <t>Deuda financiera M/L</t>
  </si>
  <si>
    <t>Otros PNC</t>
  </si>
  <si>
    <t>Pasivo corriente</t>
  </si>
  <si>
    <t>Deuda financ. corto</t>
  </si>
  <si>
    <t>Otros PC</t>
  </si>
  <si>
    <t>TOTAL P.NETO y P</t>
  </si>
  <si>
    <t>PYG</t>
  </si>
  <si>
    <t>INGRESOS</t>
  </si>
  <si>
    <t>Ventas</t>
  </si>
  <si>
    <t>Subvenciones</t>
  </si>
  <si>
    <t>Otros</t>
  </si>
  <si>
    <t>GASTOS</t>
  </si>
  <si>
    <t>Compras</t>
  </si>
  <si>
    <t>Variacion exist.</t>
  </si>
  <si>
    <t>Personal</t>
  </si>
  <si>
    <t>EBITDA</t>
  </si>
  <si>
    <t>Gastos financ.</t>
  </si>
  <si>
    <t>BAAT</t>
  </si>
  <si>
    <t>Amortiz.</t>
  </si>
  <si>
    <t>BAT</t>
  </si>
  <si>
    <t>Impuestos</t>
  </si>
  <si>
    <t>Operaciones cont.</t>
  </si>
  <si>
    <t>Interes financ.</t>
  </si>
  <si>
    <t>RESULTADO NETO</t>
  </si>
  <si>
    <t>RATIOS</t>
  </si>
  <si>
    <t>RENTABILIDAD</t>
  </si>
  <si>
    <t>Rent. financiera</t>
  </si>
  <si>
    <t>Rent. economica</t>
  </si>
  <si>
    <t>Margen</t>
  </si>
  <si>
    <t>Rotacion</t>
  </si>
  <si>
    <t>SOLVENCIA</t>
  </si>
  <si>
    <t>RA/Act. real</t>
  </si>
  <si>
    <t>RP/Inmov. neto</t>
  </si>
  <si>
    <t>LIQUIDEZ</t>
  </si>
  <si>
    <t>Ratio circulante</t>
  </si>
  <si>
    <t>Test ácido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</si>
</sst>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"/>
  </numFmts>
  <fonts count="11">
    <font>
      <sz val="10.0"/>
      <color rgb="FF000000"/>
      <name val="Arial"/>
    </font>
    <font>
      <b/>
      <color theme="5"/>
      <name val="Arial"/>
    </font>
    <font>
      <b/>
      <color theme="4"/>
      <name val="Arial"/>
    </font>
    <font>
      <color theme="1"/>
      <name val="Arial"/>
    </font>
    <font>
      <b/>
      <color rgb="FFEA4335"/>
      <name val="Arial"/>
    </font>
    <font>
      <b/>
      <color theme="1"/>
      <name val="Arial"/>
    </font>
    <font>
      <b/>
      <color theme="8"/>
      <name val="Arial"/>
    </font>
    <font>
      <b/>
      <color theme="5"/>
    </font>
    <font/>
    <font>
      <b/>
      <color rgb="FF4285F4"/>
    </font>
    <font>
      <b/>
      <color theme="4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3" numFmtId="0" xfId="0" applyBorder="1" applyFont="1"/>
    <xf borderId="0" fillId="0" fontId="5" numFmtId="0" xfId="0" applyAlignment="1" applyFont="1">
      <alignment readingOrder="0"/>
    </xf>
    <xf borderId="3" fillId="0" fontId="3" numFmtId="0" xfId="0" applyBorder="1" applyFont="1"/>
    <xf borderId="1" fillId="0" fontId="6" numFmtId="0" xfId="0" applyAlignment="1" applyBorder="1" applyFont="1">
      <alignment readingOrder="0"/>
    </xf>
    <xf borderId="2" fillId="0" fontId="5" numFmtId="0" xfId="0" applyBorder="1" applyFont="1"/>
    <xf borderId="4" fillId="0" fontId="3" numFmtId="3" xfId="0" applyAlignment="1" applyBorder="1" applyFont="1" applyNumberFormat="1">
      <alignment readingOrder="0"/>
    </xf>
    <xf borderId="2" fillId="0" fontId="5" numFmtId="164" xfId="0" applyBorder="1" applyFont="1" applyNumberFormat="1"/>
    <xf borderId="5" fillId="0" fontId="2" numFmtId="0" xfId="0" applyAlignment="1" applyBorder="1" applyFont="1">
      <alignment readingOrder="0"/>
    </xf>
    <xf borderId="4" fillId="0" fontId="3" numFmtId="3" xfId="0" applyBorder="1" applyFont="1" applyNumberFormat="1"/>
    <xf borderId="2" fillId="0" fontId="5" numFmtId="3" xfId="0" applyBorder="1" applyFont="1" applyNumberFormat="1"/>
    <xf borderId="6" fillId="2" fontId="7" numFmtId="0" xfId="0" applyAlignment="1" applyBorder="1" applyFill="1" applyFont="1">
      <alignment horizontal="center" readingOrder="0"/>
    </xf>
    <xf borderId="7" fillId="2" fontId="8" numFmtId="0" xfId="0" applyBorder="1" applyFont="1"/>
    <xf borderId="8" fillId="2" fontId="8" numFmtId="0" xfId="0" applyBorder="1" applyFont="1"/>
    <xf borderId="0" fillId="0" fontId="3" numFmtId="0" xfId="0" applyFont="1"/>
    <xf borderId="5" fillId="3" fontId="8" numFmtId="0" xfId="0" applyBorder="1" applyFill="1" applyFont="1"/>
    <xf borderId="0" fillId="3" fontId="3" numFmtId="0" xfId="0" applyFont="1"/>
    <xf borderId="9" fillId="3" fontId="8" numFmtId="0" xfId="0" applyBorder="1" applyFont="1"/>
    <xf borderId="0" fillId="0" fontId="8" numFmtId="0" xfId="0" applyFont="1"/>
    <xf borderId="10" fillId="4" fontId="9" numFmtId="0" xfId="0" applyAlignment="1" applyBorder="1" applyFill="1" applyFont="1">
      <alignment readingOrder="0"/>
    </xf>
    <xf borderId="2" fillId="3" fontId="7" numFmtId="0" xfId="0" applyAlignment="1" applyBorder="1" applyFont="1">
      <alignment horizontal="center" readingOrder="0"/>
    </xf>
    <xf borderId="4" fillId="4" fontId="8" numFmtId="0" xfId="0" applyAlignment="1" applyBorder="1" applyFont="1">
      <alignment readingOrder="0"/>
    </xf>
    <xf borderId="4" fillId="0" fontId="3" numFmtId="10" xfId="0" applyBorder="1" applyFont="1" applyNumberFormat="1"/>
    <xf borderId="0" fillId="0" fontId="8" numFmtId="10" xfId="0" applyFont="1" applyNumberFormat="1"/>
    <xf borderId="10" fillId="5" fontId="10" numFmtId="0" xfId="0" applyAlignment="1" applyBorder="1" applyFill="1" applyFont="1">
      <alignment readingOrder="0"/>
    </xf>
    <xf borderId="4" fillId="5" fontId="8" numFmtId="0" xfId="0" applyAlignment="1" applyBorder="1" applyFont="1">
      <alignment readingOrder="0"/>
    </xf>
    <xf borderId="11" fillId="5" fontId="8" numFmtId="0" xfId="0" applyAlignment="1" applyBorder="1" applyFont="1">
      <alignment readingOrder="0"/>
    </xf>
    <xf borderId="11" fillId="0" fontId="3" numFmtId="10" xfId="0" applyBorder="1" applyFont="1" applyNumberFormat="1"/>
    <xf borderId="4" fillId="6" fontId="10" numFmtId="0" xfId="0" applyAlignment="1" applyBorder="1" applyFill="1" applyFont="1">
      <alignment readingOrder="0"/>
    </xf>
    <xf borderId="4" fillId="6" fontId="8" numFmtId="0" xfId="0" applyAlignment="1" applyBorder="1" applyFont="1">
      <alignment readingOrder="0"/>
    </xf>
    <xf borderId="4" fillId="0" fontId="3" numFmtId="165" xfId="0" applyBorder="1" applyFont="1" applyNumberFormat="1"/>
    <xf borderId="0" fillId="0" fontId="8" numFmtId="165" xfId="0" applyFont="1" applyNumberFormat="1"/>
    <xf borderId="11" fillId="6" fontId="8" numFmtId="0" xfId="0" applyAlignment="1" applyBorder="1" applyFont="1">
      <alignment readingOrder="0"/>
    </xf>
    <xf borderId="11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RENTABILIDAD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1'!$C$101</c:f>
            </c:strRef>
          </c:tx>
          <c:marker>
            <c:symbol val="none"/>
          </c:marker>
          <c:cat>
            <c:strRef>
              <c:f>'Hoja 1'!$D$100:$G$100</c:f>
            </c:strRef>
          </c:cat>
          <c:val>
            <c:numRef>
              <c:f>'Hoja 1'!$D$101:$G$101</c:f>
              <c:numCache/>
            </c:numRef>
          </c:val>
          <c:smooth val="0"/>
        </c:ser>
        <c:ser>
          <c:idx val="1"/>
          <c:order val="1"/>
          <c:tx>
            <c:strRef>
              <c:f>'Hoja 1'!$C$102</c:f>
            </c:strRef>
          </c:tx>
          <c:marker>
            <c:symbol val="none"/>
          </c:marker>
          <c:cat>
            <c:strRef>
              <c:f>'Hoja 1'!$D$100:$G$100</c:f>
            </c:strRef>
          </c:cat>
          <c:val>
            <c:numRef>
              <c:f>'Hoja 1'!$D$102:$G$102</c:f>
              <c:numCache/>
            </c:numRef>
          </c:val>
          <c:smooth val="0"/>
        </c:ser>
        <c:ser>
          <c:idx val="2"/>
          <c:order val="2"/>
          <c:tx>
            <c:strRef>
              <c:f>'Hoja 1'!$C$103</c:f>
            </c:strRef>
          </c:tx>
          <c:marker>
            <c:symbol val="none"/>
          </c:marker>
          <c:cat>
            <c:strRef>
              <c:f>'Hoja 1'!$D$100:$G$100</c:f>
            </c:strRef>
          </c:cat>
          <c:val>
            <c:numRef>
              <c:f>'Hoja 1'!$D$103:$G$103</c:f>
              <c:numCache/>
            </c:numRef>
          </c:val>
          <c:smooth val="0"/>
        </c:ser>
        <c:ser>
          <c:idx val="3"/>
          <c:order val="3"/>
          <c:tx>
            <c:strRef>
              <c:f>'Hoja 1'!$C$104</c:f>
            </c:strRef>
          </c:tx>
          <c:marker>
            <c:symbol val="none"/>
          </c:marker>
          <c:cat>
            <c:strRef>
              <c:f>'Hoja 1'!$D$100:$G$100</c:f>
            </c:strRef>
          </c:cat>
          <c:val>
            <c:numRef>
              <c:f>'Hoja 1'!$D$104:$G$104</c:f>
              <c:numCache/>
            </c:numRef>
          </c:val>
          <c:smooth val="0"/>
        </c:ser>
        <c:axId val="638192804"/>
        <c:axId val="1967394842"/>
      </c:lineChart>
      <c:catAx>
        <c:axId val="638192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RENTABILIDAD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394842"/>
      </c:catAx>
      <c:valAx>
        <c:axId val="196739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92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SOLVENCIA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1'!$C$106</c:f>
            </c:strRef>
          </c:tx>
          <c:marker>
            <c:symbol val="none"/>
          </c:marker>
          <c:cat>
            <c:strRef>
              <c:f>'Hoja 1'!$D$105:$G$105</c:f>
            </c:strRef>
          </c:cat>
          <c:val>
            <c:numRef>
              <c:f>'Hoja 1'!$D$106:$G$106</c:f>
              <c:numCache/>
            </c:numRef>
          </c:val>
          <c:smooth val="0"/>
        </c:ser>
        <c:ser>
          <c:idx val="1"/>
          <c:order val="1"/>
          <c:tx>
            <c:strRef>
              <c:f>'Hoja 1'!$C$107</c:f>
            </c:strRef>
          </c:tx>
          <c:marker>
            <c:symbol val="none"/>
          </c:marker>
          <c:cat>
            <c:strRef>
              <c:f>'Hoja 1'!$D$105:$G$105</c:f>
            </c:strRef>
          </c:cat>
          <c:val>
            <c:numRef>
              <c:f>'Hoja 1'!$D$107:$G$107</c:f>
              <c:numCache/>
            </c:numRef>
          </c:val>
          <c:smooth val="0"/>
        </c:ser>
        <c:axId val="1914847351"/>
        <c:axId val="185875319"/>
      </c:lineChart>
      <c:catAx>
        <c:axId val="1914847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SOLVENCIA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75319"/>
      </c:catAx>
      <c:valAx>
        <c:axId val="185875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847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LIQUIDEZ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1'!$C$109</c:f>
            </c:strRef>
          </c:tx>
          <c:marker>
            <c:symbol val="none"/>
          </c:marker>
          <c:cat>
            <c:strRef>
              <c:f>'Hoja 1'!$D$108:$G$108</c:f>
            </c:strRef>
          </c:cat>
          <c:val>
            <c:numRef>
              <c:f>'Hoja 1'!$D$109:$G$109</c:f>
              <c:numCache/>
            </c:numRef>
          </c:val>
          <c:smooth val="0"/>
        </c:ser>
        <c:ser>
          <c:idx val="1"/>
          <c:order val="1"/>
          <c:tx>
            <c:strRef>
              <c:f>'Hoja 1'!$C$110</c:f>
            </c:strRef>
          </c:tx>
          <c:marker>
            <c:symbol val="none"/>
          </c:marker>
          <c:cat>
            <c:strRef>
              <c:f>'Hoja 1'!$D$108:$G$108</c:f>
            </c:strRef>
          </c:cat>
          <c:val>
            <c:numRef>
              <c:f>'Hoja 1'!$D$110:$G$110</c:f>
              <c:numCache/>
            </c:numRef>
          </c:val>
          <c:smooth val="0"/>
        </c:ser>
        <c:axId val="1913761725"/>
        <c:axId val="1934669366"/>
      </c:lineChart>
      <c:catAx>
        <c:axId val="191376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LIQUIDEZ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669366"/>
      </c:catAx>
      <c:valAx>
        <c:axId val="1934669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761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1085850</xdr:colOff>
      <xdr:row>91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1076325</xdr:colOff>
      <xdr:row>109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1085850</xdr:colOff>
      <xdr:row>128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933450</xdr:colOff>
      <xdr:row>2</xdr:row>
      <xdr:rowOff>-19050</xdr:rowOff>
    </xdr:from>
    <xdr:ext cx="5381625" cy="89439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51</xdr:row>
      <xdr:rowOff>171450</xdr:rowOff>
    </xdr:from>
    <xdr:ext cx="5534025" cy="7086600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8" max="8" width="24.0"/>
    <col customWidth="1" min="9" max="9" width="18.57"/>
    <col customWidth="1" min="10" max="10" width="17.57"/>
    <col customWidth="1" min="11" max="11" width="17.71"/>
    <col customWidth="1" min="17" max="17" width="15.71"/>
    <col customWidth="1" min="20" max="20" width="19.29"/>
  </cols>
  <sheetData>
    <row r="9">
      <c r="H9" s="1" t="s">
        <v>0</v>
      </c>
      <c r="I9" s="2">
        <v>2019.0</v>
      </c>
      <c r="J9" s="2">
        <v>2018.0</v>
      </c>
      <c r="K9" s="2">
        <v>2017.0</v>
      </c>
      <c r="L9" s="2">
        <v>2016.0</v>
      </c>
    </row>
    <row r="10">
      <c r="H10" s="3" t="s">
        <v>1</v>
      </c>
      <c r="I10" s="4">
        <f t="shared" ref="I10:L10" si="1">SUM(I11:I14)</f>
        <v>135754</v>
      </c>
      <c r="J10" s="4">
        <f t="shared" si="1"/>
        <v>142472</v>
      </c>
      <c r="K10" s="4">
        <f t="shared" si="1"/>
        <v>100559</v>
      </c>
      <c r="L10" s="4">
        <f t="shared" si="1"/>
        <v>82238.52</v>
      </c>
      <c r="Q10" s="5"/>
    </row>
    <row r="11">
      <c r="H11" s="6" t="s">
        <v>2</v>
      </c>
      <c r="I11" s="7">
        <v>25643.0</v>
      </c>
      <c r="J11" s="7">
        <v>17903.0</v>
      </c>
      <c r="K11" s="7">
        <v>12475.0</v>
      </c>
      <c r="L11" s="7">
        <v>11294.35</v>
      </c>
      <c r="R11" s="8"/>
      <c r="S11" s="8"/>
      <c r="T11" s="9"/>
      <c r="U11" s="9"/>
    </row>
    <row r="12">
      <c r="H12" s="6" t="s">
        <v>3</v>
      </c>
      <c r="I12" s="7">
        <f>18250+7887</f>
        <v>26137</v>
      </c>
      <c r="J12" s="10">
        <f>18536+9181</f>
        <v>27717</v>
      </c>
      <c r="K12" s="10">
        <f>15806+5467</f>
        <v>21273</v>
      </c>
      <c r="L12" s="10">
        <f>15342.1+3872.23</f>
        <v>19214.33</v>
      </c>
      <c r="Q12" s="11"/>
    </row>
    <row r="13">
      <c r="H13" s="6" t="s">
        <v>4</v>
      </c>
      <c r="I13" s="7">
        <f>69410+11000</f>
        <v>80410</v>
      </c>
      <c r="J13" s="10">
        <f>80454+12101</f>
        <v>92555</v>
      </c>
      <c r="K13" s="10">
        <f>56283+7052</f>
        <v>63335</v>
      </c>
      <c r="L13" s="10">
        <f>45690.36+3319.51</f>
        <v>49009.87</v>
      </c>
    </row>
    <row r="14">
      <c r="H14" s="6" t="s">
        <v>5</v>
      </c>
      <c r="I14" s="7">
        <v>3564.0</v>
      </c>
      <c r="J14" s="7">
        <v>4297.0</v>
      </c>
      <c r="K14" s="7">
        <v>3476.0</v>
      </c>
      <c r="L14" s="7">
        <v>2719.97</v>
      </c>
      <c r="Q14" s="8"/>
      <c r="T14" s="8"/>
      <c r="U14" s="8"/>
    </row>
    <row r="15">
      <c r="H15" s="12"/>
      <c r="I15" s="10"/>
      <c r="J15" s="10"/>
      <c r="K15" s="10"/>
      <c r="L15" s="10"/>
    </row>
    <row r="16">
      <c r="H16" s="3" t="s">
        <v>6</v>
      </c>
      <c r="I16" s="4">
        <f t="shared" ref="I16:L16" si="2">SUM(I17:I21)</f>
        <v>165562</v>
      </c>
      <c r="J16" s="4">
        <f t="shared" si="2"/>
        <v>155094</v>
      </c>
      <c r="K16" s="4">
        <f t="shared" si="2"/>
        <v>151169</v>
      </c>
      <c r="L16" s="4">
        <f t="shared" si="2"/>
        <v>99758.88</v>
      </c>
    </row>
    <row r="17">
      <c r="H17" s="6" t="s">
        <v>7</v>
      </c>
      <c r="I17" s="7">
        <v>964.0</v>
      </c>
      <c r="J17" s="7">
        <v>1686.0</v>
      </c>
      <c r="K17" s="7">
        <v>764.0</v>
      </c>
      <c r="L17" s="7">
        <v>922.62</v>
      </c>
    </row>
    <row r="18">
      <c r="H18" s="6" t="s">
        <v>8</v>
      </c>
      <c r="I18" s="7">
        <v>11471.0</v>
      </c>
      <c r="J18" s="7">
        <v>9107.0</v>
      </c>
      <c r="K18" s="7">
        <v>28989.0</v>
      </c>
      <c r="L18" s="7">
        <v>6717.73</v>
      </c>
    </row>
    <row r="19">
      <c r="H19" s="6" t="s">
        <v>9</v>
      </c>
      <c r="I19" s="7">
        <v>112924.0</v>
      </c>
      <c r="J19" s="7">
        <v>111626.0</v>
      </c>
      <c r="K19" s="7">
        <v>107731.0</v>
      </c>
      <c r="L19" s="7">
        <v>78943.07</v>
      </c>
    </row>
    <row r="20">
      <c r="H20" s="6" t="s">
        <v>10</v>
      </c>
      <c r="I20" s="7">
        <v>33443.0</v>
      </c>
      <c r="J20" s="7">
        <v>27638.0</v>
      </c>
      <c r="K20" s="7">
        <v>11084.0</v>
      </c>
      <c r="L20" s="7">
        <v>10898.46</v>
      </c>
      <c r="N20" s="8" t="s">
        <v>11</v>
      </c>
    </row>
    <row r="21">
      <c r="H21" s="6" t="s">
        <v>12</v>
      </c>
      <c r="I21" s="7">
        <v>6760.0</v>
      </c>
      <c r="J21" s="7">
        <v>5037.0</v>
      </c>
      <c r="K21" s="7">
        <v>2601.0</v>
      </c>
      <c r="L21" s="7">
        <f>1887.82+389.18</f>
        <v>2277</v>
      </c>
    </row>
    <row r="22">
      <c r="H22" s="12"/>
      <c r="I22" s="10"/>
      <c r="J22" s="10"/>
      <c r="K22" s="10"/>
      <c r="L22" s="10"/>
    </row>
    <row r="23">
      <c r="H23" s="13" t="s">
        <v>13</v>
      </c>
      <c r="I23" s="14">
        <f t="shared" ref="I23:L23" si="3">I16+I10</f>
        <v>301316</v>
      </c>
      <c r="J23" s="14">
        <f t="shared" si="3"/>
        <v>297566</v>
      </c>
      <c r="K23" s="14">
        <f t="shared" si="3"/>
        <v>251728</v>
      </c>
      <c r="L23" s="14">
        <f t="shared" si="3"/>
        <v>181997.4</v>
      </c>
    </row>
    <row r="25">
      <c r="H25" s="3" t="s">
        <v>14</v>
      </c>
      <c r="I25" s="4">
        <f t="shared" ref="I25:L25" si="4">SUM(I26:I28)</f>
        <v>163599</v>
      </c>
      <c r="J25" s="4">
        <f t="shared" si="4"/>
        <v>162897</v>
      </c>
      <c r="K25" s="4">
        <f t="shared" si="4"/>
        <v>115346</v>
      </c>
      <c r="L25" s="4">
        <f t="shared" si="4"/>
        <v>92273.53</v>
      </c>
    </row>
    <row r="26">
      <c r="H26" s="6" t="s">
        <v>15</v>
      </c>
      <c r="I26" s="7">
        <f>38714+1201-2584</f>
        <v>37331</v>
      </c>
      <c r="J26" s="10">
        <f>33441+1910-1700</f>
        <v>33651</v>
      </c>
      <c r="K26" s="12">
        <f>12088+1818-888</f>
        <v>13018</v>
      </c>
      <c r="L26" s="10">
        <f>8322.79+239.36-2022.33</f>
        <v>6539.82</v>
      </c>
    </row>
    <row r="27">
      <c r="H27" s="6" t="s">
        <v>16</v>
      </c>
      <c r="I27" s="7">
        <v>124288.0</v>
      </c>
      <c r="J27" s="7">
        <v>101803.0</v>
      </c>
      <c r="K27" s="6">
        <v>84010.0</v>
      </c>
      <c r="L27" s="7">
        <v>74659.36</v>
      </c>
      <c r="M27" s="8"/>
    </row>
    <row r="28">
      <c r="H28" s="6" t="s">
        <v>17</v>
      </c>
      <c r="I28" s="15">
        <f t="shared" ref="I28:L28" si="5">I83</f>
        <v>1980</v>
      </c>
      <c r="J28" s="7">
        <f t="shared" si="5"/>
        <v>27443</v>
      </c>
      <c r="K28" s="7">
        <f t="shared" si="5"/>
        <v>18318</v>
      </c>
      <c r="L28" s="7">
        <f t="shared" si="5"/>
        <v>11074.35</v>
      </c>
      <c r="N28" s="8" t="s">
        <v>18</v>
      </c>
    </row>
    <row r="29">
      <c r="H29" s="12"/>
      <c r="I29" s="10"/>
      <c r="J29" s="10"/>
      <c r="K29" s="12"/>
      <c r="L29" s="10"/>
    </row>
    <row r="30">
      <c r="H30" s="3" t="s">
        <v>19</v>
      </c>
      <c r="I30" s="4">
        <f t="shared" ref="I30:L30" si="6">SUM(I31:I32)</f>
        <v>80337</v>
      </c>
      <c r="J30" s="4">
        <f t="shared" si="6"/>
        <v>77816</v>
      </c>
      <c r="K30" s="4">
        <f t="shared" si="6"/>
        <v>54325</v>
      </c>
      <c r="L30" s="4">
        <f t="shared" si="6"/>
        <v>43621.8</v>
      </c>
    </row>
    <row r="31">
      <c r="H31" s="6" t="s">
        <v>20</v>
      </c>
      <c r="I31" s="7">
        <f>58191+3273+9216</f>
        <v>70680</v>
      </c>
      <c r="J31" s="10">
        <f>54903+4099+12855</f>
        <v>71857</v>
      </c>
      <c r="K31" s="12">
        <f>35812+3375+15026</f>
        <v>54213</v>
      </c>
      <c r="L31" s="10">
        <f>34470.93+3589.24+5468.85</f>
        <v>43529.02</v>
      </c>
    </row>
    <row r="32">
      <c r="H32" s="6" t="s">
        <v>21</v>
      </c>
      <c r="I32" s="7">
        <v>9657.0</v>
      </c>
      <c r="J32" s="7">
        <v>5959.0</v>
      </c>
      <c r="K32" s="6">
        <v>112.0</v>
      </c>
      <c r="L32" s="7">
        <v>92.78</v>
      </c>
    </row>
    <row r="33">
      <c r="H33" s="12"/>
      <c r="I33" s="10"/>
      <c r="J33" s="10"/>
      <c r="K33" s="12"/>
      <c r="L33" s="10"/>
    </row>
    <row r="34">
      <c r="H34" s="3" t="s">
        <v>22</v>
      </c>
      <c r="I34" s="4">
        <f t="shared" ref="I34:L34" si="7">SUM(I35:I36)</f>
        <v>57380</v>
      </c>
      <c r="J34" s="4">
        <f t="shared" si="7"/>
        <v>56853</v>
      </c>
      <c r="K34" s="4">
        <f t="shared" si="7"/>
        <v>82057</v>
      </c>
      <c r="L34" s="4">
        <f t="shared" si="7"/>
        <v>46102.04</v>
      </c>
    </row>
    <row r="35">
      <c r="H35" s="6" t="s">
        <v>23</v>
      </c>
      <c r="I35" s="7">
        <f>12841+13925+2618+5956</f>
        <v>35340</v>
      </c>
      <c r="J35" s="10">
        <f>14209+12960+3046+6955</f>
        <v>37170</v>
      </c>
      <c r="K35" s="12">
        <f>10502+9766+1244+6510</f>
        <v>28022</v>
      </c>
      <c r="L35" s="10">
        <f>13909.17+8028.47+6318.31+3476.71</f>
        <v>31732.66</v>
      </c>
    </row>
    <row r="36">
      <c r="H36" s="6" t="s">
        <v>24</v>
      </c>
      <c r="I36" s="7">
        <v>22040.0</v>
      </c>
      <c r="J36" s="7">
        <v>19683.0</v>
      </c>
      <c r="K36" s="6">
        <v>54035.0</v>
      </c>
      <c r="L36" s="7">
        <v>14369.38</v>
      </c>
    </row>
    <row r="37">
      <c r="H37" s="12"/>
      <c r="I37" s="10"/>
      <c r="J37" s="10"/>
      <c r="K37" s="12"/>
      <c r="L37" s="10"/>
    </row>
    <row r="38">
      <c r="H38" s="13" t="s">
        <v>25</v>
      </c>
      <c r="I38" s="14">
        <f t="shared" ref="I38:L38" si="8">I34+I30+I25</f>
        <v>301316</v>
      </c>
      <c r="J38" s="14">
        <f t="shared" si="8"/>
        <v>297566</v>
      </c>
      <c r="K38" s="14">
        <f t="shared" si="8"/>
        <v>251728</v>
      </c>
      <c r="L38" s="16">
        <f t="shared" si="8"/>
        <v>181997.37</v>
      </c>
    </row>
    <row r="63">
      <c r="H63" s="1" t="s">
        <v>26</v>
      </c>
      <c r="I63" s="2">
        <v>2019.0</v>
      </c>
      <c r="J63" s="2">
        <v>2018.0</v>
      </c>
      <c r="K63" s="2">
        <v>2017.0</v>
      </c>
      <c r="L63" s="2">
        <v>2016.0</v>
      </c>
    </row>
    <row r="64">
      <c r="H64" s="17" t="s">
        <v>27</v>
      </c>
      <c r="I64" s="4">
        <f t="shared" ref="I64:L64" si="9">SUM(I65:I67)</f>
        <v>107413</v>
      </c>
      <c r="J64" s="4">
        <f t="shared" si="9"/>
        <v>102277</v>
      </c>
      <c r="K64" s="4">
        <f t="shared" si="9"/>
        <v>84809</v>
      </c>
      <c r="L64" s="4">
        <f t="shared" si="9"/>
        <v>70549.36</v>
      </c>
    </row>
    <row r="65">
      <c r="H65" s="6" t="s">
        <v>28</v>
      </c>
      <c r="I65" s="7">
        <v>107413.0</v>
      </c>
      <c r="J65" s="7">
        <v>102277.0</v>
      </c>
      <c r="K65" s="7">
        <v>84809.0</v>
      </c>
      <c r="L65" s="7">
        <v>70549.36</v>
      </c>
    </row>
    <row r="66">
      <c r="H66" s="6" t="s">
        <v>29</v>
      </c>
      <c r="I66" s="7">
        <v>0.0</v>
      </c>
      <c r="J66" s="7">
        <v>0.0</v>
      </c>
      <c r="K66" s="7">
        <v>0.0</v>
      </c>
      <c r="L66" s="7">
        <v>0.0</v>
      </c>
    </row>
    <row r="67">
      <c r="H67" s="6" t="s">
        <v>30</v>
      </c>
      <c r="I67" s="7">
        <v>0.0</v>
      </c>
      <c r="J67" s="7">
        <v>0.0</v>
      </c>
      <c r="K67" s="7">
        <v>0.0</v>
      </c>
      <c r="L67" s="7">
        <v>0.0</v>
      </c>
    </row>
    <row r="68">
      <c r="H68" s="12"/>
      <c r="I68" s="10"/>
      <c r="J68" s="7"/>
      <c r="K68" s="10"/>
      <c r="L68" s="10"/>
    </row>
    <row r="69">
      <c r="H69" s="3" t="s">
        <v>31</v>
      </c>
      <c r="I69" s="4">
        <f t="shared" ref="I69:L69" si="10">SUM(I70:I73)</f>
        <v>100305</v>
      </c>
      <c r="J69" s="4">
        <f t="shared" si="10"/>
        <v>81247</v>
      </c>
      <c r="K69" s="4">
        <f t="shared" si="10"/>
        <v>69118</v>
      </c>
      <c r="L69" s="4">
        <f t="shared" si="10"/>
        <v>60500.28</v>
      </c>
    </row>
    <row r="70">
      <c r="H70" s="6" t="s">
        <v>32</v>
      </c>
      <c r="I70" s="7">
        <v>62850.0</v>
      </c>
      <c r="J70" s="7">
        <v>51744.0</v>
      </c>
      <c r="K70" s="7">
        <v>43062.0</v>
      </c>
      <c r="L70" s="7">
        <v>35278.94</v>
      </c>
    </row>
    <row r="71">
      <c r="H71" s="6" t="s">
        <v>33</v>
      </c>
      <c r="I71" s="7">
        <v>0.0</v>
      </c>
      <c r="J71" s="7">
        <v>0.0</v>
      </c>
      <c r="K71" s="7">
        <v>0.0</v>
      </c>
      <c r="L71" s="7">
        <v>0.0</v>
      </c>
    </row>
    <row r="72">
      <c r="H72" s="6" t="s">
        <v>34</v>
      </c>
      <c r="I72" s="7">
        <v>19910.0</v>
      </c>
      <c r="J72" s="7">
        <v>19231.0</v>
      </c>
      <c r="K72" s="7">
        <v>13128.0</v>
      </c>
      <c r="L72" s="7">
        <v>15070.59</v>
      </c>
    </row>
    <row r="73">
      <c r="H73" s="6" t="s">
        <v>30</v>
      </c>
      <c r="I73" s="7">
        <f>18346-801</f>
        <v>17545</v>
      </c>
      <c r="J73" s="10">
        <f>15772-5500</f>
        <v>10272</v>
      </c>
      <c r="K73" s="7">
        <v>12928.0</v>
      </c>
      <c r="L73" s="7">
        <v>10150.75</v>
      </c>
    </row>
    <row r="74">
      <c r="H74" s="12"/>
      <c r="I74" s="10"/>
      <c r="J74" s="10"/>
      <c r="K74" s="10"/>
      <c r="L74" s="10"/>
    </row>
    <row r="75">
      <c r="H75" s="3" t="s">
        <v>35</v>
      </c>
      <c r="I75" s="4">
        <f t="shared" ref="I75:L75" si="11">I64-I69</f>
        <v>7108</v>
      </c>
      <c r="J75" s="4">
        <f t="shared" si="11"/>
        <v>21030</v>
      </c>
      <c r="K75" s="4">
        <f t="shared" si="11"/>
        <v>15691</v>
      </c>
      <c r="L75" s="4">
        <f t="shared" si="11"/>
        <v>10049.08</v>
      </c>
    </row>
    <row r="76">
      <c r="H76" s="6" t="s">
        <v>36</v>
      </c>
      <c r="I76" s="7">
        <f>-1813+9261</f>
        <v>7448</v>
      </c>
      <c r="J76" s="10">
        <f>2367+3928</f>
        <v>6295</v>
      </c>
      <c r="K76" s="10">
        <f>994+4598</f>
        <v>5592</v>
      </c>
      <c r="L76" s="10">
        <f>666.65+3793.47</f>
        <v>4460.12</v>
      </c>
    </row>
    <row r="77">
      <c r="H77" s="6" t="s">
        <v>37</v>
      </c>
      <c r="I77" s="10">
        <f>I75-I76</f>
        <v>-340</v>
      </c>
      <c r="J77" s="10">
        <f t="shared" ref="J77:L77" si="12">J75+J76</f>
        <v>27325</v>
      </c>
      <c r="K77" s="10">
        <f t="shared" si="12"/>
        <v>21283</v>
      </c>
      <c r="L77" s="10">
        <f t="shared" si="12"/>
        <v>14509.2</v>
      </c>
    </row>
    <row r="78">
      <c r="H78" s="6" t="s">
        <v>38</v>
      </c>
      <c r="I78" s="7">
        <v>0.0</v>
      </c>
      <c r="J78" s="7">
        <v>0.0</v>
      </c>
      <c r="K78" s="7">
        <v>0.0</v>
      </c>
      <c r="L78" s="7">
        <v>0.0</v>
      </c>
    </row>
    <row r="79">
      <c r="H79" s="6" t="s">
        <v>39</v>
      </c>
      <c r="I79" s="15">
        <f t="shared" ref="I79:L79" si="13">I77-I78</f>
        <v>-340</v>
      </c>
      <c r="J79" s="7">
        <f t="shared" si="13"/>
        <v>27325</v>
      </c>
      <c r="K79" s="7">
        <f t="shared" si="13"/>
        <v>21283</v>
      </c>
      <c r="L79" s="7">
        <f t="shared" si="13"/>
        <v>14509.2</v>
      </c>
    </row>
    <row r="80">
      <c r="H80" s="6" t="s">
        <v>40</v>
      </c>
      <c r="I80" s="7">
        <v>1948.0</v>
      </c>
      <c r="J80" s="7">
        <v>4743.0</v>
      </c>
      <c r="K80" s="7">
        <v>2995.0</v>
      </c>
      <c r="L80" s="7">
        <v>2913.59</v>
      </c>
    </row>
    <row r="81">
      <c r="H81" s="6" t="s">
        <v>41</v>
      </c>
      <c r="I81" s="18">
        <f t="shared" ref="I81:L81" si="14">I79-I80</f>
        <v>-2288</v>
      </c>
      <c r="J81" s="10">
        <f t="shared" si="14"/>
        <v>22582</v>
      </c>
      <c r="K81" s="10">
        <f t="shared" si="14"/>
        <v>18288</v>
      </c>
      <c r="L81" s="10">
        <f t="shared" si="14"/>
        <v>11595.61</v>
      </c>
    </row>
    <row r="82">
      <c r="H82" s="6" t="s">
        <v>42</v>
      </c>
      <c r="I82" s="7">
        <v>4268.0</v>
      </c>
      <c r="J82" s="7">
        <v>4861.0</v>
      </c>
      <c r="K82" s="7">
        <v>30.0</v>
      </c>
      <c r="L82" s="7">
        <v>-521.26</v>
      </c>
    </row>
    <row r="83">
      <c r="H83" s="13" t="s">
        <v>43</v>
      </c>
      <c r="I83" s="19">
        <f t="shared" ref="I83:L83" si="15">I82+I81</f>
        <v>1980</v>
      </c>
      <c r="J83" s="14">
        <f t="shared" si="15"/>
        <v>27443</v>
      </c>
      <c r="K83" s="14">
        <f t="shared" si="15"/>
        <v>18318</v>
      </c>
      <c r="L83" s="14">
        <f t="shared" si="15"/>
        <v>11074.35</v>
      </c>
    </row>
    <row r="98">
      <c r="C98" s="20" t="s">
        <v>44</v>
      </c>
      <c r="D98" s="21"/>
      <c r="E98" s="21"/>
      <c r="F98" s="21"/>
      <c r="G98" s="22"/>
      <c r="J98" s="23"/>
    </row>
    <row r="99">
      <c r="C99" s="24"/>
      <c r="D99" s="25"/>
      <c r="E99" s="25"/>
      <c r="F99" s="25"/>
      <c r="G99" s="26"/>
      <c r="K99" s="27"/>
      <c r="L99" s="27"/>
      <c r="M99" s="27"/>
      <c r="N99" s="27"/>
    </row>
    <row r="100">
      <c r="C100" s="28" t="s">
        <v>45</v>
      </c>
      <c r="D100" s="29">
        <v>2019.0</v>
      </c>
      <c r="E100" s="29">
        <v>2018.0</v>
      </c>
      <c r="F100" s="29">
        <v>2017.0</v>
      </c>
      <c r="G100" s="29">
        <v>2016.0</v>
      </c>
      <c r="J100" s="27"/>
    </row>
    <row r="101">
      <c r="C101" s="30" t="s">
        <v>46</v>
      </c>
      <c r="D101" s="31">
        <f t="shared" ref="D101:G101" si="16">I83/I25</f>
        <v>0.01210276346</v>
      </c>
      <c r="E101" s="31">
        <f t="shared" si="16"/>
        <v>0.1684684187</v>
      </c>
      <c r="F101" s="31">
        <f t="shared" si="16"/>
        <v>0.1588091481</v>
      </c>
      <c r="G101" s="31">
        <f t="shared" si="16"/>
        <v>0.1200165421</v>
      </c>
      <c r="J101" s="27"/>
      <c r="K101" s="32"/>
      <c r="L101" s="32"/>
      <c r="M101" s="32"/>
      <c r="N101" s="32"/>
    </row>
    <row r="102">
      <c r="C102" s="30" t="s">
        <v>47</v>
      </c>
      <c r="D102" s="31">
        <f t="shared" ref="D102:G102" si="17">I77/I23</f>
        <v>-0.001128383491</v>
      </c>
      <c r="E102" s="31">
        <f t="shared" si="17"/>
        <v>0.09182836749</v>
      </c>
      <c r="F102" s="31">
        <f t="shared" si="17"/>
        <v>0.08454760694</v>
      </c>
      <c r="G102" s="31">
        <f t="shared" si="17"/>
        <v>0.07972201801</v>
      </c>
      <c r="J102" s="27"/>
      <c r="K102" s="32"/>
      <c r="L102" s="32"/>
      <c r="M102" s="32"/>
      <c r="N102" s="32"/>
    </row>
    <row r="103">
      <c r="C103" s="30" t="s">
        <v>48</v>
      </c>
      <c r="D103" s="31">
        <f t="shared" ref="D103:G103" si="18">I77/I65</f>
        <v>-0.003165352425</v>
      </c>
      <c r="E103" s="31">
        <f t="shared" si="18"/>
        <v>0.2671666162</v>
      </c>
      <c r="F103" s="31">
        <f t="shared" si="18"/>
        <v>0.2509521395</v>
      </c>
      <c r="G103" s="31">
        <f t="shared" si="18"/>
        <v>0.205660264</v>
      </c>
      <c r="J103" s="23"/>
      <c r="K103" s="32"/>
      <c r="L103" s="32"/>
      <c r="M103" s="32"/>
      <c r="N103" s="32"/>
    </row>
    <row r="104">
      <c r="C104" s="30" t="s">
        <v>49</v>
      </c>
      <c r="D104" s="31">
        <f t="shared" ref="D104:G104" si="19">I65/I23</f>
        <v>0.3564795763</v>
      </c>
      <c r="E104" s="31">
        <f t="shared" si="19"/>
        <v>0.3437119832</v>
      </c>
      <c r="F104" s="31">
        <f t="shared" si="19"/>
        <v>0.3369072968</v>
      </c>
      <c r="G104" s="31">
        <f t="shared" si="19"/>
        <v>0.3876393839</v>
      </c>
      <c r="J104" s="23"/>
      <c r="K104" s="27"/>
      <c r="L104" s="27"/>
      <c r="M104" s="27"/>
      <c r="N104" s="27"/>
    </row>
    <row r="105">
      <c r="C105" s="33" t="s">
        <v>50</v>
      </c>
      <c r="D105" s="29">
        <v>2019.0</v>
      </c>
      <c r="E105" s="29">
        <v>2018.0</v>
      </c>
      <c r="F105" s="29">
        <v>2017.0</v>
      </c>
      <c r="G105" s="29">
        <v>2016.0</v>
      </c>
      <c r="J105" s="23"/>
    </row>
    <row r="106">
      <c r="C106" s="34" t="s">
        <v>51</v>
      </c>
      <c r="D106" s="31">
        <f t="shared" ref="D106:G106" si="20">(I30+I34)/I10</f>
        <v>1.014459979</v>
      </c>
      <c r="E106" s="31">
        <f t="shared" si="20"/>
        <v>0.9452313437</v>
      </c>
      <c r="F106" s="31">
        <f t="shared" si="20"/>
        <v>1.356238626</v>
      </c>
      <c r="G106" s="31">
        <f t="shared" si="20"/>
        <v>1.091019634</v>
      </c>
      <c r="J106" s="23"/>
      <c r="K106" s="32"/>
      <c r="L106" s="32"/>
      <c r="M106" s="32"/>
      <c r="N106" s="32"/>
    </row>
    <row r="107">
      <c r="C107" s="35" t="s">
        <v>52</v>
      </c>
      <c r="D107" s="36">
        <f t="shared" ref="D107:G107" si="21">I25/(I11+I12)</f>
        <v>3.159501738</v>
      </c>
      <c r="E107" s="36">
        <f t="shared" si="21"/>
        <v>3.570736519</v>
      </c>
      <c r="F107" s="36">
        <f t="shared" si="21"/>
        <v>3.417861799</v>
      </c>
      <c r="G107" s="36">
        <f t="shared" si="21"/>
        <v>3.024500896</v>
      </c>
      <c r="J107" s="23"/>
      <c r="K107" s="32"/>
      <c r="L107" s="32"/>
      <c r="M107" s="32"/>
      <c r="N107" s="32"/>
    </row>
    <row r="108">
      <c r="C108" s="37" t="s">
        <v>53</v>
      </c>
      <c r="D108" s="29">
        <v>2019.0</v>
      </c>
      <c r="E108" s="29">
        <v>2018.0</v>
      </c>
      <c r="F108" s="29">
        <v>2017.0</v>
      </c>
      <c r="G108" s="29">
        <v>2016.0</v>
      </c>
      <c r="J108" s="23"/>
    </row>
    <row r="109">
      <c r="C109" s="38" t="s">
        <v>54</v>
      </c>
      <c r="D109" s="39">
        <f t="shared" ref="D109:G109" si="22">I16/I34</f>
        <v>2.885360753</v>
      </c>
      <c r="E109" s="39">
        <f t="shared" si="22"/>
        <v>2.727982692</v>
      </c>
      <c r="F109" s="39">
        <f t="shared" si="22"/>
        <v>1.842243806</v>
      </c>
      <c r="G109" s="39">
        <f t="shared" si="22"/>
        <v>2.163871273</v>
      </c>
      <c r="J109" s="23"/>
      <c r="K109" s="40"/>
      <c r="L109" s="40"/>
      <c r="M109" s="40"/>
      <c r="N109" s="40"/>
    </row>
    <row r="110">
      <c r="C110" s="41" t="s">
        <v>55</v>
      </c>
      <c r="D110" s="42">
        <f t="shared" ref="D110:G110" si="23">(I16-I17)/I34</f>
        <v>2.868560474</v>
      </c>
      <c r="E110" s="42">
        <f t="shared" si="23"/>
        <v>2.698327265</v>
      </c>
      <c r="F110" s="42">
        <f t="shared" si="23"/>
        <v>1.832933205</v>
      </c>
      <c r="G110" s="42">
        <f t="shared" si="23"/>
        <v>2.14385871</v>
      </c>
      <c r="J110" s="23"/>
      <c r="K110" s="40"/>
      <c r="L110" s="40"/>
      <c r="M110" s="40"/>
      <c r="N110" s="40"/>
    </row>
  </sheetData>
  <drawing r:id="rId1"/>
</worksheet>
</file>