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/>
  <xr:revisionPtr revIDLastSave="0" documentId="11_30751BE83256AD7A7843D2964C50C90556E57929" xr6:coauthVersionLast="47" xr6:coauthVersionMax="47" xr10:uidLastSave="{00000000-0000-0000-0000-000000000000}"/>
  <bookViews>
    <workbookView xWindow="-105" yWindow="-105" windowWidth="19425" windowHeight="12420" xr2:uid="{00000000-000D-0000-FFFF-FFFF00000000}"/>
  </bookViews>
  <sheets>
    <sheet name="Hoja1" sheetId="1" r:id="rId1"/>
  </sheets>
  <definedNames>
    <definedName name="capi_per">Hoja1!$G$9</definedName>
    <definedName name="deltat">Hoja1!$C$4</definedName>
    <definedName name="desc_per">Hoja1!$G$10</definedName>
    <definedName name="down">Hoja1!$C$16</definedName>
    <definedName name="p">Hoja1!$C$17</definedName>
    <definedName name="S0">Hoja1!$C$10</definedName>
    <definedName name="solver_adj" localSheetId="0" hidden="1">Hoja1!$C$15:$C$17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Hoja1!$G$16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rike">Hoja1!$F$39</definedName>
    <definedName name="tipo">Hoja1!$C$9</definedName>
    <definedName name="up">Hoja1!$C$15</definedName>
    <definedName name="vola">Hoja1!$C$11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2" i="1"/>
  <c r="C40" i="1" l="1"/>
  <c r="C22" i="1" l="1"/>
  <c r="F5" i="1"/>
  <c r="C4" i="1"/>
  <c r="I82" i="1" l="1"/>
  <c r="H82" i="1"/>
  <c r="G82" i="1"/>
  <c r="F82" i="1"/>
  <c r="E82" i="1"/>
  <c r="D82" i="1"/>
  <c r="C82" i="1"/>
  <c r="I73" i="1"/>
  <c r="H73" i="1"/>
  <c r="G73" i="1"/>
  <c r="F73" i="1"/>
  <c r="E73" i="1"/>
  <c r="D73" i="1"/>
  <c r="C73" i="1"/>
  <c r="I62" i="1"/>
  <c r="H62" i="1"/>
  <c r="G62" i="1"/>
  <c r="F62" i="1"/>
  <c r="E62" i="1"/>
  <c r="D62" i="1"/>
  <c r="C62" i="1"/>
  <c r="C16" i="1"/>
  <c r="C15" i="1"/>
  <c r="I44" i="1"/>
  <c r="H44" i="1"/>
  <c r="G44" i="1"/>
  <c r="F44" i="1"/>
  <c r="E44" i="1"/>
  <c r="D44" i="1"/>
  <c r="C44" i="1"/>
  <c r="I32" i="1"/>
  <c r="H32" i="1"/>
  <c r="G32" i="1"/>
  <c r="F32" i="1"/>
  <c r="E32" i="1"/>
  <c r="D32" i="1"/>
  <c r="C32" i="1"/>
  <c r="G10" i="1"/>
  <c r="G9" i="1"/>
  <c r="D33" i="1" s="1"/>
  <c r="E33" i="1" s="1"/>
  <c r="F33" i="1" s="1"/>
  <c r="G33" i="1" s="1"/>
  <c r="H33" i="1" s="1"/>
  <c r="I33" i="1" s="1"/>
  <c r="D21" i="1"/>
  <c r="E21" i="1"/>
  <c r="F21" i="1"/>
  <c r="G21" i="1"/>
  <c r="H21" i="1"/>
  <c r="I21" i="1"/>
  <c r="C21" i="1"/>
  <c r="C5" i="1"/>
  <c r="D22" i="1"/>
  <c r="E23" i="1"/>
  <c r="D23" i="1"/>
  <c r="E24" i="1" s="1"/>
  <c r="F25" i="1" s="1"/>
  <c r="G26" i="1" s="1"/>
  <c r="H27" i="1" s="1"/>
  <c r="I28" i="1" s="1"/>
  <c r="E22" i="1"/>
  <c r="F24" i="1" l="1"/>
  <c r="I51" i="1"/>
  <c r="F22" i="1"/>
  <c r="F23" i="1"/>
  <c r="G24" i="1" s="1"/>
  <c r="G25" i="1" l="1"/>
  <c r="H26" i="1" s="1"/>
  <c r="I27" i="1" s="1"/>
  <c r="I50" i="1" s="1"/>
  <c r="H25" i="1"/>
  <c r="H50" i="1"/>
  <c r="G22" i="1"/>
  <c r="G23" i="1"/>
  <c r="H24" i="1" s="1"/>
  <c r="I25" i="1" s="1"/>
  <c r="I26" i="1" l="1"/>
  <c r="I48" i="1"/>
  <c r="H22" i="1"/>
  <c r="H23" i="1"/>
  <c r="I24" i="1" s="1"/>
  <c r="I49" i="1" l="1"/>
  <c r="H48" i="1" s="1"/>
  <c r="I47" i="1"/>
  <c r="I22" i="1"/>
  <c r="I23" i="1"/>
  <c r="H49" i="1" l="1"/>
  <c r="G48" i="1" s="1"/>
  <c r="H47" i="1"/>
  <c r="I46" i="1"/>
  <c r="I45" i="1"/>
  <c r="E54" i="1" s="1"/>
  <c r="G49" i="1" l="1"/>
  <c r="F48" i="1" s="1"/>
  <c r="H45" i="1"/>
  <c r="H46" i="1"/>
  <c r="G47" i="1"/>
  <c r="F47" i="1" l="1"/>
  <c r="G46" i="1"/>
  <c r="G45" i="1"/>
  <c r="F46" i="1" l="1"/>
  <c r="F45" i="1"/>
  <c r="E47" i="1"/>
  <c r="E45" i="1" l="1"/>
  <c r="E46" i="1"/>
  <c r="D46" i="1" l="1"/>
  <c r="D45" i="1"/>
  <c r="C45" i="1" l="1"/>
</calcChain>
</file>

<file path=xl/sharedStrings.xml><?xml version="1.0" encoding="utf-8"?>
<sst xmlns="http://schemas.openxmlformats.org/spreadsheetml/2006/main" count="43" uniqueCount="42">
  <si>
    <t>Dato estrucutral del modelo</t>
  </si>
  <si>
    <t>Ecuaciones de no arbitraje y volatilidad (generales)</t>
  </si>
  <si>
    <t>Resolución explícita en el caso p=1/2</t>
  </si>
  <si>
    <t>Delta t</t>
  </si>
  <si>
    <t>T (vencimiento)</t>
  </si>
  <si>
    <t>años</t>
  </si>
  <si>
    <t>N</t>
  </si>
  <si>
    <t>M</t>
  </si>
  <si>
    <t>Datos de mercado</t>
  </si>
  <si>
    <t>tipo</t>
  </si>
  <si>
    <t>capitalización periodo</t>
  </si>
  <si>
    <t>S0</t>
  </si>
  <si>
    <t>descuento periodo</t>
  </si>
  <si>
    <t>volatilidad</t>
  </si>
  <si>
    <t>Parámetros del modelo</t>
  </si>
  <si>
    <t>u</t>
  </si>
  <si>
    <t>d</t>
  </si>
  <si>
    <t>p</t>
  </si>
  <si>
    <t>Árbol de evolución del subyacente</t>
  </si>
  <si>
    <t>Subyacente</t>
  </si>
  <si>
    <t>Cuenta bancaria</t>
  </si>
  <si>
    <t>Valoración de opciones(europeas)</t>
  </si>
  <si>
    <t>Opción</t>
  </si>
  <si>
    <t>call</t>
  </si>
  <si>
    <t>strike</t>
  </si>
  <si>
    <t>K</t>
  </si>
  <si>
    <t>vencimiento</t>
  </si>
  <si>
    <t>T</t>
  </si>
  <si>
    <t>árbol de valoración de la opción europea</t>
  </si>
  <si>
    <t>Valoración con fórmula</t>
  </si>
  <si>
    <t>árbol de deltas</t>
  </si>
  <si>
    <t>código para simular trayectorias del subyacente</t>
  </si>
  <si>
    <t>sorteos</t>
  </si>
  <si>
    <t>acumulados</t>
  </si>
  <si>
    <t>senda subyacente</t>
  </si>
  <si>
    <t>flujo de la call</t>
  </si>
  <si>
    <t>estrategia de cobertura/replicación</t>
  </si>
  <si>
    <t>unidades de subyacente</t>
  </si>
  <si>
    <t>unidades de dinero</t>
  </si>
  <si>
    <t>valor de mercado (antes de recomposición)</t>
  </si>
  <si>
    <t>valor a mercado de la cartera de cobertura</t>
  </si>
  <si>
    <t>valor de mercado (justo después)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</si>
</sst>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0.0000"/>
    <numFmt numFmtId="165" formatCode="0.0000%"/>
    <numFmt numFmtId="166" formatCode="0.000000"/>
    <numFmt numFmtId="167" formatCode="0.00000"/>
    <numFmt numFmtId="168" formatCode="0.000"/>
    <numFmt numFmtId="169" formatCode="0.000%"/>
    <numFmt numFmtId="170" formatCode="0.0000000"/>
    <numFmt numFmtId="171" formatCode="0.00000000000000000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168" fontId="0" fillId="5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8" fontId="0" fillId="7" borderId="0" xfId="0" applyNumberFormat="1" applyFill="1"/>
    <xf numFmtId="0" fontId="0" fillId="8" borderId="0" xfId="0" applyFill="1"/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9" fontId="0" fillId="0" borderId="0" xfId="1" applyNumberFormat="1" applyFont="1"/>
    <xf numFmtId="170" fontId="0" fillId="0" borderId="0" xfId="0" applyNumberFormat="1"/>
    <xf numFmtId="165" fontId="0" fillId="3" borderId="4" xfId="0" applyNumberFormat="1" applyFill="1" applyBorder="1" applyAlignment="1">
      <alignment horizontal="center"/>
    </xf>
    <xf numFmtId="169" fontId="0" fillId="3" borderId="0" xfId="1" applyNumberFormat="1" applyFont="1" applyFill="1" applyAlignment="1">
      <alignment horizontal="center"/>
    </xf>
    <xf numFmtId="171" fontId="0" fillId="0" borderId="0" xfId="0" applyNumberFormat="1"/>
    <xf numFmtId="0" fontId="0" fillId="3" borderId="0" xfId="0" applyFill="1"/>
    <xf numFmtId="170" fontId="0" fillId="3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/>
    <xf numFmtId="44" fontId="0" fillId="0" borderId="0" xfId="2" applyFont="1"/>
    <xf numFmtId="44" fontId="0" fillId="0" borderId="0" xfId="0" applyNumberFormat="1"/>
    <xf numFmtId="44" fontId="0" fillId="3" borderId="9" xfId="0" applyNumberFormat="1" applyFill="1" applyBorder="1"/>
    <xf numFmtId="44" fontId="0" fillId="9" borderId="9" xfId="2" applyFont="1" applyFill="1" applyBorder="1"/>
    <xf numFmtId="170" fontId="0" fillId="10" borderId="0" xfId="0" applyNumberFormat="1" applyFill="1"/>
    <xf numFmtId="44" fontId="0" fillId="10" borderId="0" xfId="2" applyFont="1" applyFill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586153</xdr:colOff>
      <xdr:row>2</xdr:row>
      <xdr:rowOff>183173</xdr:rowOff>
    </xdr:from>
    <xdr:to>
      <xdr:col>12</xdr:col>
      <xdr:colOff>635874</xdr:colOff>
      <xdr:row>7</xdr:row>
      <xdr:rowOff>126495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807" y="564173"/>
          <a:ext cx="3163661" cy="91047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559657</xdr:colOff>
      <xdr:row>2</xdr:row>
      <xdr:rowOff>176829</xdr:rowOff>
    </xdr:from>
    <xdr:to>
      <xdr:col>17</xdr:col>
      <xdr:colOff>594134</xdr:colOff>
      <xdr:row>8</xdr:row>
      <xdr:rowOff>118606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869" y="557829"/>
          <a:ext cx="3082477" cy="1106758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762000</xdr:colOff>
      <xdr:row>63</xdr:row>
      <xdr:rowOff>0</xdr:rowOff>
    </xdr:from>
    <xdr:to>
      <xdr:col>11</xdr:col>
      <xdr:colOff>218282</xdr:colOff>
      <xdr:row>66</xdr:row>
      <xdr:rowOff>63284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0038" y="12001500"/>
          <a:ext cx="980282" cy="634784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89"/>
  <sheetViews>
    <sheetView tabSelected="1" topLeftCell="A140" zoomScale="130" zoomScaleNormal="130" workbookViewId="0">
      <selection activeCell="F86" sqref="F86"/>
    </sheetView>
  </sheetViews>
  <sheetFormatPr defaultColWidth="11.42578125" defaultRowHeight="15"/>
  <cols>
    <col min="1" max="1" width="25.42578125" customWidth="1"/>
    <col min="2" max="2" width="11.7109375" customWidth="1"/>
    <col min="3" max="3" width="12.5703125" customWidth="1"/>
    <col min="4" max="5" width="12.42578125" bestFit="1" customWidth="1"/>
    <col min="6" max="6" width="13.28515625" customWidth="1"/>
    <col min="7" max="9" width="12.42578125" bestFit="1" customWidth="1"/>
  </cols>
  <sheetData>
    <row r="2" spans="2:15">
      <c r="B2" s="3" t="s">
        <v>0</v>
      </c>
      <c r="J2" s="3" t="s">
        <v>1</v>
      </c>
      <c r="O2" s="3" t="s">
        <v>2</v>
      </c>
    </row>
    <row r="3" spans="2:15" ht="15.75" thickBot="1">
      <c r="B3" s="3"/>
    </row>
    <row r="4" spans="2:15">
      <c r="B4" s="4" t="s">
        <v>3</v>
      </c>
      <c r="C4" s="8">
        <f>1/12</f>
        <v>8.3333333333333329E-2</v>
      </c>
      <c r="E4" s="10" t="s">
        <v>4</v>
      </c>
      <c r="F4" s="9">
        <v>0.5</v>
      </c>
      <c r="G4" t="s">
        <v>5</v>
      </c>
    </row>
    <row r="5" spans="2:15" ht="15.75" thickBot="1">
      <c r="B5" s="6" t="s">
        <v>6</v>
      </c>
      <c r="C5" s="7">
        <f>1/C4</f>
        <v>12</v>
      </c>
      <c r="E5" s="10" t="s">
        <v>7</v>
      </c>
      <c r="F5" s="9">
        <f>6</f>
        <v>6</v>
      </c>
    </row>
    <row r="7" spans="2:15">
      <c r="B7" s="3" t="s">
        <v>8</v>
      </c>
    </row>
    <row r="8" spans="2:15" ht="15.75" thickBot="1"/>
    <row r="9" spans="2:15">
      <c r="B9" s="4" t="s">
        <v>9</v>
      </c>
      <c r="C9" s="11">
        <v>0.01</v>
      </c>
      <c r="E9" t="s">
        <v>10</v>
      </c>
      <c r="G9">
        <f>EXP(tipo*deltat)</f>
        <v>1.0008336806520264</v>
      </c>
    </row>
    <row r="10" spans="2:15">
      <c r="B10" s="12" t="s">
        <v>11</v>
      </c>
      <c r="C10" s="13">
        <v>100</v>
      </c>
      <c r="E10" t="s">
        <v>12</v>
      </c>
      <c r="G10">
        <f>EXP(-tipo*deltat)</f>
        <v>0.99916701379245831</v>
      </c>
    </row>
    <row r="11" spans="2:15" ht="15.75" thickBot="1">
      <c r="B11" s="6" t="s">
        <v>13</v>
      </c>
      <c r="C11" s="14">
        <v>0.3</v>
      </c>
    </row>
    <row r="13" spans="2:15">
      <c r="B13" s="3" t="s">
        <v>14</v>
      </c>
    </row>
    <row r="14" spans="2:15" ht="15.75" thickBot="1"/>
    <row r="15" spans="2:15">
      <c r="B15" s="4" t="s">
        <v>15</v>
      </c>
      <c r="C15" s="5">
        <f>EXP(tipo*deltat)*EXP(+vola*SQRT(deltat))/COSH(vola*SQRT(deltat))</f>
        <v>1.0872923811378239</v>
      </c>
      <c r="F15" s="33"/>
    </row>
    <row r="16" spans="2:15">
      <c r="B16" s="12" t="s">
        <v>16</v>
      </c>
      <c r="C16" s="13">
        <f>EXP(tipo*deltat)*EXP(-vola*SQRT(deltat))/COSH(vola*SQRT(deltat))</f>
        <v>0.91437498016622909</v>
      </c>
      <c r="F16" s="30"/>
    </row>
    <row r="17" spans="2:11" ht="15.75" thickBot="1">
      <c r="B17" s="6" t="s">
        <v>17</v>
      </c>
      <c r="C17" s="31">
        <v>0.5</v>
      </c>
    </row>
    <row r="19" spans="2:11">
      <c r="C19" t="s">
        <v>18</v>
      </c>
    </row>
    <row r="20" spans="2:11">
      <c r="B20" s="2" t="s">
        <v>19</v>
      </c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</row>
    <row r="21" spans="2:11">
      <c r="C21" s="15">
        <f t="shared" ref="C21:I21" si="0">C20*deltat</f>
        <v>0</v>
      </c>
      <c r="D21" s="15">
        <f t="shared" si="0"/>
        <v>8.3333333333333329E-2</v>
      </c>
      <c r="E21" s="15">
        <f t="shared" si="0"/>
        <v>0.16666666666666666</v>
      </c>
      <c r="F21" s="15">
        <f t="shared" si="0"/>
        <v>0.25</v>
      </c>
      <c r="G21" s="15">
        <f t="shared" si="0"/>
        <v>0.33333333333333331</v>
      </c>
      <c r="H21" s="15">
        <f t="shared" si="0"/>
        <v>0.41666666666666663</v>
      </c>
      <c r="I21" s="15">
        <f t="shared" si="0"/>
        <v>0.5</v>
      </c>
    </row>
    <row r="22" spans="2:11" ht="14.45">
      <c r="C22" s="17">
        <f>S0</f>
        <v>100</v>
      </c>
      <c r="D22" s="18">
        <f t="shared" ref="D22:I22" si="1">C22*up</f>
        <v>108.72923811378239</v>
      </c>
      <c r="E22" s="18">
        <f t="shared" si="1"/>
        <v>118.22047220803589</v>
      </c>
      <c r="F22" s="18">
        <f t="shared" si="1"/>
        <v>128.54021872631327</v>
      </c>
      <c r="G22" s="18">
        <f t="shared" si="1"/>
        <v>139.76080049090984</v>
      </c>
      <c r="H22" s="18">
        <f t="shared" si="1"/>
        <v>151.96085355548971</v>
      </c>
      <c r="I22" s="18">
        <f t="shared" si="1"/>
        <v>165.22587830208457</v>
      </c>
      <c r="J22">
        <v>6</v>
      </c>
      <c r="K22" s="32">
        <f t="shared" ref="K22:K28" si="2">_xlfn.BINOM.DIST(J22,6,p,FALSE)</f>
        <v>1.5625000000000007E-2</v>
      </c>
    </row>
    <row r="23" spans="2:11" ht="14.45">
      <c r="C23" s="19"/>
      <c r="D23" s="18">
        <f t="shared" ref="D23:I23" si="3">C22*down</f>
        <v>91.437498016622911</v>
      </c>
      <c r="E23" s="18">
        <f t="shared" si="3"/>
        <v>99.419294943778965</v>
      </c>
      <c r="F23" s="18">
        <f t="shared" si="3"/>
        <v>108.09784193046505</v>
      </c>
      <c r="G23" s="18">
        <f t="shared" si="3"/>
        <v>117.53395994843545</v>
      </c>
      <c r="H23" s="18">
        <f t="shared" si="3"/>
        <v>127.79377917689199</v>
      </c>
      <c r="I23" s="18">
        <f t="shared" si="3"/>
        <v>138.94920245584413</v>
      </c>
      <c r="J23">
        <v>5</v>
      </c>
      <c r="K23" s="32">
        <f t="shared" si="2"/>
        <v>9.375E-2</v>
      </c>
    </row>
    <row r="24" spans="2:11" ht="14.45">
      <c r="C24" s="19"/>
      <c r="D24" s="19"/>
      <c r="E24" s="18">
        <f>D23*down</f>
        <v>83.608160435399185</v>
      </c>
      <c r="F24" s="18">
        <f>E23*down</f>
        <v>90.906515842358374</v>
      </c>
      <c r="G24" s="18">
        <f>F23*down</f>
        <v>98.841962071181143</v>
      </c>
      <c r="H24" s="18">
        <f>G23*down</f>
        <v>107.47011229670903</v>
      </c>
      <c r="I24" s="18">
        <f>H23*down</f>
        <v>116.85143430023807</v>
      </c>
      <c r="J24">
        <v>4</v>
      </c>
      <c r="K24" s="32">
        <f t="shared" si="2"/>
        <v>0.23437500000000003</v>
      </c>
    </row>
    <row r="25" spans="2:11" ht="14.45">
      <c r="C25" s="19"/>
      <c r="D25" s="19"/>
      <c r="E25" s="19"/>
      <c r="F25" s="18">
        <f>E24*down</f>
        <v>76.449210039853028</v>
      </c>
      <c r="G25" s="18">
        <f>F24*down</f>
        <v>83.122643620337428</v>
      </c>
      <c r="H25" s="18">
        <f>G24*down</f>
        <v>90.37861710842742</v>
      </c>
      <c r="I25" s="18">
        <f>H24*down</f>
        <v>98.267981799765735</v>
      </c>
      <c r="J25">
        <v>3</v>
      </c>
      <c r="K25" s="32">
        <f t="shared" si="2"/>
        <v>0.31249999999999994</v>
      </c>
    </row>
    <row r="26" spans="2:11" ht="14.45">
      <c r="C26" s="19"/>
      <c r="D26" s="19"/>
      <c r="E26" s="19"/>
      <c r="F26" s="19"/>
      <c r="G26" s="18">
        <f>F25*down</f>
        <v>69.903244913914492</v>
      </c>
      <c r="H26" s="18">
        <f>G25*down</f>
        <v>76.00526561171057</v>
      </c>
      <c r="I26" s="18">
        <f>H25*down</f>
        <v>82.639946225969538</v>
      </c>
      <c r="J26">
        <v>2</v>
      </c>
      <c r="K26" s="32">
        <f t="shared" si="2"/>
        <v>0.23437500000000003</v>
      </c>
    </row>
    <row r="27" spans="2:11" ht="14.45">
      <c r="C27" s="19"/>
      <c r="D27" s="19"/>
      <c r="E27" s="19"/>
      <c r="F27" s="19"/>
      <c r="G27" s="19"/>
      <c r="H27" s="18">
        <f>G26*down</f>
        <v>63.917778181715619</v>
      </c>
      <c r="I27" s="18">
        <f>H26*down</f>
        <v>69.49731323623682</v>
      </c>
      <c r="J27">
        <v>1</v>
      </c>
      <c r="K27" s="32">
        <f t="shared" si="2"/>
        <v>9.375E-2</v>
      </c>
    </row>
    <row r="28" spans="2:11" ht="14.45">
      <c r="C28" s="19"/>
      <c r="D28" s="19"/>
      <c r="E28" s="19"/>
      <c r="F28" s="19"/>
      <c r="G28" s="19"/>
      <c r="H28" s="19"/>
      <c r="I28" s="18">
        <f>H27*down</f>
        <v>58.444817157175649</v>
      </c>
      <c r="J28">
        <v>0</v>
      </c>
      <c r="K28" s="32">
        <f t="shared" si="2"/>
        <v>1.5625000000000007E-2</v>
      </c>
    </row>
    <row r="31" spans="2:11">
      <c r="B31" s="16" t="s">
        <v>20</v>
      </c>
      <c r="C31" s="1">
        <v>0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</row>
    <row r="32" spans="2:11">
      <c r="C32" s="15">
        <f t="shared" ref="C32" si="4">C31*deltat</f>
        <v>0</v>
      </c>
      <c r="D32" s="15">
        <f t="shared" ref="D32" si="5">D31*deltat</f>
        <v>8.3333333333333329E-2</v>
      </c>
      <c r="E32" s="15">
        <f t="shared" ref="E32" si="6">E31*deltat</f>
        <v>0.16666666666666666</v>
      </c>
      <c r="F32" s="15">
        <f t="shared" ref="F32" si="7">F31*deltat</f>
        <v>0.25</v>
      </c>
      <c r="G32" s="15">
        <f t="shared" ref="G32" si="8">G31*deltat</f>
        <v>0.33333333333333331</v>
      </c>
      <c r="H32" s="15">
        <f t="shared" ref="H32" si="9">H31*deltat</f>
        <v>0.41666666666666663</v>
      </c>
      <c r="I32" s="15">
        <f t="shared" ref="I32" si="10">I31*deltat</f>
        <v>0.5</v>
      </c>
    </row>
    <row r="33" spans="1:11" ht="14.45">
      <c r="C33" s="20">
        <v>1</v>
      </c>
      <c r="D33" s="20">
        <f t="shared" ref="D33:I33" si="11">C33*capi_per</f>
        <v>1.0008336806520264</v>
      </c>
      <c r="E33" s="20">
        <f t="shared" si="11"/>
        <v>1.0016680563274822</v>
      </c>
      <c r="F33" s="20">
        <f t="shared" si="11"/>
        <v>1.0025031276057954</v>
      </c>
      <c r="G33" s="20">
        <f t="shared" si="11"/>
        <v>1.0033388950668762</v>
      </c>
      <c r="H33" s="20">
        <f t="shared" si="11"/>
        <v>1.0041753592911191</v>
      </c>
      <c r="I33" s="20">
        <f t="shared" si="11"/>
        <v>1.0050125208594018</v>
      </c>
    </row>
    <row r="35" spans="1:1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7" spans="1:11">
      <c r="B37" s="3" t="s">
        <v>21</v>
      </c>
    </row>
    <row r="38" spans="1:11" ht="15.75" thickBot="1"/>
    <row r="39" spans="1:11">
      <c r="B39" t="s">
        <v>22</v>
      </c>
      <c r="C39" s="27" t="s">
        <v>23</v>
      </c>
      <c r="D39" s="10" t="s">
        <v>24</v>
      </c>
      <c r="E39" s="21" t="s">
        <v>25</v>
      </c>
      <c r="F39" s="22">
        <v>100</v>
      </c>
    </row>
    <row r="40" spans="1:11" ht="15.75" thickBot="1">
      <c r="C40" s="28">
        <f>IF(C39="call",1,IF(C39="put",-1,""))</f>
        <v>1</v>
      </c>
      <c r="D40" s="10" t="s">
        <v>26</v>
      </c>
      <c r="E40" s="23" t="s">
        <v>27</v>
      </c>
      <c r="F40" s="24">
        <v>0.5</v>
      </c>
      <c r="G40" t="s">
        <v>5</v>
      </c>
    </row>
    <row r="42" spans="1:11">
      <c r="C42" t="s">
        <v>28</v>
      </c>
    </row>
    <row r="43" spans="1:11">
      <c r="C43" s="1">
        <v>0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</row>
    <row r="44" spans="1:11">
      <c r="C44" s="15">
        <f t="shared" ref="C44" si="12">C43*deltat</f>
        <v>0</v>
      </c>
      <c r="D44" s="15">
        <f t="shared" ref="D44" si="13">D43*deltat</f>
        <v>8.3333333333333329E-2</v>
      </c>
      <c r="E44" s="15">
        <f t="shared" ref="E44" si="14">E43*deltat</f>
        <v>0.16666666666666666</v>
      </c>
      <c r="F44" s="15">
        <f t="shared" ref="F44" si="15">F43*deltat</f>
        <v>0.25</v>
      </c>
      <c r="G44" s="15">
        <f t="shared" ref="G44" si="16">G43*deltat</f>
        <v>0.33333333333333331</v>
      </c>
      <c r="H44" s="15">
        <f t="shared" ref="H44" si="17">H43*deltat</f>
        <v>0.41666666666666663</v>
      </c>
      <c r="I44" s="15">
        <f t="shared" ref="I44" si="18">I43*deltat</f>
        <v>0.5</v>
      </c>
    </row>
    <row r="45" spans="1:11">
      <c r="C45" s="35">
        <f t="shared" ref="C45:H45" si="19">desc_per*(p*D45+(1-p)*D46)</f>
        <v>8.5772035809588658</v>
      </c>
      <c r="D45" s="18">
        <f t="shared" si="19"/>
        <v>13.334518394220282</v>
      </c>
      <c r="E45" s="18">
        <f t="shared" si="19"/>
        <v>20.066206911163992</v>
      </c>
      <c r="F45" s="18">
        <f t="shared" si="19"/>
        <v>29.005868181915183</v>
      </c>
      <c r="G45" s="18">
        <f t="shared" si="19"/>
        <v>39.927328345816022</v>
      </c>
      <c r="H45" s="18">
        <f t="shared" si="19"/>
        <v>52.044152176243898</v>
      </c>
      <c r="I45" s="25">
        <f t="shared" ref="I45:I51" si="20">MAX($C$40*(I22-strike),0)</f>
        <v>65.225878302084567</v>
      </c>
      <c r="K45" s="29"/>
    </row>
    <row r="46" spans="1:11">
      <c r="C46" s="19"/>
      <c r="D46" s="18">
        <f>desc_per*(p*E46+(1-p)*E47)</f>
        <v>3.8341900650453247</v>
      </c>
      <c r="E46" s="18">
        <f>desc_per*(p*F46+(1-p)*F47)</f>
        <v>6.6250633372552716</v>
      </c>
      <c r="F46" s="18">
        <f>desc_per*(p*G46+(1-p)*G47)</f>
        <v>11.160003257335589</v>
      </c>
      <c r="G46" s="18">
        <f>desc_per*(p*H46+(1-p)*H47)</f>
        <v>18.132771280211323</v>
      </c>
      <c r="H46" s="18">
        <f>desc_per*(p*I46+(1-p)*I47)</f>
        <v>27.877077797646169</v>
      </c>
      <c r="I46" s="25">
        <f t="shared" si="20"/>
        <v>38.94920245584413</v>
      </c>
      <c r="K46" s="29"/>
    </row>
    <row r="47" spans="1:11">
      <c r="C47" s="19"/>
      <c r="D47" s="19"/>
      <c r="E47" s="18">
        <f>desc_per*(p*F47+(1-p)*F48)</f>
        <v>1.0497097729822173</v>
      </c>
      <c r="F47" s="18">
        <f>desc_per*(p*G47+(1-p)*G48)</f>
        <v>2.1011697914203911</v>
      </c>
      <c r="G47" s="18">
        <f>desc_per*(p*H47+(1-p)*H48)</f>
        <v>4.2058429920442411</v>
      </c>
      <c r="H47" s="18">
        <f>desc_per*(p*I47+(1-p)*I48)</f>
        <v>8.418698643944337</v>
      </c>
      <c r="I47" s="25">
        <f t="shared" si="20"/>
        <v>16.851434300238068</v>
      </c>
      <c r="K47" s="29"/>
    </row>
    <row r="48" spans="1:11">
      <c r="C48" s="19"/>
      <c r="D48" s="19"/>
      <c r="E48" s="19"/>
      <c r="F48" s="18">
        <f>desc_per*(p*G48+(1-p)*G49)</f>
        <v>0</v>
      </c>
      <c r="G48" s="18">
        <f>desc_per*(p*H48+(1-p)*H49)</f>
        <v>0</v>
      </c>
      <c r="H48" s="18">
        <f>desc_per*(p*I48+(1-p)*I49)</f>
        <v>0</v>
      </c>
      <c r="I48" s="25">
        <f t="shared" si="20"/>
        <v>0</v>
      </c>
      <c r="K48" s="29"/>
    </row>
    <row r="49" spans="1:11">
      <c r="C49" s="19"/>
      <c r="D49" s="19"/>
      <c r="E49" s="19"/>
      <c r="F49" s="19"/>
      <c r="G49" s="18">
        <f>desc_per*(p*H49+(1-p)*H50)</f>
        <v>0</v>
      </c>
      <c r="H49" s="18">
        <f>desc_per*(p*I49+(1-p)*I50)</f>
        <v>0</v>
      </c>
      <c r="I49" s="25">
        <f t="shared" si="20"/>
        <v>0</v>
      </c>
      <c r="K49" s="29"/>
    </row>
    <row r="50" spans="1:11">
      <c r="C50" s="19"/>
      <c r="D50" s="19"/>
      <c r="E50" s="19"/>
      <c r="F50" s="19"/>
      <c r="G50" s="19"/>
      <c r="H50" s="18">
        <f>desc_per*(p*I50+(1-p)*I51)</f>
        <v>0</v>
      </c>
      <c r="I50" s="25">
        <f t="shared" si="20"/>
        <v>0</v>
      </c>
      <c r="K50" s="29"/>
    </row>
    <row r="51" spans="1:11">
      <c r="C51" s="19"/>
      <c r="D51" s="19"/>
      <c r="E51" s="19"/>
      <c r="F51" s="19"/>
      <c r="G51" s="19"/>
      <c r="H51" s="19"/>
      <c r="I51" s="25">
        <f t="shared" si="20"/>
        <v>0</v>
      </c>
      <c r="K51" s="29"/>
    </row>
    <row r="54" spans="1:11">
      <c r="C54" t="s">
        <v>29</v>
      </c>
      <c r="E54" s="34">
        <f>EXP(-6*deltat*tipo)*SUMPRODUCT(I45:I51,K22:K28)</f>
        <v>8.5772035809588711</v>
      </c>
    </row>
    <row r="56" spans="1:11">
      <c r="F56" s="29"/>
    </row>
    <row r="57" spans="1:1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60" spans="1:11">
      <c r="C60" t="s">
        <v>30</v>
      </c>
    </row>
    <row r="61" spans="1:11">
      <c r="C61" s="1">
        <v>0</v>
      </c>
      <c r="D61" s="1">
        <v>1</v>
      </c>
      <c r="E61" s="1">
        <v>2</v>
      </c>
      <c r="F61" s="1">
        <v>3</v>
      </c>
      <c r="G61" s="1">
        <v>4</v>
      </c>
      <c r="H61" s="1">
        <v>5</v>
      </c>
      <c r="I61" s="1">
        <v>6</v>
      </c>
    </row>
    <row r="62" spans="1:11">
      <c r="C62" s="15">
        <f t="shared" ref="C62:I62" si="21">C61*deltat</f>
        <v>0</v>
      </c>
      <c r="D62" s="15">
        <f t="shared" si="21"/>
        <v>8.3333333333333329E-2</v>
      </c>
      <c r="E62" s="15">
        <f t="shared" si="21"/>
        <v>0.16666666666666666</v>
      </c>
      <c r="F62" s="15">
        <f t="shared" si="21"/>
        <v>0.25</v>
      </c>
      <c r="G62" s="15">
        <f t="shared" si="21"/>
        <v>0.33333333333333331</v>
      </c>
      <c r="H62" s="15">
        <f t="shared" si="21"/>
        <v>0.41666666666666663</v>
      </c>
      <c r="I62" s="15">
        <f t="shared" si="21"/>
        <v>0.5</v>
      </c>
    </row>
    <row r="63" spans="1:11">
      <c r="C63" s="35"/>
      <c r="D63" s="35"/>
      <c r="E63" s="35"/>
      <c r="F63" s="35"/>
      <c r="G63" s="35"/>
      <c r="H63" s="35"/>
      <c r="I63" s="25"/>
    </row>
    <row r="64" spans="1:11">
      <c r="C64" s="19"/>
      <c r="D64" s="35"/>
      <c r="E64" s="35"/>
      <c r="F64" s="35"/>
      <c r="G64" s="35"/>
      <c r="H64" s="35"/>
      <c r="I64" s="25"/>
    </row>
    <row r="65" spans="2:10">
      <c r="C65" s="19"/>
      <c r="D65" s="19"/>
      <c r="E65" s="35"/>
      <c r="F65" s="35"/>
      <c r="G65" s="35"/>
      <c r="H65" s="35"/>
      <c r="I65" s="25"/>
    </row>
    <row r="66" spans="2:10">
      <c r="C66" s="19"/>
      <c r="D66" s="19"/>
      <c r="E66" s="19"/>
      <c r="F66" s="35"/>
      <c r="G66" s="35"/>
      <c r="H66" s="35"/>
      <c r="I66" s="25"/>
    </row>
    <row r="67" spans="2:10">
      <c r="C67" s="19"/>
      <c r="D67" s="19"/>
      <c r="E67" s="19"/>
      <c r="F67" s="19"/>
      <c r="G67" s="35"/>
      <c r="H67" s="35"/>
      <c r="I67" s="25"/>
    </row>
    <row r="68" spans="2:10">
      <c r="C68" s="19"/>
      <c r="D68" s="19"/>
      <c r="E68" s="19"/>
      <c r="F68" s="19"/>
      <c r="G68" s="19"/>
      <c r="H68" s="35"/>
      <c r="I68" s="25"/>
    </row>
    <row r="69" spans="2:10">
      <c r="C69" s="19"/>
      <c r="D69" s="19"/>
      <c r="E69" s="19"/>
      <c r="F69" s="19"/>
      <c r="G69" s="19"/>
      <c r="H69" s="19"/>
      <c r="I69" s="25"/>
    </row>
    <row r="71" spans="2:10">
      <c r="C71" t="s">
        <v>31</v>
      </c>
    </row>
    <row r="72" spans="2:10"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</row>
    <row r="73" spans="2:10">
      <c r="C73" s="15">
        <f t="shared" ref="C73:I73" si="22">C72*deltat</f>
        <v>0</v>
      </c>
      <c r="D73" s="15">
        <f t="shared" si="22"/>
        <v>8.3333333333333329E-2</v>
      </c>
      <c r="E73" s="15">
        <f t="shared" si="22"/>
        <v>0.16666666666666666</v>
      </c>
      <c r="F73" s="15">
        <f t="shared" si="22"/>
        <v>0.25</v>
      </c>
      <c r="G73" s="15">
        <f t="shared" si="22"/>
        <v>0.33333333333333331</v>
      </c>
      <c r="H73" s="15">
        <f t="shared" si="22"/>
        <v>0.41666666666666663</v>
      </c>
      <c r="I73" s="15">
        <f t="shared" si="22"/>
        <v>0.5</v>
      </c>
    </row>
    <row r="74" spans="2:10">
      <c r="B74" s="16" t="s">
        <v>32</v>
      </c>
      <c r="D74" s="36"/>
      <c r="E74" s="36"/>
      <c r="F74" s="36"/>
      <c r="G74" s="36"/>
      <c r="H74" s="36"/>
      <c r="I74" s="36"/>
    </row>
    <row r="75" spans="2:10">
      <c r="B75" s="16" t="s">
        <v>33</v>
      </c>
    </row>
    <row r="76" spans="2:10">
      <c r="B76" s="16" t="s">
        <v>34</v>
      </c>
    </row>
    <row r="77" spans="2:10" ht="15.75" thickBot="1"/>
    <row r="78" spans="2:10" ht="15.75" thickBot="1">
      <c r="I78" s="41"/>
      <c r="J78" s="2" t="s">
        <v>35</v>
      </c>
    </row>
    <row r="80" spans="2:10">
      <c r="C80" t="s">
        <v>36</v>
      </c>
    </row>
    <row r="81" spans="2:10">
      <c r="C81" s="1">
        <v>0</v>
      </c>
      <c r="D81" s="1">
        <v>1</v>
      </c>
      <c r="E81" s="1">
        <v>2</v>
      </c>
      <c r="F81" s="1">
        <v>3</v>
      </c>
      <c r="G81" s="1">
        <v>4</v>
      </c>
      <c r="H81" s="1">
        <v>5</v>
      </c>
      <c r="I81" s="1">
        <v>6</v>
      </c>
    </row>
    <row r="82" spans="2:10">
      <c r="C82" s="15">
        <f t="shared" ref="C82:I82" si="23">C81*deltat</f>
        <v>0</v>
      </c>
      <c r="D82" s="15">
        <f t="shared" si="23"/>
        <v>8.3333333333333329E-2</v>
      </c>
      <c r="E82" s="15">
        <f t="shared" si="23"/>
        <v>0.16666666666666666</v>
      </c>
      <c r="F82" s="15">
        <f t="shared" si="23"/>
        <v>0.25</v>
      </c>
      <c r="G82" s="15">
        <f t="shared" si="23"/>
        <v>0.33333333333333331</v>
      </c>
      <c r="H82" s="15">
        <f t="shared" si="23"/>
        <v>0.41666666666666663</v>
      </c>
      <c r="I82" s="15">
        <f t="shared" si="23"/>
        <v>0.5</v>
      </c>
    </row>
    <row r="83" spans="2:10">
      <c r="B83" s="16" t="s">
        <v>37</v>
      </c>
      <c r="C83" s="42"/>
      <c r="D83" s="37"/>
      <c r="E83" s="37"/>
      <c r="F83" s="37"/>
      <c r="G83" s="37"/>
      <c r="H83" s="37"/>
    </row>
    <row r="84" spans="2:10">
      <c r="B84" s="16" t="s">
        <v>38</v>
      </c>
      <c r="C84" s="43"/>
      <c r="D84" s="43"/>
      <c r="E84" s="43"/>
      <c r="F84" s="43"/>
      <c r="G84" s="43"/>
      <c r="H84" s="43"/>
    </row>
    <row r="87" spans="2:10" ht="15.75" thickBot="1">
      <c r="B87" s="16"/>
      <c r="C87" s="38"/>
      <c r="D87" s="38"/>
    </row>
    <row r="88" spans="2:10" ht="15.75" thickBot="1">
      <c r="B88" s="16" t="s">
        <v>39</v>
      </c>
      <c r="C88" s="40"/>
      <c r="D88" s="39"/>
      <c r="E88" s="39"/>
      <c r="F88" s="39"/>
      <c r="G88" s="39"/>
      <c r="H88" s="39"/>
      <c r="I88" s="41"/>
      <c r="J88" s="2" t="s">
        <v>40</v>
      </c>
    </row>
    <row r="89" spans="2:10">
      <c r="B89" s="16" t="s">
        <v>41</v>
      </c>
      <c r="C89" s="39"/>
      <c r="D89" s="39"/>
      <c r="E89" s="39"/>
      <c r="F89" s="39"/>
      <c r="G89" s="39"/>
      <c r="H89" s="3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9E3549-3A00-41A1-B31B-3F59B1ED6241}"/>
</file>

<file path=customXml/itemProps2.xml><?xml version="1.0" encoding="utf-8"?>
<ds:datastoreItem xmlns:ds="http://schemas.openxmlformats.org/officeDocument/2006/customXml" ds:itemID="{9AEA2D43-F5F1-48A5-881B-549E63591B2C}"/>
</file>

<file path=customXml/itemProps3.xml><?xml version="1.0" encoding="utf-8"?>
<ds:datastoreItem xmlns:ds="http://schemas.openxmlformats.org/officeDocument/2006/customXml" ds:itemID="{DCAC8D73-4BA4-46AF-88E2-09B8989938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pablo.fernandez@uam.es</dc:creator>
  <cp:keywords/>
  <dc:description/>
  <cp:lastModifiedBy>Marina Asuncion Rubio</cp:lastModifiedBy>
  <cp:revision/>
  <dcterms:created xsi:type="dcterms:W3CDTF">2021-04-22T12:39:31Z</dcterms:created>
  <dcterms:modified xsi:type="dcterms:W3CDTF">2021-05-28T17:18:02Z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