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wnloads\Equity Bank Forecast Model\"/>
    </mc:Choice>
  </mc:AlternateContent>
  <bookViews>
    <workbookView xWindow="0" yWindow="0" windowWidth="10215" windowHeight="8280" activeTab="1"/>
  </bookViews>
  <sheets>
    <sheet name="Assumptions " sheetId="4" r:id="rId1"/>
    <sheet name="Model" sheetId="1" r:id="rId2"/>
    <sheet name="EQUITY &amp; DEBT" sheetId="5" r:id="rId3"/>
    <sheet name="CAPEX" sheetId="2" r:id="rId4"/>
    <sheet name="Working capital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4" l="1"/>
  <c r="C51" i="4" s="1"/>
  <c r="D52" i="4"/>
  <c r="E52" i="4"/>
  <c r="F52" i="4"/>
  <c r="G52" i="4"/>
  <c r="C54" i="4" l="1"/>
  <c r="C44" i="4"/>
  <c r="B19" i="5" l="1"/>
  <c r="B18" i="5"/>
  <c r="C18" i="5"/>
  <c r="D18" i="5"/>
  <c r="E18" i="5"/>
  <c r="F18" i="5"/>
  <c r="G18" i="5"/>
  <c r="H22" i="1"/>
  <c r="H23" i="1" s="1"/>
  <c r="H24" i="1" s="1"/>
  <c r="D14" i="5"/>
  <c r="E14" i="5"/>
  <c r="F14" i="5"/>
  <c r="G14" i="5"/>
  <c r="H14" i="5"/>
  <c r="C14" i="5"/>
  <c r="B9" i="5"/>
  <c r="C7" i="5"/>
  <c r="D7" i="5"/>
  <c r="E7" i="5"/>
  <c r="F7" i="5"/>
  <c r="G7" i="5"/>
  <c r="B7" i="5"/>
  <c r="D37" i="4"/>
  <c r="E37" i="4"/>
  <c r="F37" i="4"/>
  <c r="G37" i="4"/>
  <c r="H37" i="4"/>
  <c r="C37" i="4"/>
  <c r="D29" i="4"/>
  <c r="E29" i="4"/>
  <c r="F29" i="4"/>
  <c r="G29" i="4"/>
  <c r="H29" i="4"/>
  <c r="C29" i="4"/>
  <c r="C30" i="4" l="1"/>
  <c r="I22" i="1"/>
  <c r="C38" i="4"/>
  <c r="C22" i="4"/>
  <c r="D22" i="4"/>
  <c r="E22" i="4"/>
  <c r="F22" i="4"/>
  <c r="G22" i="4"/>
  <c r="H22" i="4"/>
  <c r="C19" i="4"/>
  <c r="H17" i="1" s="1"/>
  <c r="D15" i="4"/>
  <c r="E15" i="4"/>
  <c r="F15" i="4"/>
  <c r="G15" i="4"/>
  <c r="H15" i="4"/>
  <c r="C15" i="4"/>
  <c r="C13" i="1"/>
  <c r="B13" i="1"/>
  <c r="H5" i="1"/>
  <c r="I5" i="1" s="1"/>
  <c r="J5" i="1" s="1"/>
  <c r="K5" i="1" s="1"/>
  <c r="L5" i="1" s="1"/>
  <c r="H4" i="1"/>
  <c r="H6" i="1" s="1"/>
  <c r="H28" i="1" l="1"/>
  <c r="C16" i="4"/>
  <c r="C23" i="4"/>
  <c r="H16" i="1" s="1"/>
  <c r="J22" i="1"/>
  <c r="I23" i="1"/>
  <c r="I24" i="1" s="1"/>
  <c r="M21" i="3"/>
  <c r="I21" i="3"/>
  <c r="J21" i="3"/>
  <c r="K21" i="3"/>
  <c r="L21" i="3"/>
  <c r="M22" i="3" s="1"/>
  <c r="L27" i="1" s="1"/>
  <c r="I17" i="1"/>
  <c r="I4" i="1"/>
  <c r="B6" i="1"/>
  <c r="C8" i="4" s="1"/>
  <c r="C28" i="1"/>
  <c r="D28" i="1"/>
  <c r="E28" i="1"/>
  <c r="F28" i="1"/>
  <c r="G28" i="1"/>
  <c r="B28" i="1"/>
  <c r="C27" i="1"/>
  <c r="D27" i="1"/>
  <c r="E27" i="1"/>
  <c r="F27" i="1"/>
  <c r="G27" i="1"/>
  <c r="B27" i="1"/>
  <c r="D22" i="3"/>
  <c r="E22" i="3"/>
  <c r="F22" i="3"/>
  <c r="G22" i="3"/>
  <c r="H22" i="3"/>
  <c r="C22" i="3"/>
  <c r="G21" i="3"/>
  <c r="H21" i="3"/>
  <c r="C21" i="3"/>
  <c r="D21" i="3"/>
  <c r="E21" i="3"/>
  <c r="F21" i="3"/>
  <c r="B21" i="3"/>
  <c r="G18" i="3"/>
  <c r="H18" i="3"/>
  <c r="C18" i="3"/>
  <c r="D18" i="3"/>
  <c r="E18" i="3"/>
  <c r="F18" i="3"/>
  <c r="B18" i="3"/>
  <c r="G9" i="3"/>
  <c r="H9" i="3"/>
  <c r="C9" i="3"/>
  <c r="D9" i="3"/>
  <c r="E9" i="3"/>
  <c r="F9" i="3"/>
  <c r="B9" i="3"/>
  <c r="D6" i="2"/>
  <c r="E6" i="2"/>
  <c r="F6" i="2"/>
  <c r="G6" i="2"/>
  <c r="H6" i="2"/>
  <c r="D4" i="2"/>
  <c r="E4" i="2"/>
  <c r="F4" i="2"/>
  <c r="G4" i="2"/>
  <c r="H4" i="2"/>
  <c r="C4" i="2"/>
  <c r="C6" i="2" s="1"/>
  <c r="L22" i="3" l="1"/>
  <c r="K27" i="1" s="1"/>
  <c r="K22" i="1"/>
  <c r="J23" i="1"/>
  <c r="J24" i="1" s="1"/>
  <c r="K22" i="3"/>
  <c r="J27" i="1" s="1"/>
  <c r="I22" i="3"/>
  <c r="H27" i="1" s="1"/>
  <c r="J22" i="3"/>
  <c r="I27" i="1" s="1"/>
  <c r="J17" i="1"/>
  <c r="I16" i="1"/>
  <c r="J4" i="1"/>
  <c r="I6" i="1"/>
  <c r="D13" i="1"/>
  <c r="E13" i="1"/>
  <c r="F13" i="1"/>
  <c r="G13" i="1"/>
  <c r="C6" i="1"/>
  <c r="D8" i="4" s="1"/>
  <c r="D6" i="1"/>
  <c r="E8" i="4" s="1"/>
  <c r="E6" i="1"/>
  <c r="F8" i="4" s="1"/>
  <c r="F6" i="1"/>
  <c r="G8" i="4" s="1"/>
  <c r="G6" i="1"/>
  <c r="H8" i="4" s="1"/>
  <c r="I28" i="1" l="1"/>
  <c r="L22" i="1"/>
  <c r="L23" i="1" s="1"/>
  <c r="K23" i="1"/>
  <c r="K24" i="1" s="1"/>
  <c r="K17" i="1"/>
  <c r="J16" i="1"/>
  <c r="C9" i="4"/>
  <c r="H8" i="1" s="1"/>
  <c r="K4" i="1"/>
  <c r="J6" i="1"/>
  <c r="H9" i="1" l="1"/>
  <c r="H13" i="1" s="1"/>
  <c r="H20" i="1" s="1"/>
  <c r="H30" i="1" s="1"/>
  <c r="H31" i="1" s="1"/>
  <c r="J28" i="1"/>
  <c r="L24" i="1"/>
  <c r="I8" i="1"/>
  <c r="L17" i="1"/>
  <c r="L16" i="1" s="1"/>
  <c r="K16" i="1"/>
  <c r="J8" i="1"/>
  <c r="J9" i="1" s="1"/>
  <c r="J13" i="1" s="1"/>
  <c r="L4" i="1"/>
  <c r="K6" i="1"/>
  <c r="J20" i="1" l="1"/>
  <c r="J30" i="1" s="1"/>
  <c r="K28" i="1"/>
  <c r="I9" i="1"/>
  <c r="I13" i="1" s="1"/>
  <c r="I20" i="1" s="1"/>
  <c r="I30" i="1" s="1"/>
  <c r="L6" i="1"/>
  <c r="K8" i="1"/>
  <c r="K9" i="1" s="1"/>
  <c r="K13" i="1" s="1"/>
  <c r="J36" i="1" l="1"/>
  <c r="J31" i="1"/>
  <c r="I36" i="1"/>
  <c r="I31" i="1"/>
  <c r="K20" i="1"/>
  <c r="K30" i="1" s="1"/>
  <c r="L28" i="1"/>
  <c r="L8" i="1"/>
  <c r="L9" i="1" s="1"/>
  <c r="L13" i="1" s="1"/>
  <c r="K36" i="1" l="1"/>
  <c r="K31" i="1"/>
  <c r="L20" i="1"/>
  <c r="L30" i="1" s="1"/>
  <c r="L31" i="1" s="1"/>
  <c r="L33" i="1" l="1"/>
  <c r="L36" i="1"/>
  <c r="H36" i="1" l="1"/>
  <c r="L38" i="1"/>
  <c r="L39" i="1" s="1"/>
</calcChain>
</file>

<file path=xl/sharedStrings.xml><?xml version="1.0" encoding="utf-8"?>
<sst xmlns="http://schemas.openxmlformats.org/spreadsheetml/2006/main" count="97" uniqueCount="85">
  <si>
    <t>NON-INTEREST INCOME</t>
  </si>
  <si>
    <t>NET INTEREST INCOME</t>
  </si>
  <si>
    <t>OPERATING EXPENSES</t>
  </si>
  <si>
    <t>PROVISION FOR BAD LOANS</t>
  </si>
  <si>
    <t>DEPOSITS</t>
  </si>
  <si>
    <t>LOANS</t>
  </si>
  <si>
    <t>DEBT</t>
  </si>
  <si>
    <t>EQUITY</t>
  </si>
  <si>
    <t>Shs '000'</t>
  </si>
  <si>
    <t>CURRENT TAXES</t>
  </si>
  <si>
    <t>DEFERRED TAXES</t>
  </si>
  <si>
    <t>TOTAL TAX</t>
  </si>
  <si>
    <t>TOTAL OPERATING INCOME</t>
  </si>
  <si>
    <t>EQUITY BANK PLC MODEL (2025 - 2028)</t>
  </si>
  <si>
    <t>Change in working capital</t>
  </si>
  <si>
    <t>CAPEX</t>
  </si>
  <si>
    <t>PPE</t>
  </si>
  <si>
    <t>change in PPE</t>
  </si>
  <si>
    <t>DEPRECIATION EXPENSE</t>
  </si>
  <si>
    <t>Shs. '000'</t>
  </si>
  <si>
    <t>Current Assets</t>
  </si>
  <si>
    <t>Current Liabilities</t>
  </si>
  <si>
    <t xml:space="preserve">Working capital </t>
  </si>
  <si>
    <t>Cash (both local &amp; foreign)</t>
  </si>
  <si>
    <t>Balances due from Central Bank of Kenya</t>
  </si>
  <si>
    <t>Deposits and balances due from local banking institutions.</t>
  </si>
  <si>
    <t>Deposits and balances due from banking institutions abroad.</t>
  </si>
  <si>
    <t>Loans and advances to customers (net)</t>
  </si>
  <si>
    <t>Other assets</t>
  </si>
  <si>
    <t>Customer deposits</t>
  </si>
  <si>
    <t>Dividends payable.</t>
  </si>
  <si>
    <t>Other liabilities</t>
  </si>
  <si>
    <r>
      <t>Deposits and balances due to local banking institutions</t>
    </r>
    <r>
      <rPr>
        <sz val="11"/>
        <color theme="1"/>
        <rFont val="Calibri"/>
        <family val="2"/>
        <scheme val="minor"/>
      </rPr>
      <t>.</t>
    </r>
  </si>
  <si>
    <r>
      <t>Deposits and balances due to foreign banking institutions</t>
    </r>
    <r>
      <rPr>
        <sz val="11"/>
        <color theme="1"/>
        <rFont val="Calibri"/>
        <family val="2"/>
        <scheme val="minor"/>
      </rPr>
      <t>.</t>
    </r>
  </si>
  <si>
    <r>
      <t>Other money market deposits</t>
    </r>
    <r>
      <rPr>
        <sz val="11"/>
        <color theme="1"/>
        <rFont val="Calibri"/>
        <family val="2"/>
        <scheme val="minor"/>
      </rPr>
      <t>.</t>
    </r>
  </si>
  <si>
    <r>
      <t>Tax payable</t>
    </r>
    <r>
      <rPr>
        <sz val="11"/>
        <color theme="1"/>
        <rFont val="Calibri"/>
        <family val="2"/>
        <scheme val="minor"/>
      </rPr>
      <t>.</t>
    </r>
  </si>
  <si>
    <t>CHANGE IN WORKING CAPITAL</t>
  </si>
  <si>
    <t>CAGR</t>
  </si>
  <si>
    <t>NON-INTEREST</t>
  </si>
  <si>
    <t xml:space="preserve">INTEREST </t>
  </si>
  <si>
    <t>INCOME GROWTH</t>
  </si>
  <si>
    <t>COST TO INCOME RATIO</t>
  </si>
  <si>
    <t>CIR</t>
  </si>
  <si>
    <t>AVERAGE CIR</t>
  </si>
  <si>
    <t>PROFIT BEFORE TAX</t>
  </si>
  <si>
    <t xml:space="preserve">EFFECTIVE TAX RATE </t>
  </si>
  <si>
    <t>AVERAGE ETR</t>
  </si>
  <si>
    <t>LOAN GROWTH RATE</t>
  </si>
  <si>
    <t>LOAN LOSS PROVISION</t>
  </si>
  <si>
    <t>PROVISIONS RATIO</t>
  </si>
  <si>
    <t>AVERAGE PROVISIONS RATIO</t>
  </si>
  <si>
    <t>CAPEX -REVENUE RATIO</t>
  </si>
  <si>
    <t>OPERATING INCOME</t>
  </si>
  <si>
    <t>RATIO</t>
  </si>
  <si>
    <t>CAPEX-REVENUE</t>
  </si>
  <si>
    <t>WC-REVENUE</t>
  </si>
  <si>
    <t>CURRENT ASSETS</t>
  </si>
  <si>
    <t>CURRENT LIABIITIES</t>
  </si>
  <si>
    <t>WC-REVENUE RATIO</t>
  </si>
  <si>
    <t>PAID UP CAPITAL</t>
  </si>
  <si>
    <t>SHARE PREMIUM</t>
  </si>
  <si>
    <t>REVALUATION RESERVE</t>
  </si>
  <si>
    <t>RETAINED EARNINGS</t>
  </si>
  <si>
    <t>TOTAL EQUITY</t>
  </si>
  <si>
    <t xml:space="preserve">CAGR </t>
  </si>
  <si>
    <t>BORROWED FUNDS</t>
  </si>
  <si>
    <t>NET BORROWING</t>
  </si>
  <si>
    <t>DEBT-EQUITY RATIO</t>
  </si>
  <si>
    <t>NET INCOME</t>
  </si>
  <si>
    <t>FREE CASHFLOW TO EQUITY (FCFE)</t>
  </si>
  <si>
    <t>Cost Of Equity</t>
  </si>
  <si>
    <t>Risk free rate</t>
  </si>
  <si>
    <t xml:space="preserve">Beta </t>
  </si>
  <si>
    <t>Risk premium</t>
  </si>
  <si>
    <t>COE</t>
  </si>
  <si>
    <t>Long-Term Growth Rate</t>
  </si>
  <si>
    <t>Present Value</t>
  </si>
  <si>
    <t>t</t>
  </si>
  <si>
    <t>n</t>
  </si>
  <si>
    <t>Terminal Value (TV)</t>
  </si>
  <si>
    <t>DISCOUNTED FCFE</t>
  </si>
  <si>
    <t>Shares Outstanding</t>
  </si>
  <si>
    <t>INTRINSIC VALUE PER SHARE</t>
  </si>
  <si>
    <t>SHS '000'</t>
  </si>
  <si>
    <t>EQUITY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</si>
</sst>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Fill="1"/>
    <xf numFmtId="0" fontId="0" fillId="2" borderId="0" xfId="0" applyFill="1"/>
    <xf numFmtId="0" fontId="2" fillId="4" borderId="0" xfId="0" applyFont="1" applyFill="1"/>
    <xf numFmtId="0" fontId="1" fillId="5" borderId="0" xfId="0" applyFont="1" applyFill="1"/>
    <xf numFmtId="0" fontId="5" fillId="3" borderId="0" xfId="0" applyFont="1" applyFill="1"/>
    <xf numFmtId="43" fontId="0" fillId="0" borderId="0" xfId="1" applyFont="1"/>
    <xf numFmtId="0" fontId="0" fillId="6" borderId="0" xfId="0" applyFill="1"/>
    <xf numFmtId="0" fontId="0" fillId="5" borderId="0" xfId="0" applyFill="1"/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43" fontId="0" fillId="0" borderId="1" xfId="1" applyFont="1" applyBorder="1"/>
    <xf numFmtId="43" fontId="0" fillId="0" borderId="1" xfId="0" applyNumberFormat="1" applyBorder="1"/>
    <xf numFmtId="10" fontId="0" fillId="0" borderId="1" xfId="0" applyNumberFormat="1" applyBorder="1"/>
    <xf numFmtId="164" fontId="0" fillId="0" borderId="1" xfId="0" applyNumberFormat="1" applyBorder="1"/>
    <xf numFmtId="0" fontId="3" fillId="0" borderId="1" xfId="0" applyFont="1" applyBorder="1" applyAlignment="1">
      <alignment wrapText="1"/>
    </xf>
    <xf numFmtId="43" fontId="0" fillId="6" borderId="1" xfId="1" applyFont="1" applyFill="1" applyBorder="1"/>
    <xf numFmtId="43" fontId="0" fillId="2" borderId="1" xfId="1" applyFont="1" applyFill="1" applyBorder="1"/>
    <xf numFmtId="0" fontId="0" fillId="0" borderId="1" xfId="0" applyFill="1" applyBorder="1" applyAlignment="1">
      <alignment wrapText="1"/>
    </xf>
    <xf numFmtId="43" fontId="0" fillId="0" borderId="1" xfId="1" applyFont="1" applyFill="1" applyBorder="1"/>
    <xf numFmtId="43" fontId="5" fillId="3" borderId="1" xfId="1" applyFont="1" applyFill="1" applyBorder="1"/>
    <xf numFmtId="3" fontId="0" fillId="0" borderId="1" xfId="0" applyNumberFormat="1" applyFill="1" applyBorder="1"/>
    <xf numFmtId="43" fontId="0" fillId="6" borderId="1" xfId="0" applyNumberFormat="1" applyFill="1" applyBorder="1"/>
    <xf numFmtId="0" fontId="0" fillId="6" borderId="1" xfId="0" applyFill="1" applyBorder="1"/>
    <xf numFmtId="0" fontId="0" fillId="5" borderId="1" xfId="0" applyFill="1" applyBorder="1"/>
    <xf numFmtId="43" fontId="0" fillId="5" borderId="1" xfId="0" applyNumberFormat="1" applyFill="1" applyBorder="1"/>
    <xf numFmtId="0" fontId="0" fillId="2" borderId="1" xfId="0" applyFill="1" applyBorder="1"/>
    <xf numFmtId="43" fontId="0" fillId="2" borderId="1" xfId="0" applyNumberFormat="1" applyFill="1" applyBorder="1"/>
    <xf numFmtId="0" fontId="5" fillId="3" borderId="1" xfId="0" applyFont="1" applyFill="1" applyBorder="1"/>
    <xf numFmtId="14" fontId="5" fillId="3" borderId="1" xfId="0" applyNumberFormat="1" applyFont="1" applyFill="1" applyBorder="1"/>
    <xf numFmtId="0" fontId="0" fillId="8" borderId="1" xfId="0" applyFill="1" applyBorder="1"/>
    <xf numFmtId="43" fontId="0" fillId="8" borderId="1" xfId="0" applyNumberFormat="1" applyFill="1" applyBorder="1"/>
    <xf numFmtId="0" fontId="0" fillId="8" borderId="0" xfId="0" applyFill="1"/>
    <xf numFmtId="0" fontId="0" fillId="9" borderId="1" xfId="0" applyFill="1" applyBorder="1"/>
    <xf numFmtId="0" fontId="0" fillId="9" borderId="0" xfId="0" applyFill="1"/>
    <xf numFmtId="0" fontId="0" fillId="7" borderId="1" xfId="0" applyFill="1" applyBorder="1" applyAlignment="1">
      <alignment wrapText="1"/>
    </xf>
    <xf numFmtId="0" fontId="0" fillId="2" borderId="0" xfId="0" applyFont="1" applyFill="1"/>
    <xf numFmtId="0" fontId="1" fillId="2" borderId="1" xfId="0" applyFont="1" applyFill="1" applyBorder="1" applyAlignment="1">
      <alignment wrapText="1"/>
    </xf>
    <xf numFmtId="43" fontId="4" fillId="2" borderId="1" xfId="1" applyFont="1" applyFill="1" applyBorder="1"/>
    <xf numFmtId="0" fontId="6" fillId="8" borderId="1" xfId="0" applyFont="1" applyFill="1" applyBorder="1"/>
    <xf numFmtId="0" fontId="6" fillId="8" borderId="0" xfId="0" applyFont="1" applyFill="1"/>
    <xf numFmtId="0" fontId="7" fillId="9" borderId="1" xfId="0" applyFont="1" applyFill="1" applyBorder="1" applyAlignment="1"/>
    <xf numFmtId="0" fontId="7" fillId="9" borderId="0" xfId="0" applyFont="1" applyFill="1" applyAlignment="1"/>
    <xf numFmtId="0" fontId="9" fillId="5" borderId="1" xfId="0" applyNumberFormat="1" applyFont="1" applyFill="1" applyBorder="1"/>
    <xf numFmtId="14" fontId="9" fillId="5" borderId="1" xfId="0" applyNumberFormat="1" applyFont="1" applyFill="1" applyBorder="1"/>
    <xf numFmtId="0" fontId="9" fillId="5" borderId="0" xfId="0" applyNumberFormat="1" applyFont="1" applyFill="1"/>
    <xf numFmtId="3" fontId="0" fillId="0" borderId="1" xfId="0" applyNumberFormat="1" applyBorder="1"/>
    <xf numFmtId="3" fontId="0" fillId="2" borderId="1" xfId="0" applyNumberFormat="1" applyFill="1" applyBorder="1"/>
    <xf numFmtId="0" fontId="0" fillId="0" borderId="0" xfId="0" applyBorder="1"/>
    <xf numFmtId="43" fontId="0" fillId="0" borderId="3" xfId="1" applyFont="1" applyBorder="1"/>
    <xf numFmtId="0" fontId="0" fillId="0" borderId="0" xfId="0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0" fillId="0" borderId="4" xfId="0" applyBorder="1"/>
    <xf numFmtId="0" fontId="2" fillId="0" borderId="0" xfId="0" applyFont="1" applyFill="1" applyBorder="1" applyAlignment="1">
      <alignment wrapText="1"/>
    </xf>
    <xf numFmtId="0" fontId="9" fillId="5" borderId="1" xfId="0" applyFont="1" applyFill="1" applyBorder="1"/>
    <xf numFmtId="0" fontId="5" fillId="4" borderId="4" xfId="0" applyFont="1" applyFill="1" applyBorder="1" applyAlignment="1">
      <alignment wrapText="1"/>
    </xf>
    <xf numFmtId="0" fontId="9" fillId="5" borderId="4" xfId="0" applyFont="1" applyFill="1" applyBorder="1"/>
    <xf numFmtId="0" fontId="2" fillId="4" borderId="1" xfId="0" applyFont="1" applyFill="1" applyBorder="1"/>
    <xf numFmtId="43" fontId="2" fillId="4" borderId="1" xfId="1" applyFont="1" applyFill="1" applyBorder="1"/>
    <xf numFmtId="0" fontId="10" fillId="2" borderId="1" xfId="0" applyFont="1" applyFill="1" applyBorder="1"/>
    <xf numFmtId="0" fontId="0" fillId="0" borderId="1" xfId="0" applyFont="1" applyBorder="1" applyAlignment="1">
      <alignment wrapText="1"/>
    </xf>
    <xf numFmtId="0" fontId="1" fillId="5" borderId="1" xfId="0" applyFont="1" applyFill="1" applyBorder="1"/>
    <xf numFmtId="43" fontId="1" fillId="5" borderId="1" xfId="1" applyFont="1" applyFill="1" applyBorder="1"/>
    <xf numFmtId="43" fontId="1" fillId="5" borderId="1" xfId="0" applyNumberFormat="1" applyFont="1" applyFill="1" applyBorder="1"/>
    <xf numFmtId="0" fontId="12" fillId="3" borderId="1" xfId="0" applyFont="1" applyFill="1" applyBorder="1"/>
    <xf numFmtId="43" fontId="12" fillId="3" borderId="1" xfId="1" applyFont="1" applyFill="1" applyBorder="1"/>
    <xf numFmtId="0" fontId="12" fillId="3" borderId="0" xfId="0" applyFont="1" applyFill="1"/>
    <xf numFmtId="0" fontId="12" fillId="4" borderId="1" xfId="0" applyFont="1" applyFill="1" applyBorder="1"/>
    <xf numFmtId="43" fontId="12" fillId="4" borderId="1" xfId="1" applyFont="1" applyFill="1" applyBorder="1"/>
    <xf numFmtId="0" fontId="12" fillId="4" borderId="0" xfId="0" applyFont="1" applyFill="1"/>
    <xf numFmtId="0" fontId="1" fillId="0" borderId="1" xfId="0" applyFont="1" applyBorder="1" applyAlignment="1">
      <alignment wrapText="1"/>
    </xf>
    <xf numFmtId="0" fontId="13" fillId="2" borderId="1" xfId="0" applyFont="1" applyFill="1" applyBorder="1"/>
    <xf numFmtId="0" fontId="13" fillId="2" borderId="0" xfId="0" applyFont="1" applyFill="1"/>
    <xf numFmtId="0" fontId="12" fillId="3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4" fillId="8" borderId="1" xfId="0" applyFont="1" applyFill="1" applyBorder="1"/>
    <xf numFmtId="0" fontId="14" fillId="9" borderId="1" xfId="0" applyFont="1" applyFill="1" applyBorder="1"/>
    <xf numFmtId="0" fontId="14" fillId="2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0" fillId="7" borderId="1" xfId="0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12" fillId="3" borderId="4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5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2" fontId="15" fillId="9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4"/>
  <sheetViews>
    <sheetView zoomScale="80" zoomScaleNormal="80" workbookViewId="0">
      <selection activeCell="D60" sqref="D60"/>
    </sheetView>
  </sheetViews>
  <sheetFormatPr defaultRowHeight="15" x14ac:dyDescent="0.25"/>
  <cols>
    <col min="2" max="2" width="20.85546875" bestFit="1" customWidth="1"/>
    <col min="3" max="3" width="23.7109375" bestFit="1" customWidth="1"/>
    <col min="4" max="9" width="16.140625" bestFit="1" customWidth="1"/>
  </cols>
  <sheetData>
    <row r="2" spans="2:8" ht="15.75" x14ac:dyDescent="0.25">
      <c r="B2" s="87" t="s">
        <v>40</v>
      </c>
      <c r="C2" s="88"/>
    </row>
    <row r="3" spans="2:8" x14ac:dyDescent="0.25">
      <c r="B3" s="81" t="s">
        <v>39</v>
      </c>
      <c r="C3" s="10">
        <v>0.1</v>
      </c>
    </row>
    <row r="4" spans="2:8" x14ac:dyDescent="0.25">
      <c r="B4" s="81" t="s">
        <v>38</v>
      </c>
      <c r="C4" s="10">
        <v>0.05</v>
      </c>
    </row>
    <row r="6" spans="2:8" ht="31.5" customHeight="1" x14ac:dyDescent="0.25">
      <c r="B6" s="84" t="s">
        <v>41</v>
      </c>
      <c r="C6" s="86"/>
      <c r="D6" s="86"/>
      <c r="E6" s="86"/>
      <c r="F6" s="86"/>
      <c r="G6" s="86"/>
      <c r="H6" s="85"/>
    </row>
    <row r="7" spans="2:8" x14ac:dyDescent="0.25">
      <c r="B7" s="37"/>
      <c r="C7" s="9">
        <v>2018</v>
      </c>
      <c r="D7" s="9">
        <v>2019</v>
      </c>
      <c r="E7" s="9">
        <v>2020</v>
      </c>
      <c r="F7" s="9">
        <v>2021</v>
      </c>
      <c r="G7" s="9">
        <v>2022</v>
      </c>
      <c r="H7" s="9">
        <v>2023</v>
      </c>
    </row>
    <row r="8" spans="2:8" x14ac:dyDescent="0.25">
      <c r="B8" s="37" t="s">
        <v>42</v>
      </c>
      <c r="C8" s="12">
        <f>Model!B8/Model!B6</f>
        <v>7.4058464705345786E-2</v>
      </c>
      <c r="D8" s="12">
        <f>Model!C8/Model!C6</f>
        <v>0.52902120153619325</v>
      </c>
      <c r="E8" s="12">
        <f>Model!D8/Model!D6</f>
        <v>0.15033524217110597</v>
      </c>
      <c r="F8" s="12">
        <f>Model!E8/Model!E6</f>
        <v>0.43230272340614234</v>
      </c>
      <c r="G8" s="12">
        <f>Model!F8/Model!F6</f>
        <v>0.51132581964509516</v>
      </c>
      <c r="H8" s="12">
        <f>Model!G8/Model!G6</f>
        <v>0.73132873641136054</v>
      </c>
    </row>
    <row r="9" spans="2:8" x14ac:dyDescent="0.25">
      <c r="B9" s="37" t="s">
        <v>43</v>
      </c>
      <c r="C9" s="12">
        <f>AVERAGE(C8:H8)</f>
        <v>0.40472869797920713</v>
      </c>
      <c r="D9" s="9"/>
      <c r="E9" s="9"/>
      <c r="F9" s="9"/>
      <c r="G9" s="9"/>
      <c r="H9" s="9"/>
    </row>
    <row r="11" spans="2:8" ht="31.5" customHeight="1" x14ac:dyDescent="0.25">
      <c r="B11" s="84" t="s">
        <v>45</v>
      </c>
      <c r="C11" s="86"/>
      <c r="D11" s="86"/>
      <c r="E11" s="86"/>
      <c r="F11" s="86"/>
      <c r="G11" s="86"/>
      <c r="H11" s="85"/>
    </row>
    <row r="12" spans="2:8" x14ac:dyDescent="0.25">
      <c r="B12" s="81"/>
      <c r="C12" s="9">
        <v>2018</v>
      </c>
      <c r="D12" s="9">
        <v>2019</v>
      </c>
      <c r="E12" s="9">
        <v>2020</v>
      </c>
      <c r="F12" s="9">
        <v>2021</v>
      </c>
      <c r="G12" s="9">
        <v>2022</v>
      </c>
      <c r="H12" s="9">
        <v>2023</v>
      </c>
    </row>
    <row r="13" spans="2:8" x14ac:dyDescent="0.25">
      <c r="B13" s="81" t="s">
        <v>11</v>
      </c>
      <c r="C13" s="9">
        <v>7579452</v>
      </c>
      <c r="D13" s="9">
        <v>9722369</v>
      </c>
      <c r="E13" s="9">
        <v>203275</v>
      </c>
      <c r="F13" s="9">
        <v>8857490</v>
      </c>
      <c r="G13" s="9">
        <v>8608232</v>
      </c>
      <c r="H13" s="9">
        <v>1472312</v>
      </c>
    </row>
    <row r="14" spans="2:8" x14ac:dyDescent="0.25">
      <c r="B14" s="81" t="s">
        <v>44</v>
      </c>
      <c r="C14" s="9">
        <v>24382342</v>
      </c>
      <c r="D14" s="9">
        <v>25973665</v>
      </c>
      <c r="E14" s="9">
        <v>14207343</v>
      </c>
      <c r="F14" s="9">
        <v>41042311</v>
      </c>
      <c r="G14" s="9">
        <v>42002055</v>
      </c>
      <c r="H14" s="9">
        <v>25194432</v>
      </c>
    </row>
    <row r="15" spans="2:8" x14ac:dyDescent="0.25">
      <c r="B15" s="81" t="s">
        <v>45</v>
      </c>
      <c r="C15" s="9">
        <f>C13/C14</f>
        <v>0.31085824323192579</v>
      </c>
      <c r="D15" s="9">
        <f t="shared" ref="D15:H15" si="0">D13/D14</f>
        <v>0.37431640856228798</v>
      </c>
      <c r="E15" s="9">
        <f t="shared" si="0"/>
        <v>1.4307742130249126E-2</v>
      </c>
      <c r="F15" s="9">
        <f t="shared" si="0"/>
        <v>0.21581362706403157</v>
      </c>
      <c r="G15" s="9">
        <f t="shared" si="0"/>
        <v>0.20494787695506803</v>
      </c>
      <c r="H15" s="9">
        <f t="shared" si="0"/>
        <v>5.8437991378412497E-2</v>
      </c>
    </row>
    <row r="16" spans="2:8" x14ac:dyDescent="0.25">
      <c r="B16" s="81" t="s">
        <v>46</v>
      </c>
      <c r="C16" s="9">
        <f>AVERAGE(C15:H15)</f>
        <v>0.1964469815536625</v>
      </c>
      <c r="D16" s="9"/>
      <c r="E16" s="9"/>
      <c r="F16" s="9"/>
      <c r="G16" s="9"/>
      <c r="H16" s="9"/>
    </row>
    <row r="18" spans="2:8" ht="31.5" customHeight="1" x14ac:dyDescent="0.25">
      <c r="B18" s="84" t="s">
        <v>47</v>
      </c>
      <c r="C18" s="86"/>
      <c r="D18" s="86"/>
      <c r="E18" s="86"/>
      <c r="F18" s="86"/>
      <c r="G18" s="86"/>
      <c r="H18" s="85"/>
    </row>
    <row r="19" spans="2:8" x14ac:dyDescent="0.25">
      <c r="B19" s="81" t="s">
        <v>37</v>
      </c>
      <c r="C19" s="12">
        <f>((Model!G17/Model!B17)^(1/5)-1)</f>
        <v>0.14952465248787883</v>
      </c>
      <c r="D19" s="9"/>
      <c r="E19" s="9"/>
      <c r="F19" s="9"/>
      <c r="G19" s="9"/>
      <c r="H19" s="9"/>
    </row>
    <row r="20" spans="2:8" ht="30" x14ac:dyDescent="0.25">
      <c r="B20" s="37" t="s">
        <v>48</v>
      </c>
      <c r="C20" s="9">
        <v>2018</v>
      </c>
      <c r="D20" s="9">
        <v>2019</v>
      </c>
      <c r="E20" s="9">
        <v>2020</v>
      </c>
      <c r="F20" s="9">
        <v>2021</v>
      </c>
      <c r="G20" s="9">
        <v>2022</v>
      </c>
      <c r="H20" s="9">
        <v>2023</v>
      </c>
    </row>
    <row r="21" spans="2:8" x14ac:dyDescent="0.25">
      <c r="B21" s="81"/>
      <c r="C21" s="9">
        <v>1668120</v>
      </c>
      <c r="D21" s="9">
        <v>3969783</v>
      </c>
      <c r="E21" s="9">
        <v>23357937</v>
      </c>
      <c r="F21" s="9">
        <v>2359783</v>
      </c>
      <c r="G21" s="9">
        <v>7836716</v>
      </c>
      <c r="H21" s="9">
        <v>22981852</v>
      </c>
    </row>
    <row r="22" spans="2:8" x14ac:dyDescent="0.25">
      <c r="B22" s="37" t="s">
        <v>49</v>
      </c>
      <c r="C22" s="9">
        <f>C21/Model!B17</f>
        <v>7.4614439171458748E-3</v>
      </c>
      <c r="D22" s="9">
        <f>D21/Model!C17</f>
        <v>1.4338435917573875E-2</v>
      </c>
      <c r="E22" s="9">
        <f>E21/Model!D17</f>
        <v>7.4610466624565316E-2</v>
      </c>
      <c r="F22" s="9">
        <f>F21/Model!E17</f>
        <v>6.1816027079104174E-3</v>
      </c>
      <c r="G22" s="9">
        <f>G21/Model!F17</f>
        <v>1.823249449644063E-2</v>
      </c>
      <c r="H22" s="9">
        <f>H21/Model!G17</f>
        <v>5.1214055248916243E-2</v>
      </c>
    </row>
    <row r="23" spans="2:8" ht="30" x14ac:dyDescent="0.25">
      <c r="B23" s="37" t="s">
        <v>50</v>
      </c>
      <c r="C23" s="9">
        <f>AVERAGE(C22:H22)</f>
        <v>2.867308315209206E-2</v>
      </c>
      <c r="D23" s="9"/>
      <c r="E23" s="9"/>
      <c r="F23" s="9"/>
      <c r="G23" s="9"/>
      <c r="H23" s="9"/>
    </row>
    <row r="25" spans="2:8" ht="31.5" customHeight="1" x14ac:dyDescent="0.25">
      <c r="B25" s="84" t="s">
        <v>51</v>
      </c>
      <c r="C25" s="86"/>
      <c r="D25" s="86"/>
      <c r="E25" s="86"/>
      <c r="F25" s="86"/>
      <c r="G25" s="86"/>
      <c r="H25" s="85"/>
    </row>
    <row r="26" spans="2:8" x14ac:dyDescent="0.25">
      <c r="B26" s="81"/>
      <c r="C26" s="9">
        <v>2018</v>
      </c>
      <c r="D26" s="9">
        <v>2019</v>
      </c>
      <c r="E26" s="9">
        <v>2020</v>
      </c>
      <c r="F26" s="9">
        <v>2021</v>
      </c>
      <c r="G26" s="9">
        <v>2022</v>
      </c>
      <c r="H26" s="9">
        <v>2023</v>
      </c>
    </row>
    <row r="27" spans="2:8" x14ac:dyDescent="0.25">
      <c r="B27" s="37" t="s">
        <v>15</v>
      </c>
      <c r="C27" s="13">
        <v>2901428</v>
      </c>
      <c r="D27" s="13">
        <v>2413813</v>
      </c>
      <c r="E27" s="13">
        <v>3288170</v>
      </c>
      <c r="F27" s="13">
        <v>3573056</v>
      </c>
      <c r="G27" s="13">
        <v>1166369</v>
      </c>
      <c r="H27" s="13">
        <v>1397217</v>
      </c>
    </row>
    <row r="28" spans="2:8" x14ac:dyDescent="0.25">
      <c r="B28" s="37" t="s">
        <v>52</v>
      </c>
      <c r="C28" s="13">
        <v>337425561</v>
      </c>
      <c r="D28" s="13">
        <v>55148268</v>
      </c>
      <c r="E28" s="13">
        <v>63798507</v>
      </c>
      <c r="F28" s="13">
        <v>72296121</v>
      </c>
      <c r="G28" s="13">
        <v>85951042</v>
      </c>
      <c r="H28" s="13">
        <v>93774197</v>
      </c>
    </row>
    <row r="29" spans="2:8" x14ac:dyDescent="0.25">
      <c r="B29" s="37" t="s">
        <v>54</v>
      </c>
      <c r="C29" s="9">
        <f>C27/C28</f>
        <v>8.5987202374392738E-3</v>
      </c>
      <c r="D29" s="9">
        <f t="shared" ref="D29:H29" si="1">D27/D28</f>
        <v>4.3769516025417156E-2</v>
      </c>
      <c r="E29" s="9">
        <f t="shared" si="1"/>
        <v>5.1539920832316656E-2</v>
      </c>
      <c r="F29" s="9">
        <f t="shared" si="1"/>
        <v>4.9422513277026299E-2</v>
      </c>
      <c r="G29" s="9">
        <f t="shared" si="1"/>
        <v>1.3570155438022497E-2</v>
      </c>
      <c r="H29" s="9">
        <f t="shared" si="1"/>
        <v>1.4899802341149347E-2</v>
      </c>
    </row>
    <row r="30" spans="2:8" x14ac:dyDescent="0.25">
      <c r="B30" s="37" t="s">
        <v>53</v>
      </c>
      <c r="C30" s="9">
        <f>AVERAGE(C29:H29)</f>
        <v>3.0300104691895206E-2</v>
      </c>
      <c r="D30" s="9"/>
      <c r="E30" s="9"/>
      <c r="F30" s="9"/>
      <c r="G30" s="9"/>
      <c r="H30" s="9"/>
    </row>
    <row r="32" spans="2:8" ht="31.5" customHeight="1" x14ac:dyDescent="0.25">
      <c r="B32" s="84" t="s">
        <v>58</v>
      </c>
      <c r="C32" s="86"/>
      <c r="D32" s="86"/>
      <c r="E32" s="86"/>
      <c r="F32" s="86"/>
      <c r="G32" s="86"/>
      <c r="H32" s="85"/>
    </row>
    <row r="33" spans="2:9" x14ac:dyDescent="0.25">
      <c r="B33" s="81"/>
      <c r="C33" s="9">
        <v>2018</v>
      </c>
      <c r="D33" s="9">
        <v>2019</v>
      </c>
      <c r="E33" s="9">
        <v>2020</v>
      </c>
      <c r="F33" s="9">
        <v>2021</v>
      </c>
      <c r="G33" s="9">
        <v>2022</v>
      </c>
      <c r="H33" s="9">
        <v>2023</v>
      </c>
    </row>
    <row r="34" spans="2:9" x14ac:dyDescent="0.25">
      <c r="B34" s="37" t="s">
        <v>56</v>
      </c>
      <c r="C34" s="13">
        <v>269838981</v>
      </c>
      <c r="D34" s="13">
        <v>334653834</v>
      </c>
      <c r="E34" s="13">
        <v>447898937</v>
      </c>
      <c r="F34" s="13">
        <v>511627385</v>
      </c>
      <c r="G34" s="13">
        <v>532295890</v>
      </c>
      <c r="H34" s="13">
        <v>578710709</v>
      </c>
      <c r="I34" s="6"/>
    </row>
    <row r="35" spans="2:9" x14ac:dyDescent="0.25">
      <c r="B35" s="81" t="s">
        <v>57</v>
      </c>
      <c r="C35" s="13">
        <v>347619176</v>
      </c>
      <c r="D35" s="13">
        <v>385891815</v>
      </c>
      <c r="E35" s="13">
        <v>515930488</v>
      </c>
      <c r="F35" s="13">
        <v>675669793</v>
      </c>
      <c r="G35" s="13">
        <v>708309509</v>
      </c>
      <c r="H35" s="13">
        <v>808227594</v>
      </c>
    </row>
    <row r="36" spans="2:9" x14ac:dyDescent="0.25">
      <c r="B36" s="37" t="s">
        <v>52</v>
      </c>
      <c r="C36" s="13">
        <v>337425561</v>
      </c>
      <c r="D36" s="13">
        <v>55148268</v>
      </c>
      <c r="E36" s="13">
        <v>63798507</v>
      </c>
      <c r="F36" s="13">
        <v>72296121</v>
      </c>
      <c r="G36" s="13">
        <v>85951042</v>
      </c>
      <c r="H36" s="13">
        <v>93774197</v>
      </c>
    </row>
    <row r="37" spans="2:9" x14ac:dyDescent="0.25">
      <c r="B37" s="81" t="s">
        <v>55</v>
      </c>
      <c r="C37" s="14">
        <f>(C34-C35)/C36</f>
        <v>-0.23051067847228088</v>
      </c>
      <c r="D37" s="14">
        <f t="shared" ref="D37:H37" si="2">(D34-D35)/D36</f>
        <v>-0.92909501709101727</v>
      </c>
      <c r="E37" s="14">
        <f t="shared" si="2"/>
        <v>-1.0663502047156057</v>
      </c>
      <c r="F37" s="14">
        <f t="shared" si="2"/>
        <v>-2.2690347107281177</v>
      </c>
      <c r="G37" s="14">
        <f t="shared" si="2"/>
        <v>-2.0478357784190679</v>
      </c>
      <c r="H37" s="14">
        <f t="shared" si="2"/>
        <v>-2.4475483911635094</v>
      </c>
    </row>
    <row r="38" spans="2:9" x14ac:dyDescent="0.25">
      <c r="B38" s="37" t="s">
        <v>53</v>
      </c>
      <c r="C38" s="13">
        <f>AVERAGE(C37:H37)</f>
        <v>-1.4983957967649333</v>
      </c>
      <c r="D38" s="9"/>
      <c r="E38" s="9"/>
      <c r="F38" s="9"/>
      <c r="G38" s="9"/>
      <c r="H38" s="9"/>
    </row>
    <row r="40" spans="2:9" ht="15.75" x14ac:dyDescent="0.25">
      <c r="B40" s="84" t="s">
        <v>70</v>
      </c>
      <c r="C40" s="85"/>
    </row>
    <row r="41" spans="2:9" x14ac:dyDescent="0.25">
      <c r="B41" s="81" t="s">
        <v>71</v>
      </c>
      <c r="C41" s="15">
        <v>0.14249999999999999</v>
      </c>
    </row>
    <row r="42" spans="2:9" x14ac:dyDescent="0.25">
      <c r="B42" s="37" t="s">
        <v>72</v>
      </c>
      <c r="C42" s="9">
        <v>1.2</v>
      </c>
    </row>
    <row r="43" spans="2:9" x14ac:dyDescent="0.25">
      <c r="B43" s="81" t="s">
        <v>73</v>
      </c>
      <c r="C43" s="10">
        <v>7.0000000000000007E-2</v>
      </c>
    </row>
    <row r="44" spans="2:9" x14ac:dyDescent="0.25">
      <c r="B44" s="37" t="s">
        <v>74</v>
      </c>
      <c r="C44" s="16">
        <f>C41+C42*C43</f>
        <v>0.22649999999999998</v>
      </c>
    </row>
    <row r="50" spans="2:7" ht="31.5" x14ac:dyDescent="0.25">
      <c r="B50" s="75" t="s">
        <v>75</v>
      </c>
      <c r="C50" s="10">
        <v>0.05</v>
      </c>
    </row>
    <row r="51" spans="2:7" x14ac:dyDescent="0.25">
      <c r="B51" s="81" t="s">
        <v>78</v>
      </c>
      <c r="C51" s="82">
        <f>MAX(C52,G52)</f>
        <v>5</v>
      </c>
      <c r="D51" s="82"/>
      <c r="E51" s="82"/>
      <c r="F51" s="82"/>
      <c r="G51" s="82"/>
    </row>
    <row r="52" spans="2:7" x14ac:dyDescent="0.25">
      <c r="B52" s="81" t="s">
        <v>77</v>
      </c>
      <c r="C52" s="83">
        <f>YEAR(Model!H3)-YEAR(Model!$G$3)</f>
        <v>1</v>
      </c>
      <c r="D52" s="82">
        <f>YEAR(Model!I3)-YEAR(Model!$G$3)</f>
        <v>2</v>
      </c>
      <c r="E52" s="82">
        <f>YEAR(Model!J3)-YEAR(Model!$G$3)</f>
        <v>3</v>
      </c>
      <c r="F52" s="82">
        <f>YEAR(Model!K3)-YEAR(Model!$G$3)</f>
        <v>4</v>
      </c>
      <c r="G52" s="82">
        <f>YEAR(Model!L3)-YEAR(Model!$G$3)</f>
        <v>5</v>
      </c>
    </row>
    <row r="54" spans="2:7" ht="15.75" x14ac:dyDescent="0.25">
      <c r="B54" s="75" t="s">
        <v>81</v>
      </c>
      <c r="C54" s="13">
        <f>3.77*(10^9)</f>
        <v>3770000000</v>
      </c>
    </row>
  </sheetData>
  <mergeCells count="7">
    <mergeCell ref="B40:C40"/>
    <mergeCell ref="B6:H6"/>
    <mergeCell ref="B2:C2"/>
    <mergeCell ref="B11:H11"/>
    <mergeCell ref="B18:H18"/>
    <mergeCell ref="B25:H25"/>
    <mergeCell ref="B32:H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zoomScale="90" zoomScaleNormal="90" workbookViewId="0">
      <pane xSplit="1" topLeftCell="B1" activePane="topRight" state="frozen"/>
      <selection pane="topRight" activeCell="G15" sqref="G15"/>
    </sheetView>
  </sheetViews>
  <sheetFormatPr defaultRowHeight="15" x14ac:dyDescent="0.25"/>
  <cols>
    <col min="1" max="1" width="26.140625" bestFit="1" customWidth="1"/>
    <col min="2" max="7" width="17.42578125" bestFit="1" customWidth="1"/>
    <col min="8" max="12" width="16.140625" style="7" bestFit="1" customWidth="1"/>
  </cols>
  <sheetData>
    <row r="1" spans="1:12" s="44" customFormat="1" ht="21" x14ac:dyDescent="0.35">
      <c r="A1" s="43"/>
      <c r="B1" s="89" t="s">
        <v>13</v>
      </c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s="42" customFormat="1" ht="18.75" x14ac:dyDescent="0.3">
      <c r="A2" s="41"/>
      <c r="B2" s="90" t="s">
        <v>8</v>
      </c>
      <c r="C2" s="90"/>
      <c r="D2" s="90"/>
      <c r="E2" s="90"/>
      <c r="F2" s="90"/>
      <c r="G2" s="90"/>
      <c r="H2" s="90"/>
      <c r="I2" s="90"/>
      <c r="J2" s="90"/>
      <c r="K2" s="90"/>
      <c r="L2" s="90"/>
    </row>
    <row r="3" spans="1:12" s="47" customFormat="1" x14ac:dyDescent="0.25">
      <c r="A3" s="45"/>
      <c r="B3" s="46">
        <v>43101</v>
      </c>
      <c r="C3" s="46">
        <v>43466</v>
      </c>
      <c r="D3" s="46">
        <v>43831</v>
      </c>
      <c r="E3" s="46">
        <v>44197</v>
      </c>
      <c r="F3" s="46">
        <v>44562</v>
      </c>
      <c r="G3" s="46">
        <v>44927</v>
      </c>
      <c r="H3" s="46">
        <v>45292</v>
      </c>
      <c r="I3" s="46">
        <v>45658</v>
      </c>
      <c r="J3" s="46">
        <v>46023</v>
      </c>
      <c r="K3" s="46">
        <v>46388</v>
      </c>
      <c r="L3" s="46">
        <v>46753</v>
      </c>
    </row>
    <row r="4" spans="1:12" x14ac:dyDescent="0.25">
      <c r="A4" s="17" t="s">
        <v>1</v>
      </c>
      <c r="B4" s="13">
        <v>320059976</v>
      </c>
      <c r="C4" s="13">
        <v>34415412</v>
      </c>
      <c r="D4" s="13">
        <v>40020598</v>
      </c>
      <c r="E4" s="13">
        <v>49422352</v>
      </c>
      <c r="F4" s="13">
        <v>58411267</v>
      </c>
      <c r="G4" s="13">
        <v>60721492</v>
      </c>
      <c r="H4" s="18">
        <f>G4*(1+'Assumptions '!$C$3)</f>
        <v>66793641.200000003</v>
      </c>
      <c r="I4" s="18">
        <f>H4*(1+'Assumptions '!$C$3)</f>
        <v>73473005.320000008</v>
      </c>
      <c r="J4" s="18">
        <f>I4*(1+'Assumptions '!$C$3)</f>
        <v>80820305.852000013</v>
      </c>
      <c r="K4" s="18">
        <f>J4*(1+'Assumptions '!$C$3)</f>
        <v>88902336.437200025</v>
      </c>
      <c r="L4" s="18">
        <f>K4*(1+'Assumptions '!$C$3)</f>
        <v>97792570.080920041</v>
      </c>
    </row>
    <row r="5" spans="1:12" x14ac:dyDescent="0.25">
      <c r="A5" s="17" t="s">
        <v>0</v>
      </c>
      <c r="B5" s="13">
        <v>17365585</v>
      </c>
      <c r="C5" s="13">
        <v>20732856</v>
      </c>
      <c r="D5" s="13">
        <v>23777909</v>
      </c>
      <c r="E5" s="13">
        <v>22873769</v>
      </c>
      <c r="F5" s="13">
        <v>27539775</v>
      </c>
      <c r="G5" s="13">
        <v>33052705</v>
      </c>
      <c r="H5" s="18">
        <f>G5*(1+'Assumptions '!$C$4)</f>
        <v>34705340.25</v>
      </c>
      <c r="I5" s="18">
        <f>H5*(1+'Assumptions '!$C$4)</f>
        <v>36440607.262500003</v>
      </c>
      <c r="J5" s="18">
        <f>I5*(1+'Assumptions '!$C$4)</f>
        <v>38262637.625625007</v>
      </c>
      <c r="K5" s="18">
        <f>J5*(1+'Assumptions '!$C$4)</f>
        <v>40175769.506906256</v>
      </c>
      <c r="L5" s="18">
        <f>K5*(1+'Assumptions '!$C$4)</f>
        <v>42184557.98225157</v>
      </c>
    </row>
    <row r="6" spans="1:12" s="2" customFormat="1" x14ac:dyDescent="0.25">
      <c r="A6" s="39" t="s">
        <v>12</v>
      </c>
      <c r="B6" s="19">
        <f>SUM(B4,B5)</f>
        <v>337425561</v>
      </c>
      <c r="C6" s="19">
        <f t="shared" ref="C6:K6" si="0">SUM(C4,C5)</f>
        <v>55148268</v>
      </c>
      <c r="D6" s="19">
        <f t="shared" si="0"/>
        <v>63798507</v>
      </c>
      <c r="E6" s="19">
        <f t="shared" si="0"/>
        <v>72296121</v>
      </c>
      <c r="F6" s="19">
        <f t="shared" si="0"/>
        <v>85951042</v>
      </c>
      <c r="G6" s="19">
        <f t="shared" si="0"/>
        <v>93774197</v>
      </c>
      <c r="H6" s="19">
        <f t="shared" si="0"/>
        <v>101498981.45</v>
      </c>
      <c r="I6" s="19">
        <f t="shared" si="0"/>
        <v>109913612.58250001</v>
      </c>
      <c r="J6" s="19">
        <f t="shared" si="0"/>
        <v>119082943.47762501</v>
      </c>
      <c r="K6" s="19">
        <f t="shared" si="0"/>
        <v>129078105.94410628</v>
      </c>
      <c r="L6" s="19">
        <f>SUM(L4,L5)</f>
        <v>139977128.06317163</v>
      </c>
    </row>
    <row r="7" spans="1:12" s="1" customFormat="1" x14ac:dyDescent="0.25">
      <c r="A7" s="20"/>
      <c r="B7" s="21"/>
      <c r="C7" s="21"/>
      <c r="D7" s="21"/>
      <c r="E7" s="21"/>
      <c r="F7" s="21"/>
      <c r="G7" s="21"/>
      <c r="H7" s="18"/>
      <c r="I7" s="18"/>
      <c r="J7" s="18"/>
      <c r="K7" s="18"/>
      <c r="L7" s="18"/>
    </row>
    <row r="8" spans="1:12" x14ac:dyDescent="0.25">
      <c r="A8" s="11" t="s">
        <v>2</v>
      </c>
      <c r="B8" s="13">
        <v>24989219</v>
      </c>
      <c r="C8" s="13">
        <v>29174603</v>
      </c>
      <c r="D8" s="13">
        <v>9591164</v>
      </c>
      <c r="E8" s="13">
        <v>31253810</v>
      </c>
      <c r="F8" s="13">
        <v>43948987</v>
      </c>
      <c r="G8" s="13">
        <v>68579765</v>
      </c>
      <c r="H8" s="18">
        <f>H6*'Assumptions '!$C$9</f>
        <v>41079550.608474195</v>
      </c>
      <c r="I8" s="18">
        <f>I6*'Assumptions '!$C$9</f>
        <v>44485193.310706228</v>
      </c>
      <c r="J8" s="18">
        <f>J6*'Assumptions '!$C$9</f>
        <v>48196284.665230684</v>
      </c>
      <c r="K8" s="18">
        <f>K6*'Assumptions '!$C$9</f>
        <v>52241613.75638029</v>
      </c>
      <c r="L8" s="18">
        <f>L6*'Assumptions '!$C$9</f>
        <v>56652760.787876189</v>
      </c>
    </row>
    <row r="9" spans="1:12" x14ac:dyDescent="0.25">
      <c r="A9" s="72" t="s">
        <v>44</v>
      </c>
      <c r="B9" s="13">
        <v>24382342</v>
      </c>
      <c r="C9" s="13">
        <v>25973665</v>
      </c>
      <c r="D9" s="13">
        <v>14207343</v>
      </c>
      <c r="E9" s="13">
        <v>41042311</v>
      </c>
      <c r="F9" s="13">
        <v>42002055</v>
      </c>
      <c r="G9" s="13">
        <v>25194432</v>
      </c>
      <c r="H9" s="18">
        <f>H6-H8</f>
        <v>60419430.841525808</v>
      </c>
      <c r="I9" s="18">
        <f>I6-I8</f>
        <v>65428419.271793783</v>
      </c>
      <c r="J9" s="18">
        <f>J6-J8</f>
        <v>70886658.812394321</v>
      </c>
      <c r="K9" s="18">
        <f>K6-K8</f>
        <v>76836492.187725991</v>
      </c>
      <c r="L9" s="18">
        <f>L6-L8</f>
        <v>83324367.275295436</v>
      </c>
    </row>
    <row r="10" spans="1:12" x14ac:dyDescent="0.25">
      <c r="A10" s="11"/>
      <c r="B10" s="13"/>
      <c r="C10" s="13"/>
      <c r="D10" s="13"/>
      <c r="E10" s="13"/>
      <c r="F10" s="13"/>
      <c r="G10" s="13"/>
      <c r="H10" s="18"/>
      <c r="I10" s="18"/>
      <c r="J10" s="18"/>
      <c r="K10" s="18"/>
      <c r="L10" s="18"/>
    </row>
    <row r="11" spans="1:12" x14ac:dyDescent="0.25">
      <c r="A11" s="17" t="s">
        <v>9</v>
      </c>
      <c r="B11" s="13">
        <v>-6610661</v>
      </c>
      <c r="C11" s="13">
        <v>-8476145</v>
      </c>
      <c r="D11" s="13">
        <v>-7599106</v>
      </c>
      <c r="E11" s="13">
        <v>-8117434</v>
      </c>
      <c r="F11" s="13">
        <v>-8319090</v>
      </c>
      <c r="G11" s="13">
        <v>-6403551</v>
      </c>
      <c r="H11" s="18"/>
      <c r="I11" s="18"/>
      <c r="J11" s="18"/>
      <c r="K11" s="18"/>
      <c r="L11" s="18"/>
    </row>
    <row r="12" spans="1:12" x14ac:dyDescent="0.25">
      <c r="A12" s="17" t="s">
        <v>10</v>
      </c>
      <c r="B12" s="13">
        <v>-968791</v>
      </c>
      <c r="C12" s="13">
        <v>-1246224</v>
      </c>
      <c r="D12" s="13">
        <v>7395831</v>
      </c>
      <c r="E12" s="13">
        <v>-740056</v>
      </c>
      <c r="F12" s="13">
        <v>-289142</v>
      </c>
      <c r="G12" s="13">
        <v>7875863</v>
      </c>
      <c r="H12" s="18"/>
      <c r="I12" s="18"/>
      <c r="J12" s="18"/>
      <c r="K12" s="18"/>
      <c r="L12" s="18"/>
    </row>
    <row r="13" spans="1:12" s="38" customFormat="1" ht="15.75" x14ac:dyDescent="0.25">
      <c r="A13" s="79" t="s">
        <v>11</v>
      </c>
      <c r="B13" s="40">
        <f>SUM(B11:B12)</f>
        <v>-7579452</v>
      </c>
      <c r="C13" s="40">
        <f>SUM(C11:C12)</f>
        <v>-9722369</v>
      </c>
      <c r="D13" s="40">
        <f t="shared" ref="D13:G13" si="1">SUM(D11:D12)</f>
        <v>-203275</v>
      </c>
      <c r="E13" s="40">
        <f t="shared" si="1"/>
        <v>-8857490</v>
      </c>
      <c r="F13" s="40">
        <f t="shared" si="1"/>
        <v>-8608232</v>
      </c>
      <c r="G13" s="40">
        <f t="shared" si="1"/>
        <v>1472312</v>
      </c>
      <c r="H13" s="40">
        <f>H9*'Assumptions '!$C$16*-1</f>
        <v>-11869214.816008007</v>
      </c>
      <c r="I13" s="40">
        <f>I9*'Assumptions '!$C$16*-1</f>
        <v>-12853215.473771369</v>
      </c>
      <c r="J13" s="40">
        <f>J9*'Assumptions '!$C$16*-1</f>
        <v>-13925470.156119194</v>
      </c>
      <c r="K13" s="40">
        <f>K9*'Assumptions '!$C$16*-1</f>
        <v>-15094296.963450341</v>
      </c>
      <c r="L13" s="40">
        <f>L9*'Assumptions '!$C$16*-1</f>
        <v>-16368820.441100562</v>
      </c>
    </row>
    <row r="14" spans="1:12" x14ac:dyDescent="0.25">
      <c r="A14" s="9"/>
      <c r="B14" s="13"/>
      <c r="C14" s="13"/>
      <c r="D14" s="13"/>
      <c r="E14" s="13"/>
      <c r="F14" s="13"/>
      <c r="G14" s="13"/>
      <c r="H14" s="18"/>
      <c r="I14" s="18"/>
      <c r="J14" s="18"/>
      <c r="K14" s="18"/>
      <c r="L14" s="18"/>
    </row>
    <row r="15" spans="1:12" x14ac:dyDescent="0.25">
      <c r="A15" s="11"/>
      <c r="B15" s="13"/>
      <c r="C15" s="13"/>
      <c r="D15" s="13"/>
      <c r="E15" s="13"/>
      <c r="F15" s="13"/>
      <c r="G15" s="13"/>
      <c r="H15" s="18"/>
      <c r="I15" s="18"/>
      <c r="J15" s="18"/>
      <c r="K15" s="18"/>
      <c r="L15" s="18"/>
    </row>
    <row r="16" spans="1:12" x14ac:dyDescent="0.25">
      <c r="A16" s="11" t="s">
        <v>3</v>
      </c>
      <c r="B16" s="13">
        <v>1668120</v>
      </c>
      <c r="C16" s="13">
        <v>3969783</v>
      </c>
      <c r="D16" s="13">
        <v>23357937</v>
      </c>
      <c r="E16" s="13">
        <v>2359783</v>
      </c>
      <c r="F16" s="13">
        <v>7836716</v>
      </c>
      <c r="G16" s="13">
        <v>22981852</v>
      </c>
      <c r="H16" s="18">
        <f>H17*'Assumptions '!$C$23</f>
        <v>14790693.637743639</v>
      </c>
      <c r="I16" s="18">
        <f>I17*'Assumptions '!$C$23</f>
        <v>17002266.963981938</v>
      </c>
      <c r="J16" s="18">
        <f>J17*'Assumptions '!$C$23</f>
        <v>19544525.023277476</v>
      </c>
      <c r="K16" s="18">
        <f>K17*'Assumptions '!$C$23</f>
        <v>22466913.335423693</v>
      </c>
      <c r="L16" s="18">
        <f>L17*'Assumptions '!$C$23</f>
        <v>25826270.744378213</v>
      </c>
    </row>
    <row r="17" spans="1:12" x14ac:dyDescent="0.25">
      <c r="A17" s="11" t="s">
        <v>5</v>
      </c>
      <c r="B17" s="13">
        <v>223565307</v>
      </c>
      <c r="C17" s="13">
        <v>276863043</v>
      </c>
      <c r="D17" s="13">
        <v>313065151</v>
      </c>
      <c r="E17" s="13">
        <v>381742909</v>
      </c>
      <c r="F17" s="13">
        <v>429821383</v>
      </c>
      <c r="G17" s="13">
        <v>448741110</v>
      </c>
      <c r="H17" s="18">
        <f>G17*(1+'Assumptions '!$C$19)</f>
        <v>515838968.52977502</v>
      </c>
      <c r="I17" s="18">
        <f>H17*(1+'Assumptions '!$C$19)</f>
        <v>592969611.03889549</v>
      </c>
      <c r="J17" s="18">
        <f>I17*(1+'Assumptions '!$C$19)</f>
        <v>681633186.065359</v>
      </c>
      <c r="K17" s="18">
        <f>J17*(1+'Assumptions '!$C$19)</f>
        <v>783554151.33598745</v>
      </c>
      <c r="L17" s="18">
        <f>K17*(1+'Assumptions '!$C$19)</f>
        <v>900714813.51993585</v>
      </c>
    </row>
    <row r="18" spans="1:12" x14ac:dyDescent="0.25">
      <c r="A18" s="11" t="s">
        <v>4</v>
      </c>
      <c r="B18" s="13">
        <v>341622656</v>
      </c>
      <c r="C18" s="13">
        <v>380603583</v>
      </c>
      <c r="D18" s="13">
        <v>496748100</v>
      </c>
      <c r="E18" s="13">
        <v>469671798</v>
      </c>
      <c r="F18" s="13">
        <v>517217504</v>
      </c>
      <c r="G18" s="13">
        <v>609677691</v>
      </c>
      <c r="H18" s="18"/>
      <c r="I18" s="18"/>
      <c r="J18" s="18"/>
      <c r="K18" s="18"/>
      <c r="L18" s="18"/>
    </row>
    <row r="19" spans="1:12" x14ac:dyDescent="0.25">
      <c r="A19" s="11"/>
      <c r="B19" s="13"/>
      <c r="C19" s="13"/>
      <c r="D19" s="13"/>
      <c r="E19" s="13"/>
      <c r="F19" s="13"/>
      <c r="G19" s="13"/>
      <c r="H19" s="18"/>
      <c r="I19" s="18"/>
      <c r="J19" s="18"/>
      <c r="K19" s="18"/>
      <c r="L19" s="18"/>
    </row>
    <row r="20" spans="1:12" s="5" customFormat="1" ht="15.75" x14ac:dyDescent="0.25">
      <c r="A20" s="75" t="s">
        <v>68</v>
      </c>
      <c r="B20" s="22"/>
      <c r="C20" s="22"/>
      <c r="D20" s="22"/>
      <c r="E20" s="22"/>
      <c r="F20" s="22"/>
      <c r="G20" s="22"/>
      <c r="H20" s="22">
        <f>H6-H8-H16-(ABS(H13))</f>
        <v>33759522.387774162</v>
      </c>
      <c r="I20" s="22">
        <f t="shared" ref="I20:L20" si="2">I6-I8-I16-(ABS(I13))</f>
        <v>35572936.83404047</v>
      </c>
      <c r="J20" s="22">
        <f t="shared" si="2"/>
        <v>37416663.632997647</v>
      </c>
      <c r="K20" s="22">
        <f t="shared" si="2"/>
        <v>39275281.888851956</v>
      </c>
      <c r="L20" s="22">
        <f t="shared" si="2"/>
        <v>41129276.089816667</v>
      </c>
    </row>
    <row r="21" spans="1:12" x14ac:dyDescent="0.25">
      <c r="A21" s="11"/>
      <c r="B21" s="13"/>
      <c r="C21" s="13"/>
      <c r="D21" s="13"/>
      <c r="E21" s="13"/>
      <c r="F21" s="13"/>
      <c r="G21" s="13"/>
      <c r="H21" s="18"/>
      <c r="I21" s="18"/>
      <c r="J21" s="18"/>
      <c r="K21" s="18"/>
      <c r="L21" s="18"/>
    </row>
    <row r="22" spans="1:12" x14ac:dyDescent="0.25">
      <c r="A22" s="11" t="s">
        <v>7</v>
      </c>
      <c r="B22" s="23">
        <v>60586569</v>
      </c>
      <c r="C22" s="23">
        <v>69914370</v>
      </c>
      <c r="D22" s="23">
        <v>86697420</v>
      </c>
      <c r="E22" s="23">
        <v>106399621</v>
      </c>
      <c r="F22" s="23">
        <v>97527391</v>
      </c>
      <c r="G22" s="23">
        <v>100766641</v>
      </c>
      <c r="H22" s="18">
        <f>G22*(1+'EQUITY &amp; DEBT'!$B$9)</f>
        <v>111559065.17075372</v>
      </c>
      <c r="I22" s="18">
        <f>H22*(1+'EQUITY &amp; DEBT'!$B$9)</f>
        <v>123507391.91328682</v>
      </c>
      <c r="J22" s="18">
        <f>I22*(1+'EQUITY &amp; DEBT'!$B$9)</f>
        <v>136735422.02844873</v>
      </c>
      <c r="K22" s="18">
        <f>J22*(1+'EQUITY &amp; DEBT'!$B$9)</f>
        <v>151380215.77222392</v>
      </c>
      <c r="L22" s="18">
        <f>K22*(1+'EQUITY &amp; DEBT'!$B$9)</f>
        <v>167593512.98507896</v>
      </c>
    </row>
    <row r="23" spans="1:12" x14ac:dyDescent="0.25">
      <c r="A23" s="11" t="s">
        <v>6</v>
      </c>
      <c r="B23" s="13">
        <v>30108513</v>
      </c>
      <c r="C23" s="13">
        <v>41542934</v>
      </c>
      <c r="D23" s="13">
        <v>64279082</v>
      </c>
      <c r="E23" s="13">
        <v>95333081</v>
      </c>
      <c r="F23" s="13">
        <v>88174860</v>
      </c>
      <c r="G23" s="13">
        <v>95249694</v>
      </c>
      <c r="H23" s="18">
        <f>H22*'EQUITY &amp; DEBT'!$B$19</f>
        <v>74714177.043478027</v>
      </c>
      <c r="I23" s="18">
        <f>I22*'EQUITY &amp; DEBT'!$B$19</f>
        <v>82716300.387273967</v>
      </c>
      <c r="J23" s="18">
        <f>J22*'EQUITY &amp; DEBT'!$B$19</f>
        <v>91575476.308548748</v>
      </c>
      <c r="K23" s="18">
        <f>K22*'EQUITY &amp; DEBT'!$B$19</f>
        <v>101383497.8338536</v>
      </c>
      <c r="L23" s="18">
        <f>L22*'EQUITY &amp; DEBT'!$B$19</f>
        <v>112241989.31158024</v>
      </c>
    </row>
    <row r="24" spans="1:12" x14ac:dyDescent="0.25">
      <c r="A24" s="11" t="s">
        <v>66</v>
      </c>
      <c r="B24" s="13">
        <v>-9386394</v>
      </c>
      <c r="C24" s="13">
        <v>11434421</v>
      </c>
      <c r="D24" s="13">
        <v>22736148</v>
      </c>
      <c r="E24" s="13">
        <v>31053999</v>
      </c>
      <c r="F24" s="13">
        <v>-7158221</v>
      </c>
      <c r="G24" s="13">
        <v>7074834</v>
      </c>
      <c r="H24" s="24">
        <f>H23-G23</f>
        <v>-20535516.956521973</v>
      </c>
      <c r="I24" s="24">
        <f t="shared" ref="I24:L24" si="3">I23-H23</f>
        <v>8002123.3437959403</v>
      </c>
      <c r="J24" s="24">
        <f t="shared" si="3"/>
        <v>8859175.9212747812</v>
      </c>
      <c r="K24" s="24">
        <f t="shared" si="3"/>
        <v>9808021.5253048539</v>
      </c>
      <c r="L24" s="24">
        <f t="shared" si="3"/>
        <v>10858491.477726638</v>
      </c>
    </row>
    <row r="25" spans="1:12" x14ac:dyDescent="0.25">
      <c r="A25" s="11"/>
      <c r="B25" s="23"/>
      <c r="C25" s="23"/>
      <c r="D25" s="23"/>
      <c r="E25" s="23"/>
      <c r="F25" s="23"/>
      <c r="G25" s="23"/>
      <c r="H25" s="18"/>
      <c r="I25" s="18"/>
      <c r="J25" s="18"/>
      <c r="K25" s="18"/>
      <c r="L25" s="18"/>
    </row>
    <row r="26" spans="1:12" x14ac:dyDescent="0.25">
      <c r="A26" s="11"/>
      <c r="B26" s="13"/>
      <c r="C26" s="13"/>
      <c r="D26" s="13"/>
      <c r="E26" s="13"/>
      <c r="F26" s="13"/>
      <c r="G26" s="13"/>
      <c r="H26" s="18"/>
      <c r="I26" s="18"/>
      <c r="J26" s="18"/>
      <c r="K26" s="18"/>
      <c r="L26" s="18"/>
    </row>
    <row r="27" spans="1:12" ht="30" x14ac:dyDescent="0.25">
      <c r="A27" s="11" t="s">
        <v>36</v>
      </c>
      <c r="B27" s="13">
        <f>'Working capital'!C22</f>
        <v>42947973</v>
      </c>
      <c r="C27" s="13">
        <f>'Working capital'!D22</f>
        <v>-26542214</v>
      </c>
      <c r="D27" s="13">
        <f>'Working capital'!E22</f>
        <v>16793570</v>
      </c>
      <c r="E27" s="13">
        <f>'Working capital'!F22</f>
        <v>96010857</v>
      </c>
      <c r="F27" s="13">
        <f>'Working capital'!G22</f>
        <v>11971211</v>
      </c>
      <c r="G27" s="13">
        <f>'Working capital'!H22</f>
        <v>53503266</v>
      </c>
      <c r="H27" s="13">
        <f>'Working capital'!I22</f>
        <v>-77431237.819398075</v>
      </c>
      <c r="I27" s="13">
        <f>'Working capital'!J22</f>
        <v>12608447.920265377</v>
      </c>
      <c r="J27" s="13">
        <f>'Working capital'!K22</f>
        <v>13739286.872402132</v>
      </c>
      <c r="K27" s="13">
        <f>'Working capital'!L22</f>
        <v>14976709.427758157</v>
      </c>
      <c r="L27" s="13">
        <f>'Working capital'!M22</f>
        <v>16331048.932055563</v>
      </c>
    </row>
    <row r="28" spans="1:12" ht="15.75" x14ac:dyDescent="0.25">
      <c r="A28" s="80" t="s">
        <v>15</v>
      </c>
      <c r="B28" s="13">
        <f>CAPEX!C6</f>
        <v>2901428</v>
      </c>
      <c r="C28" s="13">
        <f>CAPEX!D6</f>
        <v>2413813</v>
      </c>
      <c r="D28" s="13">
        <f>CAPEX!E6</f>
        <v>3288170</v>
      </c>
      <c r="E28" s="13">
        <f>CAPEX!F6</f>
        <v>3573056</v>
      </c>
      <c r="F28" s="13">
        <f>CAPEX!G6</f>
        <v>1166369</v>
      </c>
      <c r="G28" s="13">
        <f>CAPEX!H6</f>
        <v>1397217</v>
      </c>
      <c r="H28" s="18">
        <f>H6*'Assumptions '!$C$30</f>
        <v>3075429.7640557294</v>
      </c>
      <c r="I28" s="18">
        <f>I6*'Assumptions '!$C$30</f>
        <v>3330393.9683141606</v>
      </c>
      <c r="J28" s="18">
        <f>J6*'Assumptions '!$C$30</f>
        <v>3608225.6543910773</v>
      </c>
      <c r="K28" s="18">
        <f>K6*'Assumptions '!$C$30</f>
        <v>3911080.1235379609</v>
      </c>
      <c r="L28" s="18">
        <f>L6*'Assumptions '!$C$30</f>
        <v>4241321.6347849229</v>
      </c>
    </row>
    <row r="29" spans="1:12" x14ac:dyDescent="0.25">
      <c r="A29" s="9"/>
      <c r="B29" s="9"/>
      <c r="C29" s="9"/>
      <c r="D29" s="9"/>
      <c r="E29" s="9"/>
      <c r="F29" s="9"/>
      <c r="G29" s="9"/>
      <c r="H29" s="25"/>
      <c r="I29" s="25"/>
      <c r="J29" s="25"/>
      <c r="K29" s="25"/>
      <c r="L29" s="25"/>
    </row>
    <row r="30" spans="1:12" s="8" customFormat="1" ht="30" x14ac:dyDescent="0.25">
      <c r="A30" s="76" t="s">
        <v>69</v>
      </c>
      <c r="B30" s="26"/>
      <c r="C30" s="26"/>
      <c r="D30" s="26"/>
      <c r="E30" s="26"/>
      <c r="F30" s="26"/>
      <c r="G30" s="26"/>
      <c r="H30" s="27">
        <f>H20-H28-(ABS(H27))+H24</f>
        <v>-67282662.152201623</v>
      </c>
      <c r="I30" s="27">
        <f t="shared" ref="I30:L30" si="4">I20-I28-(ABS(I27))+I24</f>
        <v>27636218.289256874</v>
      </c>
      <c r="J30" s="27">
        <f t="shared" si="4"/>
        <v>28928327.027479216</v>
      </c>
      <c r="K30" s="27">
        <f t="shared" si="4"/>
        <v>30195513.862860695</v>
      </c>
      <c r="L30" s="27">
        <f t="shared" si="4"/>
        <v>31415397.000702821</v>
      </c>
    </row>
    <row r="31" spans="1:12" s="2" customFormat="1" x14ac:dyDescent="0.25">
      <c r="A31" s="39" t="s">
        <v>80</v>
      </c>
      <c r="B31" s="28"/>
      <c r="C31" s="28"/>
      <c r="D31" s="28"/>
      <c r="E31" s="28"/>
      <c r="F31" s="28"/>
      <c r="G31" s="28"/>
      <c r="H31" s="29">
        <f>H30/(1+'Assumptions '!$C$44)^'Assumptions '!C52</f>
        <v>-54857449.777579799</v>
      </c>
      <c r="I31" s="29">
        <f>I30/(1+'Assumptions '!$C$44)^'Assumptions '!D52</f>
        <v>18371453.136666436</v>
      </c>
      <c r="J31" s="29">
        <f>J30/(1+'Assumptions '!$C$44)^'Assumptions '!E52</f>
        <v>15679083.059647888</v>
      </c>
      <c r="K31" s="29">
        <f>K30/(1+'Assumptions '!$C$44)^'Assumptions '!F52</f>
        <v>13343575.417716833</v>
      </c>
      <c r="L31" s="29">
        <f>L30/(1+'Assumptions '!$C$44)^'Assumptions '!G52</f>
        <v>11318914.76644329</v>
      </c>
    </row>
    <row r="32" spans="1:12" x14ac:dyDescent="0.25">
      <c r="A32" s="9"/>
      <c r="B32" s="9"/>
      <c r="C32" s="9"/>
      <c r="D32" s="9"/>
      <c r="E32" s="9"/>
      <c r="F32" s="9"/>
      <c r="G32" s="9"/>
      <c r="H32" s="25"/>
      <c r="I32" s="25"/>
      <c r="J32" s="25"/>
      <c r="K32" s="25"/>
      <c r="L32" s="25"/>
    </row>
    <row r="33" spans="1:14" s="5" customFormat="1" ht="15.75" x14ac:dyDescent="0.25">
      <c r="A33" s="75" t="s">
        <v>79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22">
        <f>(L30*(1+'Assumptions '!$C$50))/('Assumptions '!$C$44-'Assumptions '!$C$50)</f>
        <v>186890463.74355787</v>
      </c>
    </row>
    <row r="35" spans="1:14" x14ac:dyDescent="0.25">
      <c r="M35" s="7"/>
      <c r="N35" s="7"/>
    </row>
    <row r="36" spans="1:14" s="5" customFormat="1" ht="15.75" x14ac:dyDescent="0.25">
      <c r="A36" s="66" t="s">
        <v>76</v>
      </c>
      <c r="B36" s="31"/>
      <c r="C36" s="31"/>
      <c r="D36" s="30"/>
      <c r="E36" s="30"/>
      <c r="F36" s="30"/>
      <c r="G36" s="30"/>
      <c r="H36" s="22">
        <f>(H30/(1+'Assumptions '!C44)^'Assumptions '!C52)+(L33/(1+'Assumptions '!C44)^'Assumptions '!C51)</f>
        <v>12478870.362734392</v>
      </c>
      <c r="I36" s="22">
        <f>(I30/(1+'Assumptions '!D44)^'Assumptions '!D52)+(M33/(1+'Assumptions '!D44)^'Assumptions '!D51)</f>
        <v>27636218.289256874</v>
      </c>
      <c r="J36" s="22">
        <f>(J30/(1+'Assumptions '!E44)^'Assumptions '!E52)+(N33/(1+'Assumptions '!E44)^'Assumptions '!E51)</f>
        <v>28928327.027479216</v>
      </c>
      <c r="K36" s="22">
        <f>(K30/(1+'Assumptions '!F44)^'Assumptions '!F52)+(O33/(1+'Assumptions '!F44)^'Assumptions '!F51)</f>
        <v>30195513.862860695</v>
      </c>
      <c r="L36" s="22">
        <f>(L30/(1+'Assumptions '!G44)^'Assumptions '!G52)+(P33/(1+'Assumptions '!G44)^'Assumptions '!G51)</f>
        <v>31415397.000702821</v>
      </c>
    </row>
    <row r="37" spans="1:14" x14ac:dyDescent="0.25">
      <c r="A37" s="9"/>
      <c r="B37" s="9"/>
      <c r="C37" s="9"/>
      <c r="D37" s="9"/>
      <c r="E37" s="9"/>
      <c r="F37" s="9"/>
      <c r="G37" s="9"/>
      <c r="H37" s="25"/>
      <c r="I37" s="25"/>
      <c r="J37" s="25"/>
      <c r="K37" s="25"/>
      <c r="L37" s="25"/>
    </row>
    <row r="38" spans="1:14" s="34" customFormat="1" ht="15.75" x14ac:dyDescent="0.25">
      <c r="A38" s="77" t="s">
        <v>84</v>
      </c>
      <c r="B38" s="32"/>
      <c r="C38" s="32"/>
      <c r="D38" s="32"/>
      <c r="E38" s="32"/>
      <c r="F38" s="32"/>
      <c r="G38" s="32"/>
      <c r="H38" s="32"/>
      <c r="I38" s="33"/>
      <c r="J38" s="33"/>
      <c r="K38" s="33"/>
      <c r="L38" s="33">
        <f>SUM(H31:L31)+L33</f>
        <v>190746040.3464525</v>
      </c>
    </row>
    <row r="39" spans="1:14" s="36" customFormat="1" ht="18.75" x14ac:dyDescent="0.3">
      <c r="A39" s="78" t="s">
        <v>82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100">
        <f>(L38*(10^3)/'Assumptions '!C54)</f>
        <v>50.595766670146553</v>
      </c>
    </row>
  </sheetData>
  <mergeCells count="2">
    <mergeCell ref="B1:L1"/>
    <mergeCell ref="B2:L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7" workbookViewId="0">
      <selection activeCell="J5" sqref="J5"/>
    </sheetView>
  </sheetViews>
  <sheetFormatPr defaultRowHeight="15" x14ac:dyDescent="0.25"/>
  <cols>
    <col min="1" max="1" width="14.7109375" customWidth="1"/>
    <col min="2" max="4" width="10.140625" bestFit="1" customWidth="1"/>
    <col min="5" max="5" width="11.140625" bestFit="1" customWidth="1"/>
    <col min="6" max="7" width="10.85546875" bestFit="1" customWidth="1"/>
    <col min="8" max="8" width="10.140625" bestFit="1" customWidth="1"/>
  </cols>
  <sheetData>
    <row r="1" spans="1:9" ht="15.75" x14ac:dyDescent="0.25">
      <c r="A1" s="97" t="s">
        <v>7</v>
      </c>
      <c r="B1" s="97"/>
      <c r="C1" s="97"/>
      <c r="D1" s="97"/>
      <c r="E1" s="97"/>
      <c r="F1" s="97"/>
      <c r="G1" s="97"/>
    </row>
    <row r="2" spans="1:9" x14ac:dyDescent="0.25">
      <c r="A2" s="9"/>
      <c r="B2" s="56">
        <v>2018</v>
      </c>
      <c r="C2" s="56">
        <v>2019</v>
      </c>
      <c r="D2" s="56">
        <v>2020</v>
      </c>
      <c r="E2" s="56">
        <v>2021</v>
      </c>
      <c r="F2" s="56">
        <v>2022</v>
      </c>
      <c r="G2" s="56">
        <v>2023</v>
      </c>
    </row>
    <row r="3" spans="1:9" ht="30" x14ac:dyDescent="0.25">
      <c r="A3" s="11" t="s">
        <v>59</v>
      </c>
      <c r="B3" s="48">
        <v>30000000</v>
      </c>
      <c r="C3" s="48">
        <v>30000000</v>
      </c>
      <c r="D3" s="48">
        <v>30000000</v>
      </c>
      <c r="E3" s="48">
        <v>30000000</v>
      </c>
      <c r="F3" s="48">
        <v>30000000</v>
      </c>
      <c r="G3" s="48">
        <v>30000000</v>
      </c>
    </row>
    <row r="4" spans="1:9" ht="30" x14ac:dyDescent="0.25">
      <c r="A4" s="11" t="s">
        <v>60</v>
      </c>
      <c r="B4" s="48">
        <v>9964132</v>
      </c>
      <c r="C4" s="48">
        <v>9964132</v>
      </c>
      <c r="D4" s="48">
        <v>9964132</v>
      </c>
      <c r="E4" s="48">
        <v>9964132</v>
      </c>
      <c r="F4" s="48">
        <v>9964132</v>
      </c>
      <c r="G4" s="48">
        <v>9964132</v>
      </c>
      <c r="I4" s="9"/>
    </row>
    <row r="5" spans="1:9" ht="30" x14ac:dyDescent="0.25">
      <c r="A5" s="11" t="s">
        <v>61</v>
      </c>
      <c r="B5" s="48">
        <v>-203144</v>
      </c>
      <c r="C5" s="48">
        <v>2380913</v>
      </c>
      <c r="D5" s="48">
        <v>5160545</v>
      </c>
      <c r="E5" s="48">
        <v>-322075</v>
      </c>
      <c r="F5" s="48">
        <v>-24588128</v>
      </c>
      <c r="G5" s="48">
        <v>-33515624</v>
      </c>
    </row>
    <row r="6" spans="1:9" ht="30" x14ac:dyDescent="0.25">
      <c r="A6" s="11" t="s">
        <v>62</v>
      </c>
      <c r="B6" s="48">
        <v>20825581</v>
      </c>
      <c r="C6" s="48">
        <v>27569325</v>
      </c>
      <c r="D6" s="48">
        <v>41572743</v>
      </c>
      <c r="E6" s="48">
        <v>66757564</v>
      </c>
      <c r="F6" s="48">
        <v>82151387</v>
      </c>
      <c r="G6" s="48">
        <v>94318133</v>
      </c>
    </row>
    <row r="7" spans="1:9" s="2" customFormat="1" x14ac:dyDescent="0.25">
      <c r="A7" s="53" t="s">
        <v>63</v>
      </c>
      <c r="B7" s="49">
        <f>SUM(B3:B6)</f>
        <v>60586569</v>
      </c>
      <c r="C7" s="49">
        <f t="shared" ref="C7:G7" si="0">SUM(C3:C6)</f>
        <v>69914370</v>
      </c>
      <c r="D7" s="49">
        <f t="shared" si="0"/>
        <v>86697420</v>
      </c>
      <c r="E7" s="49">
        <f t="shared" si="0"/>
        <v>106399621</v>
      </c>
      <c r="F7" s="49">
        <f t="shared" si="0"/>
        <v>97527391</v>
      </c>
      <c r="G7" s="49">
        <f t="shared" si="0"/>
        <v>100766641</v>
      </c>
    </row>
    <row r="8" spans="1:9" x14ac:dyDescent="0.25">
      <c r="A8" s="52"/>
      <c r="B8" s="50"/>
      <c r="C8" s="50"/>
      <c r="D8" s="50"/>
      <c r="E8" s="50"/>
      <c r="F8" s="50"/>
      <c r="G8" s="50"/>
    </row>
    <row r="9" spans="1:9" x14ac:dyDescent="0.25">
      <c r="A9" s="57" t="s">
        <v>64</v>
      </c>
      <c r="B9" s="13">
        <f>((G7/B7)^(1/5))-1</f>
        <v>0.10710314508502594</v>
      </c>
      <c r="C9" s="50"/>
      <c r="D9" s="50"/>
      <c r="E9" s="50"/>
      <c r="F9" s="50"/>
      <c r="G9" s="50"/>
    </row>
    <row r="10" spans="1:9" x14ac:dyDescent="0.25">
      <c r="A10" s="50"/>
      <c r="B10" s="50"/>
      <c r="C10" s="50"/>
      <c r="D10" s="50"/>
      <c r="E10" s="50"/>
      <c r="F10" s="50"/>
      <c r="G10" s="50"/>
    </row>
    <row r="11" spans="1:9" x14ac:dyDescent="0.25">
      <c r="A11" s="91" t="s">
        <v>6</v>
      </c>
      <c r="B11" s="92"/>
      <c r="C11" s="92"/>
      <c r="D11" s="92"/>
      <c r="E11" s="92"/>
      <c r="F11" s="92"/>
      <c r="G11" s="92"/>
      <c r="H11" s="93"/>
    </row>
    <row r="12" spans="1:9" x14ac:dyDescent="0.25">
      <c r="A12" s="9"/>
      <c r="B12" s="56">
        <v>2017</v>
      </c>
      <c r="C12" s="56">
        <v>2018</v>
      </c>
      <c r="D12" s="56">
        <v>2019</v>
      </c>
      <c r="E12" s="56">
        <v>2020</v>
      </c>
      <c r="F12" s="56">
        <v>2021</v>
      </c>
      <c r="G12" s="56">
        <v>2022</v>
      </c>
      <c r="H12" s="56">
        <v>2023</v>
      </c>
    </row>
    <row r="13" spans="1:9" ht="30" x14ac:dyDescent="0.25">
      <c r="A13" s="11" t="s">
        <v>65</v>
      </c>
      <c r="B13" s="48">
        <v>39494907</v>
      </c>
      <c r="C13" s="48">
        <v>30108513</v>
      </c>
      <c r="D13" s="48">
        <v>41542934</v>
      </c>
      <c r="E13" s="48">
        <v>64279082</v>
      </c>
      <c r="F13" s="48">
        <v>95333081</v>
      </c>
      <c r="G13" s="48">
        <v>88174860</v>
      </c>
      <c r="H13" s="48">
        <v>95249694</v>
      </c>
    </row>
    <row r="14" spans="1:9" ht="30" x14ac:dyDescent="0.25">
      <c r="A14" s="11" t="s">
        <v>66</v>
      </c>
      <c r="B14" s="9"/>
      <c r="C14" s="48">
        <f>C13-B13</f>
        <v>-9386394</v>
      </c>
      <c r="D14" s="48">
        <f t="shared" ref="D14:H14" si="1">D13-C13</f>
        <v>11434421</v>
      </c>
      <c r="E14" s="48">
        <f t="shared" si="1"/>
        <v>22736148</v>
      </c>
      <c r="F14" s="48">
        <f t="shared" si="1"/>
        <v>31053999</v>
      </c>
      <c r="G14" s="48">
        <f t="shared" si="1"/>
        <v>-7158221</v>
      </c>
      <c r="H14" s="48">
        <f t="shared" si="1"/>
        <v>7074834</v>
      </c>
    </row>
    <row r="15" spans="1:9" x14ac:dyDescent="0.25">
      <c r="A15" s="50"/>
      <c r="B15" s="50"/>
      <c r="C15" s="50"/>
      <c r="D15" s="50"/>
      <c r="E15" s="50"/>
      <c r="F15" s="50"/>
      <c r="G15" s="50"/>
      <c r="H15" s="50"/>
    </row>
    <row r="16" spans="1:9" ht="15" customHeight="1" x14ac:dyDescent="0.25">
      <c r="A16" s="94" t="s">
        <v>67</v>
      </c>
      <c r="B16" s="95"/>
      <c r="C16" s="95"/>
      <c r="D16" s="95"/>
      <c r="E16" s="95"/>
      <c r="F16" s="95"/>
      <c r="G16" s="96"/>
      <c r="H16" s="55"/>
    </row>
    <row r="17" spans="1:8" x14ac:dyDescent="0.25">
      <c r="A17" s="9"/>
      <c r="B17" s="56">
        <v>2018</v>
      </c>
      <c r="C17" s="56">
        <v>2019</v>
      </c>
      <c r="D17" s="56">
        <v>2020</v>
      </c>
      <c r="E17" s="56">
        <v>2021</v>
      </c>
      <c r="F17" s="58">
        <v>2022</v>
      </c>
      <c r="G17" s="56">
        <v>2023</v>
      </c>
      <c r="H17" s="50"/>
    </row>
    <row r="18" spans="1:8" x14ac:dyDescent="0.25">
      <c r="A18" s="9"/>
      <c r="B18" s="9">
        <f>B13/B7</f>
        <v>0.65187561619473777</v>
      </c>
      <c r="C18" s="9">
        <f t="shared" ref="C18:G18" si="2">C13/C7</f>
        <v>0.43064842034620349</v>
      </c>
      <c r="D18" s="9">
        <f t="shared" si="2"/>
        <v>0.4791715139850759</v>
      </c>
      <c r="E18" s="9">
        <f t="shared" si="2"/>
        <v>0.60412886245149311</v>
      </c>
      <c r="F18" s="54">
        <f t="shared" si="2"/>
        <v>0.97750057724808814</v>
      </c>
      <c r="G18" s="9">
        <f t="shared" si="2"/>
        <v>0.87504018318919652</v>
      </c>
      <c r="H18" s="50"/>
    </row>
    <row r="19" spans="1:8" x14ac:dyDescent="0.25">
      <c r="A19" s="9" t="s">
        <v>53</v>
      </c>
      <c r="B19" s="51">
        <f>AVERAGE(B18:G18)</f>
        <v>0.66972752890246579</v>
      </c>
    </row>
  </sheetData>
  <mergeCells count="3">
    <mergeCell ref="A11:H11"/>
    <mergeCell ref="A16:G16"/>
    <mergeCell ref="A1:G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11" sqref="G11"/>
    </sheetView>
  </sheetViews>
  <sheetFormatPr defaultRowHeight="15" x14ac:dyDescent="0.25"/>
  <cols>
    <col min="1" max="1" width="22.5703125" bestFit="1" customWidth="1"/>
    <col min="2" max="6" width="13.28515625" bestFit="1" customWidth="1"/>
    <col min="7" max="7" width="14" bestFit="1" customWidth="1"/>
    <col min="8" max="8" width="13.28515625" bestFit="1" customWidth="1"/>
  </cols>
  <sheetData>
    <row r="1" spans="1:8" ht="18.75" x14ac:dyDescent="0.3">
      <c r="A1" s="9"/>
      <c r="B1" s="98" t="s">
        <v>19</v>
      </c>
      <c r="C1" s="98"/>
      <c r="D1" s="98"/>
      <c r="E1" s="98"/>
      <c r="F1" s="98"/>
      <c r="G1" s="98"/>
      <c r="H1" s="98"/>
    </row>
    <row r="2" spans="1:8" s="2" customFormat="1" x14ac:dyDescent="0.25">
      <c r="A2" s="28"/>
      <c r="B2" s="61">
        <v>2017</v>
      </c>
      <c r="C2" s="61">
        <v>2018</v>
      </c>
      <c r="D2" s="61">
        <v>2019</v>
      </c>
      <c r="E2" s="61">
        <v>2020</v>
      </c>
      <c r="F2" s="61">
        <v>2021</v>
      </c>
      <c r="G2" s="61">
        <v>2022</v>
      </c>
      <c r="H2" s="61">
        <v>2023</v>
      </c>
    </row>
    <row r="3" spans="1:8" x14ac:dyDescent="0.25">
      <c r="A3" s="9" t="s">
        <v>16</v>
      </c>
      <c r="B3" s="13">
        <v>6004819</v>
      </c>
      <c r="C3" s="13">
        <v>5220724</v>
      </c>
      <c r="D3" s="13">
        <v>5725566</v>
      </c>
      <c r="E3" s="13">
        <v>5334684</v>
      </c>
      <c r="F3" s="13">
        <v>4446229</v>
      </c>
      <c r="G3" s="13">
        <v>5764696</v>
      </c>
      <c r="H3" s="13">
        <v>6714309</v>
      </c>
    </row>
    <row r="4" spans="1:8" x14ac:dyDescent="0.25">
      <c r="A4" s="9" t="s">
        <v>17</v>
      </c>
      <c r="B4" s="13"/>
      <c r="C4" s="13">
        <f>B3-C3</f>
        <v>784095</v>
      </c>
      <c r="D4" s="13">
        <f t="shared" ref="D4:H4" si="0">C3-D3</f>
        <v>-504842</v>
      </c>
      <c r="E4" s="13">
        <f t="shared" si="0"/>
        <v>390882</v>
      </c>
      <c r="F4" s="13">
        <f t="shared" si="0"/>
        <v>888455</v>
      </c>
      <c r="G4" s="13">
        <f t="shared" si="0"/>
        <v>-1318467</v>
      </c>
      <c r="H4" s="13">
        <f t="shared" si="0"/>
        <v>-949613</v>
      </c>
    </row>
    <row r="5" spans="1:8" x14ac:dyDescent="0.25">
      <c r="A5" s="9" t="s">
        <v>18</v>
      </c>
      <c r="B5" s="13"/>
      <c r="C5" s="13">
        <v>2117333</v>
      </c>
      <c r="D5" s="13">
        <v>2918655</v>
      </c>
      <c r="E5" s="13">
        <v>2897288</v>
      </c>
      <c r="F5" s="13">
        <v>2684601</v>
      </c>
      <c r="G5" s="13">
        <v>2484836</v>
      </c>
      <c r="H5" s="13">
        <v>2346830</v>
      </c>
    </row>
    <row r="6" spans="1:8" s="3" customFormat="1" x14ac:dyDescent="0.25">
      <c r="A6" s="59" t="s">
        <v>15</v>
      </c>
      <c r="B6" s="60"/>
      <c r="C6" s="60">
        <f t="shared" ref="C6:H6" si="1">SUM(C4,C5)</f>
        <v>2901428</v>
      </c>
      <c r="D6" s="60">
        <f t="shared" si="1"/>
        <v>2413813</v>
      </c>
      <c r="E6" s="60">
        <f t="shared" si="1"/>
        <v>3288170</v>
      </c>
      <c r="F6" s="60">
        <f t="shared" si="1"/>
        <v>3573056</v>
      </c>
      <c r="G6" s="60">
        <f t="shared" si="1"/>
        <v>1166369</v>
      </c>
      <c r="H6" s="60">
        <f t="shared" si="1"/>
        <v>1397217</v>
      </c>
    </row>
  </sheetData>
  <mergeCells count="1">
    <mergeCell ref="B1:H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Normal="100" workbookViewId="0">
      <pane xSplit="1" topLeftCell="E1" activePane="topRight" state="frozen"/>
      <selection pane="topRight" activeCell="K23" sqref="K23"/>
    </sheetView>
  </sheetViews>
  <sheetFormatPr defaultRowHeight="15" x14ac:dyDescent="0.25"/>
  <cols>
    <col min="1" max="1" width="28.42578125" customWidth="1"/>
    <col min="2" max="8" width="18.140625" bestFit="1" customWidth="1"/>
    <col min="9" max="9" width="17.7109375" bestFit="1" customWidth="1"/>
    <col min="10" max="13" width="17" bestFit="1" customWidth="1"/>
  </cols>
  <sheetData>
    <row r="1" spans="1:13" ht="21" x14ac:dyDescent="0.35">
      <c r="A1" s="9"/>
      <c r="B1" s="99" t="s">
        <v>83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</row>
    <row r="2" spans="1:13" s="74" customFormat="1" ht="15.75" x14ac:dyDescent="0.25">
      <c r="A2" s="73"/>
      <c r="B2" s="73">
        <v>2017</v>
      </c>
      <c r="C2" s="73">
        <v>2018</v>
      </c>
      <c r="D2" s="73">
        <v>2019</v>
      </c>
      <c r="E2" s="73">
        <v>2020</v>
      </c>
      <c r="F2" s="73">
        <v>2021</v>
      </c>
      <c r="G2" s="73">
        <v>2022</v>
      </c>
      <c r="H2" s="73">
        <v>2023</v>
      </c>
      <c r="I2" s="73">
        <v>2024</v>
      </c>
      <c r="J2" s="73">
        <v>2025</v>
      </c>
      <c r="K2" s="73">
        <v>2026</v>
      </c>
      <c r="L2" s="73">
        <v>2027</v>
      </c>
      <c r="M2" s="73">
        <v>2028</v>
      </c>
    </row>
    <row r="3" spans="1:13" x14ac:dyDescent="0.25">
      <c r="A3" s="62" t="s">
        <v>23</v>
      </c>
      <c r="B3" s="13">
        <v>8817113</v>
      </c>
      <c r="C3" s="13">
        <v>8580005</v>
      </c>
      <c r="D3" s="13">
        <v>10294829</v>
      </c>
      <c r="E3" s="13">
        <v>13027022</v>
      </c>
      <c r="F3" s="13">
        <v>13433637</v>
      </c>
      <c r="G3" s="13">
        <v>13946713</v>
      </c>
      <c r="H3" s="13">
        <v>13682639</v>
      </c>
      <c r="I3" s="9"/>
      <c r="J3" s="9"/>
      <c r="K3" s="9"/>
      <c r="L3" s="9"/>
      <c r="M3" s="9"/>
    </row>
    <row r="4" spans="1:13" ht="30" x14ac:dyDescent="0.25">
      <c r="A4" s="11" t="s">
        <v>24</v>
      </c>
      <c r="B4" s="13">
        <v>15635640</v>
      </c>
      <c r="C4" s="13">
        <v>23148790</v>
      </c>
      <c r="D4" s="13">
        <v>22299710</v>
      </c>
      <c r="E4" s="13">
        <v>16633521</v>
      </c>
      <c r="F4" s="13">
        <v>13723722</v>
      </c>
      <c r="G4" s="13">
        <v>18765647</v>
      </c>
      <c r="H4" s="13">
        <v>25420045</v>
      </c>
      <c r="I4" s="9"/>
      <c r="J4" s="9"/>
      <c r="K4" s="9"/>
      <c r="L4" s="9"/>
      <c r="M4" s="9"/>
    </row>
    <row r="5" spans="1:13" ht="45" x14ac:dyDescent="0.25">
      <c r="A5" s="11" t="s">
        <v>25</v>
      </c>
      <c r="B5" s="13">
        <v>9508240</v>
      </c>
      <c r="C5" s="13">
        <v>2000000</v>
      </c>
      <c r="D5" s="13">
        <v>4000974</v>
      </c>
      <c r="E5" s="13">
        <v>9516400</v>
      </c>
      <c r="F5" s="13">
        <v>10579240</v>
      </c>
      <c r="G5" s="13">
        <v>18438640</v>
      </c>
      <c r="H5" s="13">
        <v>3653390</v>
      </c>
      <c r="I5" s="9"/>
      <c r="J5" s="9"/>
      <c r="K5" s="9"/>
      <c r="L5" s="9"/>
      <c r="M5" s="9"/>
    </row>
    <row r="6" spans="1:13" ht="45" x14ac:dyDescent="0.25">
      <c r="A6" s="11" t="s">
        <v>26</v>
      </c>
      <c r="B6" s="13">
        <v>14556710</v>
      </c>
      <c r="C6" s="13">
        <v>4372866</v>
      </c>
      <c r="D6" s="13">
        <v>6800293</v>
      </c>
      <c r="E6" s="13">
        <v>80808444</v>
      </c>
      <c r="F6" s="13">
        <v>71642727</v>
      </c>
      <c r="G6" s="13">
        <v>25671494</v>
      </c>
      <c r="H6" s="13">
        <v>53626145</v>
      </c>
      <c r="I6" s="9"/>
      <c r="J6" s="9"/>
      <c r="K6" s="9"/>
      <c r="L6" s="9"/>
      <c r="M6" s="9"/>
    </row>
    <row r="7" spans="1:13" ht="30" x14ac:dyDescent="0.25">
      <c r="A7" s="11" t="s">
        <v>27</v>
      </c>
      <c r="B7" s="13">
        <v>214484733</v>
      </c>
      <c r="C7" s="13">
        <v>223565307</v>
      </c>
      <c r="D7" s="13">
        <v>276863043</v>
      </c>
      <c r="E7" s="13">
        <v>313065151</v>
      </c>
      <c r="F7" s="13">
        <v>381742909</v>
      </c>
      <c r="G7" s="13">
        <v>429821383</v>
      </c>
      <c r="H7" s="13">
        <v>448741110</v>
      </c>
      <c r="I7" s="9"/>
      <c r="J7" s="9"/>
      <c r="K7" s="9"/>
      <c r="L7" s="9"/>
      <c r="M7" s="9"/>
    </row>
    <row r="8" spans="1:13" x14ac:dyDescent="0.25">
      <c r="A8" s="11" t="s">
        <v>28</v>
      </c>
      <c r="B8" s="13">
        <v>6967136</v>
      </c>
      <c r="C8" s="13">
        <v>8172013</v>
      </c>
      <c r="D8" s="13">
        <v>14394985</v>
      </c>
      <c r="E8" s="13">
        <v>14848399</v>
      </c>
      <c r="F8" s="13">
        <v>20505150</v>
      </c>
      <c r="G8" s="13">
        <v>25652013</v>
      </c>
      <c r="H8" s="13">
        <v>33587380</v>
      </c>
      <c r="I8" s="9"/>
      <c r="J8" s="9"/>
      <c r="K8" s="9"/>
      <c r="L8" s="9"/>
      <c r="M8" s="9"/>
    </row>
    <row r="9" spans="1:13" s="68" customFormat="1" ht="15.75" x14ac:dyDescent="0.25">
      <c r="A9" s="66" t="s">
        <v>20</v>
      </c>
      <c r="B9" s="67">
        <f>SUM(B3:B8)</f>
        <v>269969572</v>
      </c>
      <c r="C9" s="67">
        <f t="shared" ref="C9:F9" si="0">SUM(C3:C8)</f>
        <v>269838981</v>
      </c>
      <c r="D9" s="67">
        <f t="shared" si="0"/>
        <v>334653834</v>
      </c>
      <c r="E9" s="67">
        <f t="shared" si="0"/>
        <v>447898937</v>
      </c>
      <c r="F9" s="67">
        <f t="shared" si="0"/>
        <v>511627385</v>
      </c>
      <c r="G9" s="67">
        <f>SUM(G3:G8)</f>
        <v>532295890</v>
      </c>
      <c r="H9" s="67">
        <f t="shared" ref="H9" si="1">SUM(H3:H8)</f>
        <v>578710709</v>
      </c>
      <c r="I9" s="66"/>
      <c r="J9" s="66"/>
      <c r="K9" s="66"/>
      <c r="L9" s="66"/>
      <c r="M9" s="66"/>
    </row>
    <row r="10" spans="1:13" x14ac:dyDescent="0.25">
      <c r="A10" s="9"/>
      <c r="B10" s="13"/>
      <c r="C10" s="13"/>
      <c r="D10" s="13"/>
      <c r="E10" s="13"/>
      <c r="F10" s="13"/>
      <c r="G10" s="13"/>
      <c r="H10" s="13"/>
      <c r="I10" s="9"/>
      <c r="J10" s="9"/>
      <c r="K10" s="9"/>
      <c r="L10" s="9"/>
      <c r="M10" s="9"/>
    </row>
    <row r="11" spans="1:13" x14ac:dyDescent="0.25">
      <c r="A11" s="9" t="s">
        <v>29</v>
      </c>
      <c r="B11" s="13">
        <v>298702851</v>
      </c>
      <c r="C11" s="13">
        <v>341622656</v>
      </c>
      <c r="D11" s="13">
        <v>380603583</v>
      </c>
      <c r="E11" s="13">
        <v>496748100</v>
      </c>
      <c r="F11" s="13">
        <v>469671798</v>
      </c>
      <c r="G11" s="13">
        <v>517217504</v>
      </c>
      <c r="H11" s="13">
        <v>609677691</v>
      </c>
      <c r="I11" s="9"/>
      <c r="J11" s="9"/>
      <c r="K11" s="9"/>
      <c r="L11" s="9"/>
      <c r="M11" s="9"/>
    </row>
    <row r="12" spans="1:13" ht="30" x14ac:dyDescent="0.25">
      <c r="A12" s="62" t="s">
        <v>32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44521</v>
      </c>
      <c r="I12" s="9"/>
      <c r="J12" s="9"/>
      <c r="K12" s="9"/>
      <c r="L12" s="9"/>
      <c r="M12" s="9"/>
    </row>
    <row r="13" spans="1:13" ht="30" x14ac:dyDescent="0.25">
      <c r="A13" s="62" t="s">
        <v>33</v>
      </c>
      <c r="B13" s="13">
        <v>0</v>
      </c>
      <c r="C13" s="13">
        <v>0</v>
      </c>
      <c r="D13" s="13">
        <v>0</v>
      </c>
      <c r="E13" s="13">
        <v>0</v>
      </c>
      <c r="F13" s="13">
        <v>178781156</v>
      </c>
      <c r="G13" s="13">
        <v>130153486</v>
      </c>
      <c r="H13" s="13">
        <v>163019838</v>
      </c>
      <c r="I13" s="9"/>
      <c r="J13" s="9"/>
      <c r="K13" s="9"/>
      <c r="L13" s="9"/>
      <c r="M13" s="9"/>
    </row>
    <row r="14" spans="1:13" ht="30" x14ac:dyDescent="0.25">
      <c r="A14" s="62" t="s">
        <v>34</v>
      </c>
      <c r="B14" s="13">
        <v>0</v>
      </c>
      <c r="C14" s="13">
        <v>159778</v>
      </c>
      <c r="D14" s="13">
        <v>534216</v>
      </c>
      <c r="E14" s="13">
        <v>5674800</v>
      </c>
      <c r="F14" s="13">
        <v>3751309</v>
      </c>
      <c r="G14" s="13">
        <v>43849440</v>
      </c>
      <c r="H14" s="13">
        <v>19632850</v>
      </c>
      <c r="I14" s="9"/>
      <c r="J14" s="9"/>
      <c r="K14" s="9"/>
      <c r="L14" s="9"/>
      <c r="M14" s="9"/>
    </row>
    <row r="15" spans="1:13" x14ac:dyDescent="0.25">
      <c r="A15" s="62" t="s">
        <v>35</v>
      </c>
      <c r="B15" s="13">
        <v>0</v>
      </c>
      <c r="C15" s="13">
        <v>0</v>
      </c>
      <c r="D15" s="13">
        <v>1257482</v>
      </c>
      <c r="E15" s="13">
        <v>720990</v>
      </c>
      <c r="F15" s="13">
        <v>0</v>
      </c>
      <c r="G15" s="13">
        <v>0</v>
      </c>
      <c r="H15" s="13">
        <v>174516</v>
      </c>
      <c r="I15" s="9"/>
      <c r="J15" s="9"/>
      <c r="K15" s="9"/>
      <c r="L15" s="9"/>
      <c r="M15" s="9"/>
    </row>
    <row r="16" spans="1:13" x14ac:dyDescent="0.25">
      <c r="A16" s="62" t="s">
        <v>30</v>
      </c>
      <c r="B16" s="13">
        <v>0</v>
      </c>
      <c r="C16" s="13">
        <v>0</v>
      </c>
      <c r="D16" s="13">
        <v>0</v>
      </c>
      <c r="E16" s="13">
        <v>0</v>
      </c>
      <c r="F16" s="13">
        <v>7000000</v>
      </c>
      <c r="G16" s="13">
        <v>0</v>
      </c>
      <c r="H16" s="13">
        <v>0</v>
      </c>
      <c r="I16" s="9"/>
      <c r="J16" s="9"/>
      <c r="K16" s="9"/>
      <c r="L16" s="9"/>
      <c r="M16" s="9"/>
    </row>
    <row r="17" spans="1:13" x14ac:dyDescent="0.25">
      <c r="A17" s="62" t="s">
        <v>31</v>
      </c>
      <c r="B17" s="13">
        <v>6098943</v>
      </c>
      <c r="C17" s="13">
        <v>5836742</v>
      </c>
      <c r="D17" s="13">
        <v>3496534</v>
      </c>
      <c r="E17" s="13">
        <v>12786598</v>
      </c>
      <c r="F17" s="13">
        <v>16465530</v>
      </c>
      <c r="G17" s="13">
        <v>17089079</v>
      </c>
      <c r="H17" s="13">
        <v>15678178</v>
      </c>
      <c r="I17" s="9"/>
      <c r="J17" s="9"/>
      <c r="K17" s="9"/>
      <c r="L17" s="9"/>
      <c r="M17" s="9"/>
    </row>
    <row r="18" spans="1:13" s="68" customFormat="1" ht="15.75" x14ac:dyDescent="0.25">
      <c r="A18" s="66" t="s">
        <v>21</v>
      </c>
      <c r="B18" s="67">
        <f>SUM(B11:B17)</f>
        <v>304801794</v>
      </c>
      <c r="C18" s="67">
        <f t="shared" ref="C18:F18" si="2">SUM(C11:C17)</f>
        <v>347619176</v>
      </c>
      <c r="D18" s="67">
        <f t="shared" si="2"/>
        <v>385891815</v>
      </c>
      <c r="E18" s="67">
        <f t="shared" si="2"/>
        <v>515930488</v>
      </c>
      <c r="F18" s="67">
        <f t="shared" si="2"/>
        <v>675669793</v>
      </c>
      <c r="G18" s="67">
        <f>SUM(G11:G17)</f>
        <v>708309509</v>
      </c>
      <c r="H18" s="67">
        <f t="shared" ref="H18" si="3">SUM(H11:H17)</f>
        <v>808227594</v>
      </c>
      <c r="I18" s="66"/>
      <c r="J18" s="66"/>
      <c r="K18" s="66"/>
      <c r="L18" s="66"/>
      <c r="M18" s="66"/>
    </row>
    <row r="19" spans="1:13" x14ac:dyDescent="0.25">
      <c r="A19" s="9"/>
      <c r="B19" s="13"/>
      <c r="C19" s="13"/>
      <c r="D19" s="13"/>
      <c r="E19" s="13"/>
      <c r="F19" s="13"/>
      <c r="G19" s="13"/>
      <c r="H19" s="13"/>
      <c r="I19" s="9"/>
      <c r="J19" s="9"/>
      <c r="K19" s="9"/>
      <c r="L19" s="9"/>
      <c r="M19" s="9"/>
    </row>
    <row r="20" spans="1:13" x14ac:dyDescent="0.25">
      <c r="A20" s="72" t="s">
        <v>52</v>
      </c>
      <c r="B20" s="13"/>
      <c r="C20" s="13">
        <v>337425561</v>
      </c>
      <c r="D20" s="13">
        <v>55148268</v>
      </c>
      <c r="E20" s="13">
        <v>63798507</v>
      </c>
      <c r="F20" s="13">
        <v>72296121</v>
      </c>
      <c r="G20" s="13">
        <v>85951042</v>
      </c>
      <c r="H20" s="13">
        <v>93774197</v>
      </c>
      <c r="I20" s="13">
        <v>101498981.45</v>
      </c>
      <c r="J20" s="13">
        <v>109913612.58250001</v>
      </c>
      <c r="K20" s="13">
        <v>119082943.47762501</v>
      </c>
      <c r="L20" s="13">
        <v>129078105.94410628</v>
      </c>
      <c r="M20" s="13">
        <v>139977128.06317163</v>
      </c>
    </row>
    <row r="21" spans="1:13" s="4" customFormat="1" x14ac:dyDescent="0.25">
      <c r="A21" s="63" t="s">
        <v>22</v>
      </c>
      <c r="B21" s="64">
        <f>B9-B18</f>
        <v>-34832222</v>
      </c>
      <c r="C21" s="64">
        <f t="shared" ref="C21:H21" si="4">C9-C18</f>
        <v>-77780195</v>
      </c>
      <c r="D21" s="64">
        <f t="shared" si="4"/>
        <v>-51237981</v>
      </c>
      <c r="E21" s="64">
        <f t="shared" si="4"/>
        <v>-68031551</v>
      </c>
      <c r="F21" s="64">
        <f t="shared" si="4"/>
        <v>-164042408</v>
      </c>
      <c r="G21" s="64">
        <f>G9-G18</f>
        <v>-176013619</v>
      </c>
      <c r="H21" s="64">
        <f t="shared" si="4"/>
        <v>-229516885</v>
      </c>
      <c r="I21" s="65">
        <f>I20*'Assumptions '!$C$38</f>
        <v>-152085647.18060192</v>
      </c>
      <c r="J21" s="65">
        <f>J20*'Assumptions '!$C$38</f>
        <v>-164694095.1008673</v>
      </c>
      <c r="K21" s="65">
        <f>K20*'Assumptions '!$C$38</f>
        <v>-178433381.97326943</v>
      </c>
      <c r="L21" s="65">
        <f>L20*'Assumptions '!$C$38</f>
        <v>-193410091.40102759</v>
      </c>
      <c r="M21" s="65">
        <f>M20*'Assumptions '!$C$38</f>
        <v>-209741140.33308315</v>
      </c>
    </row>
    <row r="22" spans="1:13" s="71" customFormat="1" ht="15.75" x14ac:dyDescent="0.25">
      <c r="A22" s="69" t="s">
        <v>14</v>
      </c>
      <c r="B22" s="70"/>
      <c r="C22" s="70">
        <f>B21-C21</f>
        <v>42947973</v>
      </c>
      <c r="D22" s="70">
        <f t="shared" ref="D22:H22" si="5">C21-D21</f>
        <v>-26542214</v>
      </c>
      <c r="E22" s="70">
        <f t="shared" si="5"/>
        <v>16793570</v>
      </c>
      <c r="F22" s="70">
        <f t="shared" si="5"/>
        <v>96010857</v>
      </c>
      <c r="G22" s="70">
        <f t="shared" si="5"/>
        <v>11971211</v>
      </c>
      <c r="H22" s="70">
        <f t="shared" si="5"/>
        <v>53503266</v>
      </c>
      <c r="I22" s="70">
        <f t="shared" ref="I22" si="6">H21-I21</f>
        <v>-77431237.819398075</v>
      </c>
      <c r="J22" s="70">
        <f t="shared" ref="J22" si="7">I21-J21</f>
        <v>12608447.920265377</v>
      </c>
      <c r="K22" s="70">
        <f t="shared" ref="K22" si="8">J21-K21</f>
        <v>13739286.872402132</v>
      </c>
      <c r="L22" s="70">
        <f t="shared" ref="L22" si="9">K21-L21</f>
        <v>14976709.427758157</v>
      </c>
      <c r="M22" s="70">
        <f t="shared" ref="M22" si="10">L21-M21</f>
        <v>16331048.932055563</v>
      </c>
    </row>
  </sheetData>
  <mergeCells count="1">
    <mergeCell ref="B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Assumptions </vt:lpstr>
      <vt:lpstr>Model</vt:lpstr>
      <vt:lpstr>EQUITY &amp; DEBT</vt:lpstr>
      <vt:lpstr>CAPEX</vt:lpstr>
      <vt:lpstr>Working capital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2025-01-26T11:31:24Z</dcterms:created>
  <dcterms:modified xsi:type="dcterms:W3CDTF">2025-02-25T10:38:47Z</dcterms:modified>
</cp:coreProperties>
</file>