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Models\"/>
    </mc:Choice>
  </mc:AlternateContent>
  <bookViews>
    <workbookView xWindow="0" yWindow="0" windowWidth="20460" windowHeight="8280"/>
  </bookViews>
  <sheets>
    <sheet name="Assumptions" sheetId="2" r:id="rId1"/>
    <sheet name="MODEL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8" i="2" l="1"/>
  <c r="C48" i="2"/>
  <c r="D48" i="2"/>
  <c r="E48" i="2"/>
  <c r="B48" i="2"/>
  <c r="B47" i="2" s="1"/>
  <c r="B42" i="2"/>
  <c r="B37" i="2"/>
  <c r="C28" i="2" l="1"/>
  <c r="C30" i="2" s="1"/>
  <c r="D28" i="2"/>
  <c r="D30" i="2" s="1"/>
  <c r="E28" i="2"/>
  <c r="E30" i="2" s="1"/>
  <c r="F28" i="2"/>
  <c r="F30" i="2" s="1"/>
  <c r="B28" i="2"/>
  <c r="B30" i="2" s="1"/>
  <c r="B22" i="2"/>
  <c r="B23" i="2" s="1"/>
  <c r="B31" i="2" l="1"/>
  <c r="B44" i="2" s="1"/>
  <c r="D10" i="1"/>
  <c r="C6" i="1"/>
  <c r="C10" i="1" s="1"/>
  <c r="D6" i="1"/>
  <c r="E6" i="1"/>
  <c r="E10" i="1" s="1"/>
  <c r="F6" i="1"/>
  <c r="F10" i="1" s="1"/>
  <c r="G10" i="1" s="1"/>
  <c r="B6" i="1"/>
  <c r="B10" i="1" s="1"/>
  <c r="C10" i="2"/>
  <c r="C11" i="2" s="1"/>
  <c r="D10" i="2"/>
  <c r="D11" i="2" s="1"/>
  <c r="E10" i="2"/>
  <c r="E11" i="2" s="1"/>
  <c r="F10" i="2"/>
  <c r="F11" i="2" s="1"/>
  <c r="B10" i="2"/>
  <c r="B11" i="2" s="1"/>
  <c r="H10" i="1" l="1"/>
  <c r="G11" i="1"/>
  <c r="B12" i="2"/>
  <c r="I10" i="1" l="1"/>
  <c r="H11" i="1"/>
  <c r="J10" i="1" l="1"/>
  <c r="I11" i="1"/>
  <c r="K10" i="1" l="1"/>
  <c r="K12" i="1" s="1"/>
  <c r="K13" i="1" s="1"/>
  <c r="J11" i="1"/>
  <c r="K11" i="1" l="1"/>
  <c r="K14" i="1" s="1"/>
  <c r="K15" i="1" s="1"/>
  <c r="K16" i="1" s="1"/>
</calcChain>
</file>

<file path=xl/sharedStrings.xml><?xml version="1.0" encoding="utf-8"?>
<sst xmlns="http://schemas.openxmlformats.org/spreadsheetml/2006/main" count="53" uniqueCount="51">
  <si>
    <t>KENYA AIRWAYS (KQ) ENTERPRISE VALUE MODEL (2024-2028)</t>
  </si>
  <si>
    <t>SHS'000'</t>
  </si>
  <si>
    <t>EBIT</t>
  </si>
  <si>
    <t>TAX EXPENSE</t>
  </si>
  <si>
    <t xml:space="preserve">EBIT </t>
  </si>
  <si>
    <t>Income Tax - Current Domestic</t>
  </si>
  <si>
    <t>Income Tax - Deferred Domestic</t>
  </si>
  <si>
    <t>Income tax</t>
  </si>
  <si>
    <t>Tax Rate</t>
  </si>
  <si>
    <t>Average Tax Rate</t>
  </si>
  <si>
    <t>D&amp;A</t>
  </si>
  <si>
    <t>CAPEX</t>
  </si>
  <si>
    <t>EBIT after Tax</t>
  </si>
  <si>
    <t>Change in Working Capital</t>
  </si>
  <si>
    <t>Growth Rate</t>
  </si>
  <si>
    <t>G(FCFF)</t>
  </si>
  <si>
    <t>G(terminal)</t>
  </si>
  <si>
    <t>WACC COMPONENTS</t>
  </si>
  <si>
    <t>E(Equity market value)</t>
  </si>
  <si>
    <t>Share price</t>
  </si>
  <si>
    <t>Shares outstanding</t>
  </si>
  <si>
    <t>short term debt</t>
  </si>
  <si>
    <t>long term debt + capitalized leases</t>
  </si>
  <si>
    <t>total debt</t>
  </si>
  <si>
    <t>D(Total debt) ksh'000'</t>
  </si>
  <si>
    <t>E</t>
  </si>
  <si>
    <t>Total Capital (V)</t>
  </si>
  <si>
    <t>Risk free rate (Rf)</t>
  </si>
  <si>
    <t xml:space="preserve">beta </t>
  </si>
  <si>
    <t>Risk premium (Rm)</t>
  </si>
  <si>
    <t>Re</t>
  </si>
  <si>
    <t>Cost of Equity (Re)</t>
  </si>
  <si>
    <t>Interest Expense(2023)</t>
  </si>
  <si>
    <t>Total debt(2023)</t>
  </si>
  <si>
    <t>Cost of debt (Rd)</t>
  </si>
  <si>
    <t>Rd</t>
  </si>
  <si>
    <t>WACC</t>
  </si>
  <si>
    <t>Corporate tax rate</t>
  </si>
  <si>
    <t>n</t>
  </si>
  <si>
    <t>t</t>
  </si>
  <si>
    <t>Discounted TV</t>
  </si>
  <si>
    <t>Terminal Value (TV)</t>
  </si>
  <si>
    <t>Enterprise Value (EV)</t>
  </si>
  <si>
    <t>Cash &amp; Equivalents</t>
  </si>
  <si>
    <t>Net Debt</t>
  </si>
  <si>
    <t>Equity Value</t>
  </si>
  <si>
    <t>INTRINSIC VALUE PER SHARE</t>
  </si>
  <si>
    <t>DISCOUNTED FCFF</t>
  </si>
  <si>
    <t>FREE CASHFLOW TO FIRM (FCFF)</t>
  </si>
  <si>
    <t>TIME</t>
  </si>
  <si>
    <t xml:space="preserve">DATA SOURCE: https://www.wsj.com/market-data/quotes/KE/XNAI/KQ/financials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</si>
</sst>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0000_);_(* \(#,##0.000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6" fillId="4" borderId="0" xfId="0" applyFont="1" applyFill="1"/>
    <xf numFmtId="0" fontId="0" fillId="6" borderId="0" xfId="0" applyFill="1"/>
    <xf numFmtId="0" fontId="7" fillId="6" borderId="0" xfId="0" applyFont="1" applyFill="1"/>
    <xf numFmtId="0" fontId="0" fillId="7" borderId="0" xfId="0" applyFill="1"/>
    <xf numFmtId="0" fontId="0" fillId="8" borderId="0" xfId="0" applyFill="1"/>
    <xf numFmtId="0" fontId="8" fillId="8" borderId="0" xfId="0" applyFont="1" applyFill="1"/>
    <xf numFmtId="0" fontId="6" fillId="4" borderId="1" xfId="0" applyFont="1" applyFill="1" applyBorder="1"/>
    <xf numFmtId="0" fontId="6" fillId="4" borderId="1" xfId="0" applyFont="1" applyFill="1" applyBorder="1" applyAlignment="1">
      <alignment horizontal="center"/>
    </xf>
    <xf numFmtId="0" fontId="7" fillId="6" borderId="1" xfId="0" applyFont="1" applyFill="1" applyBorder="1"/>
    <xf numFmtId="0" fontId="7" fillId="6" borderId="1" xfId="0" applyFont="1" applyFill="1" applyBorder="1" applyAlignment="1">
      <alignment horizontal="center" wrapText="1"/>
    </xf>
    <xf numFmtId="0" fontId="0" fillId="0" borderId="1" xfId="0" applyBorder="1"/>
    <xf numFmtId="3" fontId="0" fillId="0" borderId="1" xfId="0" applyNumberFormat="1" applyFont="1" applyBorder="1"/>
    <xf numFmtId="3" fontId="3" fillId="0" borderId="1" xfId="0" applyNumberFormat="1" applyFont="1" applyBorder="1"/>
    <xf numFmtId="3" fontId="3" fillId="0" borderId="1" xfId="0" applyNumberFormat="1" applyFont="1" applyBorder="1" applyAlignment="1">
      <alignment horizontal="right" vertical="center" wrapText="1"/>
    </xf>
    <xf numFmtId="0" fontId="0" fillId="2" borderId="1" xfId="0" applyFill="1" applyBorder="1"/>
    <xf numFmtId="3" fontId="0" fillId="0" borderId="1" xfId="0" applyNumberFormat="1" applyBorder="1"/>
    <xf numFmtId="0" fontId="0" fillId="0" borderId="1" xfId="0" applyBorder="1" applyAlignment="1">
      <alignment wrapText="1"/>
    </xf>
    <xf numFmtId="0" fontId="4" fillId="7" borderId="1" xfId="0" applyFont="1" applyFill="1" applyBorder="1" applyAlignment="1">
      <alignment wrapText="1"/>
    </xf>
    <xf numFmtId="3" fontId="0" fillId="7" borderId="1" xfId="0" applyNumberFormat="1" applyFill="1" applyBorder="1"/>
    <xf numFmtId="43" fontId="0" fillId="7" borderId="1" xfId="1" applyFont="1" applyFill="1" applyBorder="1"/>
    <xf numFmtId="2" fontId="0" fillId="7" borderId="1" xfId="0" applyNumberFormat="1" applyFill="1" applyBorder="1"/>
    <xf numFmtId="0" fontId="4" fillId="8" borderId="1" xfId="0" applyFont="1" applyFill="1" applyBorder="1"/>
    <xf numFmtId="0" fontId="0" fillId="8" borderId="1" xfId="0" applyFill="1" applyBorder="1"/>
    <xf numFmtId="43" fontId="0" fillId="8" borderId="1" xfId="1" applyFont="1" applyFill="1" applyBorder="1"/>
    <xf numFmtId="43" fontId="0" fillId="2" borderId="1" xfId="1" applyFont="1" applyFill="1" applyBorder="1"/>
    <xf numFmtId="43" fontId="0" fillId="2" borderId="1" xfId="0" applyNumberFormat="1" applyFill="1" applyBorder="1"/>
    <xf numFmtId="0" fontId="4" fillId="6" borderId="1" xfId="0" applyFont="1" applyFill="1" applyBorder="1"/>
    <xf numFmtId="0" fontId="0" fillId="6" borderId="1" xfId="0" applyFill="1" applyBorder="1"/>
    <xf numFmtId="43" fontId="0" fillId="6" borderId="1" xfId="0" applyNumberFormat="1" applyFill="1" applyBorder="1"/>
    <xf numFmtId="0" fontId="0" fillId="3" borderId="1" xfId="0" applyFill="1" applyBorder="1"/>
    <xf numFmtId="43" fontId="5" fillId="3" borderId="1" xfId="0" applyNumberFormat="1" applyFont="1" applyFill="1" applyBorder="1"/>
    <xf numFmtId="0" fontId="8" fillId="8" borderId="1" xfId="0" applyFont="1" applyFill="1" applyBorder="1"/>
    <xf numFmtId="14" fontId="8" fillId="8" borderId="1" xfId="0" applyNumberFormat="1" applyFont="1" applyFill="1" applyBorder="1"/>
    <xf numFmtId="0" fontId="0" fillId="0" borderId="0" xfId="0" applyAlignment="1"/>
    <xf numFmtId="14" fontId="0" fillId="0" borderId="1" xfId="0" applyNumberFormat="1" applyBorder="1"/>
    <xf numFmtId="0" fontId="2" fillId="0" borderId="1" xfId="0" applyFont="1" applyBorder="1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/>
    <xf numFmtId="0" fontId="3" fillId="0" borderId="1" xfId="0" applyFont="1" applyBorder="1" applyAlignment="1">
      <alignment horizontal="right" wrapText="1"/>
    </xf>
    <xf numFmtId="164" fontId="0" fillId="0" borderId="1" xfId="1" applyNumberFormat="1" applyFont="1" applyBorder="1"/>
    <xf numFmtId="9" fontId="0" fillId="0" borderId="1" xfId="2" applyFont="1" applyBorder="1"/>
    <xf numFmtId="0" fontId="0" fillId="0" borderId="0" xfId="0" applyBorder="1"/>
    <xf numFmtId="0" fontId="5" fillId="9" borderId="1" xfId="0" applyFont="1" applyFill="1" applyBorder="1" applyAlignment="1">
      <alignment horizontal="center"/>
    </xf>
    <xf numFmtId="0" fontId="0" fillId="0" borderId="0" xfId="0" applyFill="1" applyAlignment="1">
      <alignment wrapText="1"/>
    </xf>
    <xf numFmtId="0" fontId="4" fillId="8" borderId="1" xfId="0" applyFont="1" applyFill="1" applyBorder="1" applyAlignment="1">
      <alignment horizontal="center" wrapText="1"/>
    </xf>
    <xf numFmtId="0" fontId="0" fillId="10" borderId="1" xfId="0" applyFill="1" applyBorder="1"/>
    <xf numFmtId="0" fontId="0" fillId="10" borderId="1" xfId="0" applyFill="1" applyBorder="1" applyAlignment="1">
      <alignment wrapText="1"/>
    </xf>
    <xf numFmtId="9" fontId="0" fillId="0" borderId="1" xfId="0" applyNumberFormat="1" applyBorder="1"/>
    <xf numFmtId="0" fontId="0" fillId="5" borderId="1" xfId="0" applyFill="1" applyBorder="1"/>
    <xf numFmtId="2" fontId="0" fillId="0" borderId="1" xfId="0" applyNumberFormat="1" applyBorder="1"/>
    <xf numFmtId="43" fontId="0" fillId="0" borderId="1" xfId="1" applyFont="1" applyBorder="1"/>
    <xf numFmtId="10" fontId="0" fillId="0" borderId="1" xfId="0" applyNumberFormat="1" applyBorder="1"/>
    <xf numFmtId="0" fontId="5" fillId="9" borderId="3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0" fillId="0" borderId="0" xfId="0" applyBorder="1" applyAlignment="1"/>
    <xf numFmtId="0" fontId="5" fillId="9" borderId="5" xfId="0" applyFont="1" applyFill="1" applyBorder="1" applyAlignment="1">
      <alignment horizontal="center"/>
    </xf>
    <xf numFmtId="0" fontId="5" fillId="9" borderId="6" xfId="0" applyFont="1" applyFill="1" applyBorder="1" applyAlignment="1">
      <alignment horizontal="center"/>
    </xf>
    <xf numFmtId="0" fontId="9" fillId="0" borderId="0" xfId="0" applyFont="1" applyFill="1" applyBorder="1" applyAlignment="1">
      <alignment wrapText="1"/>
    </xf>
    <xf numFmtId="0" fontId="6" fillId="0" borderId="0" xfId="0" applyFont="1" applyFill="1"/>
    <xf numFmtId="0" fontId="5" fillId="8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 wrapText="1"/>
    </xf>
    <xf numFmtId="43" fontId="0" fillId="0" borderId="0" xfId="1" applyFont="1" applyBorder="1"/>
    <xf numFmtId="0" fontId="5" fillId="0" borderId="0" xfId="0" applyFont="1" applyFill="1" applyBorder="1" applyAlignment="1"/>
    <xf numFmtId="0" fontId="0" fillId="0" borderId="0" xfId="0" applyFill="1" applyBorder="1"/>
    <xf numFmtId="0" fontId="6" fillId="0" borderId="0" xfId="0" applyFont="1" applyFill="1" applyBorder="1"/>
    <xf numFmtId="0" fontId="0" fillId="10" borderId="1" xfId="0" applyFill="1" applyBorder="1" applyAlignment="1">
      <alignment horizontal="center" wrapText="1"/>
    </xf>
    <xf numFmtId="0" fontId="5" fillId="8" borderId="7" xfId="0" applyFont="1" applyFill="1" applyBorder="1" applyAlignment="1">
      <alignment wrapText="1"/>
    </xf>
    <xf numFmtId="43" fontId="5" fillId="8" borderId="4" xfId="1" applyFont="1" applyFill="1" applyBorder="1"/>
    <xf numFmtId="0" fontId="6" fillId="9" borderId="1" xfId="0" applyFont="1" applyFill="1" applyBorder="1" applyAlignment="1">
      <alignment horizontal="center"/>
    </xf>
    <xf numFmtId="0" fontId="0" fillId="0" borderId="1" xfId="0" applyNumberFormat="1" applyBorder="1"/>
    <xf numFmtId="0" fontId="4" fillId="3" borderId="1" xfId="0" applyFont="1" applyFill="1" applyBorder="1" applyAlignment="1">
      <alignment wrapText="1"/>
    </xf>
    <xf numFmtId="0" fontId="6" fillId="3" borderId="0" xfId="0" applyFont="1" applyFill="1" applyAlignment="1">
      <alignment horizontal="center"/>
    </xf>
    <xf numFmtId="0" fontId="6" fillId="3" borderId="0" xfId="0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8"/>
  <sheetViews>
    <sheetView tabSelected="1" workbookViewId="0">
      <selection activeCell="I6" sqref="I6"/>
    </sheetView>
  </sheetViews>
  <sheetFormatPr defaultRowHeight="15" x14ac:dyDescent="0.25"/>
  <cols>
    <col min="1" max="1" width="15.28515625" customWidth="1"/>
    <col min="2" max="2" width="24.85546875" bestFit="1" customWidth="1"/>
    <col min="6" max="6" width="9.7109375" bestFit="1" customWidth="1"/>
  </cols>
  <sheetData>
    <row r="2" spans="1:13" s="76" customFormat="1" ht="18.75" x14ac:dyDescent="0.3">
      <c r="A2" s="75" t="s">
        <v>50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</row>
    <row r="4" spans="1:13" ht="15.75" x14ac:dyDescent="0.25">
      <c r="A4" s="46" t="s">
        <v>3</v>
      </c>
      <c r="B4" s="46"/>
      <c r="C4" s="46"/>
      <c r="D4" s="46"/>
      <c r="E4" s="46"/>
      <c r="F4" s="46"/>
      <c r="G4" s="37"/>
      <c r="H4" s="37"/>
      <c r="I4" s="37"/>
      <c r="J4" s="37"/>
    </row>
    <row r="5" spans="1:13" s="1" customFormat="1" x14ac:dyDescent="0.25">
      <c r="A5" s="48" t="s">
        <v>1</v>
      </c>
      <c r="B5" s="48"/>
      <c r="C5" s="48"/>
      <c r="D5" s="48"/>
      <c r="E5" s="48"/>
      <c r="F5" s="48"/>
      <c r="G5" s="47"/>
      <c r="H5" s="47"/>
      <c r="I5" s="47"/>
      <c r="J5" s="47"/>
    </row>
    <row r="6" spans="1:13" x14ac:dyDescent="0.25">
      <c r="A6" s="14"/>
      <c r="B6" s="38">
        <v>43466</v>
      </c>
      <c r="C6" s="38">
        <v>43831</v>
      </c>
      <c r="D6" s="38">
        <v>44197</v>
      </c>
      <c r="E6" s="38">
        <v>44562</v>
      </c>
      <c r="F6" s="38">
        <v>44927</v>
      </c>
    </row>
    <row r="7" spans="1:13" x14ac:dyDescent="0.25">
      <c r="A7" s="49" t="s">
        <v>4</v>
      </c>
      <c r="B7" s="15">
        <v>5065</v>
      </c>
      <c r="C7" s="16">
        <v>-20185</v>
      </c>
      <c r="D7" s="15">
        <v>-6508</v>
      </c>
      <c r="E7" s="17">
        <v>-5446</v>
      </c>
      <c r="F7" s="16">
        <v>15843</v>
      </c>
    </row>
    <row r="8" spans="1:13" ht="45" x14ac:dyDescent="0.25">
      <c r="A8" s="50" t="s">
        <v>5</v>
      </c>
      <c r="B8" s="39">
        <v>49</v>
      </c>
      <c r="C8" s="39">
        <v>39</v>
      </c>
      <c r="D8" s="39">
        <v>63</v>
      </c>
      <c r="E8" s="39">
        <v>34</v>
      </c>
      <c r="F8" s="39">
        <v>32</v>
      </c>
    </row>
    <row r="9" spans="1:13" ht="45" x14ac:dyDescent="0.25">
      <c r="A9" s="50" t="s">
        <v>6</v>
      </c>
      <c r="B9" s="40">
        <v>-39</v>
      </c>
      <c r="C9" s="41">
        <v>-393</v>
      </c>
      <c r="D9" s="41">
        <v>-213</v>
      </c>
      <c r="E9" s="42">
        <v>-85</v>
      </c>
      <c r="F9" s="42">
        <v>-199</v>
      </c>
    </row>
    <row r="10" spans="1:13" x14ac:dyDescent="0.25">
      <c r="A10" s="49" t="s">
        <v>7</v>
      </c>
      <c r="B10" s="14">
        <f>SUM(B8,B9)</f>
        <v>10</v>
      </c>
      <c r="C10" s="14">
        <f>SUM(C8,C9)</f>
        <v>-354</v>
      </c>
      <c r="D10" s="14">
        <f>SUM(D8,D9)</f>
        <v>-150</v>
      </c>
      <c r="E10" s="14">
        <f>SUM(E8,E9)</f>
        <v>-51</v>
      </c>
      <c r="F10" s="14">
        <f>SUM(F8,F9)</f>
        <v>-167</v>
      </c>
    </row>
    <row r="11" spans="1:13" x14ac:dyDescent="0.25">
      <c r="A11" s="49" t="s">
        <v>8</v>
      </c>
      <c r="B11" s="43">
        <f>B10/B7</f>
        <v>1.9743336623889436E-3</v>
      </c>
      <c r="C11" s="43">
        <f>C10/C7</f>
        <v>1.7537775575922714E-2</v>
      </c>
      <c r="D11" s="43">
        <f>D10/D7</f>
        <v>2.3048555623847573E-2</v>
      </c>
      <c r="E11" s="43">
        <f>E10/E7</f>
        <v>9.3646713183988244E-3</v>
      </c>
      <c r="F11" s="43">
        <f>F10/F7</f>
        <v>-1.0540932904121694E-2</v>
      </c>
    </row>
    <row r="12" spans="1:13" ht="30" x14ac:dyDescent="0.25">
      <c r="A12" s="50" t="s">
        <v>9</v>
      </c>
      <c r="B12" s="44">
        <f>AVERAGE(B11:F11)</f>
        <v>8.2768806552872727E-3</v>
      </c>
      <c r="C12" s="14"/>
      <c r="D12" s="14"/>
      <c r="E12" s="14"/>
      <c r="F12" s="14"/>
    </row>
    <row r="13" spans="1:13" ht="30" x14ac:dyDescent="0.25">
      <c r="A13" s="50" t="s">
        <v>37</v>
      </c>
      <c r="B13" s="44">
        <v>0.3</v>
      </c>
      <c r="C13" s="14"/>
      <c r="D13" s="14"/>
      <c r="E13" s="14"/>
      <c r="F13" s="14"/>
    </row>
    <row r="15" spans="1:13" ht="15.75" x14ac:dyDescent="0.25">
      <c r="A15" s="46" t="s">
        <v>14</v>
      </c>
      <c r="B15" s="46"/>
    </row>
    <row r="16" spans="1:13" x14ac:dyDescent="0.25">
      <c r="A16" s="49" t="s">
        <v>15</v>
      </c>
      <c r="B16" s="51">
        <v>0.08</v>
      </c>
    </row>
    <row r="17" spans="1:6" x14ac:dyDescent="0.25">
      <c r="A17" s="49" t="s">
        <v>16</v>
      </c>
      <c r="B17" s="51">
        <v>0.03</v>
      </c>
    </row>
    <row r="19" spans="1:6" ht="21.75" customHeight="1" x14ac:dyDescent="0.25">
      <c r="A19" s="56" t="s">
        <v>17</v>
      </c>
      <c r="B19" s="57"/>
      <c r="C19" s="59"/>
      <c r="D19" s="59"/>
      <c r="E19" s="59"/>
      <c r="F19" s="60"/>
    </row>
    <row r="20" spans="1:6" ht="15.75" x14ac:dyDescent="0.25">
      <c r="A20" s="64" t="s">
        <v>18</v>
      </c>
      <c r="B20" s="64"/>
      <c r="C20" s="61"/>
      <c r="D20" s="61"/>
      <c r="E20" s="61"/>
      <c r="F20" s="61"/>
    </row>
    <row r="21" spans="1:6" x14ac:dyDescent="0.25">
      <c r="A21" s="49" t="s">
        <v>19</v>
      </c>
      <c r="B21" s="53">
        <v>5</v>
      </c>
      <c r="C21" s="58"/>
      <c r="D21" s="58"/>
      <c r="E21" s="58"/>
      <c r="F21" s="58"/>
    </row>
    <row r="22" spans="1:6" ht="30" x14ac:dyDescent="0.25">
      <c r="A22" s="50" t="s">
        <v>20</v>
      </c>
      <c r="B22" s="54">
        <f>11.65*10^9</f>
        <v>11650000000</v>
      </c>
      <c r="C22" s="58"/>
      <c r="D22" s="58"/>
      <c r="E22" s="58"/>
      <c r="F22" s="58"/>
    </row>
    <row r="23" spans="1:6" x14ac:dyDescent="0.25">
      <c r="A23" s="50" t="s">
        <v>25</v>
      </c>
      <c r="B23" s="54">
        <f>B22*B21</f>
        <v>58250000000</v>
      </c>
      <c r="C23" s="58"/>
      <c r="D23" s="58"/>
      <c r="E23" s="58"/>
      <c r="F23" s="58"/>
    </row>
    <row r="24" spans="1:6" ht="26.25" customHeight="1" x14ac:dyDescent="0.25">
      <c r="A24" s="63" t="s">
        <v>24</v>
      </c>
      <c r="B24" s="63"/>
      <c r="C24" s="63"/>
      <c r="D24" s="63"/>
      <c r="E24" s="63"/>
      <c r="F24" s="63"/>
    </row>
    <row r="25" spans="1:6" x14ac:dyDescent="0.25">
      <c r="A25" s="14"/>
      <c r="B25" s="14">
        <v>2023</v>
      </c>
      <c r="C25" s="14">
        <v>2022</v>
      </c>
      <c r="D25" s="14">
        <v>2021</v>
      </c>
      <c r="E25" s="14">
        <v>2020</v>
      </c>
      <c r="F25" s="14">
        <v>2019</v>
      </c>
    </row>
    <row r="26" spans="1:6" x14ac:dyDescent="0.25">
      <c r="A26" s="49" t="s">
        <v>21</v>
      </c>
      <c r="B26" s="19">
        <v>24775</v>
      </c>
      <c r="C26" s="19">
        <v>39089</v>
      </c>
      <c r="D26" s="19">
        <v>14012</v>
      </c>
      <c r="E26" s="19">
        <v>10638</v>
      </c>
      <c r="F26" s="19">
        <v>6625</v>
      </c>
    </row>
    <row r="27" spans="1:6" ht="45" x14ac:dyDescent="0.25">
      <c r="A27" s="50" t="s">
        <v>22</v>
      </c>
      <c r="B27" s="19">
        <v>181026</v>
      </c>
      <c r="C27" s="19">
        <v>153484</v>
      </c>
      <c r="D27" s="19">
        <v>158693</v>
      </c>
      <c r="E27" s="19">
        <v>154382</v>
      </c>
      <c r="F27" s="19">
        <v>147631</v>
      </c>
    </row>
    <row r="28" spans="1:6" x14ac:dyDescent="0.25">
      <c r="A28" s="49" t="s">
        <v>23</v>
      </c>
      <c r="B28" s="19">
        <f>B26+B27</f>
        <v>205801</v>
      </c>
      <c r="C28" s="19">
        <f>C26+C27</f>
        <v>192573</v>
      </c>
      <c r="D28" s="19">
        <f>D26+D27</f>
        <v>172705</v>
      </c>
      <c r="E28" s="19">
        <f>E26+E27</f>
        <v>165020</v>
      </c>
      <c r="F28" s="19">
        <f>F26+F27</f>
        <v>154256</v>
      </c>
    </row>
    <row r="29" spans="1:6" ht="30" x14ac:dyDescent="0.25">
      <c r="A29" s="50" t="s">
        <v>43</v>
      </c>
      <c r="B29" s="19">
        <v>7765</v>
      </c>
      <c r="C29" s="19">
        <v>9633</v>
      </c>
      <c r="D29" s="19">
        <v>6095</v>
      </c>
      <c r="E29" s="19">
        <v>7728</v>
      </c>
      <c r="F29" s="19">
        <v>3095</v>
      </c>
    </row>
    <row r="30" spans="1:6" x14ac:dyDescent="0.25">
      <c r="A30" s="50" t="s">
        <v>44</v>
      </c>
      <c r="B30" s="19">
        <f>B28-B29</f>
        <v>198036</v>
      </c>
      <c r="C30" s="19">
        <f>C28-C29</f>
        <v>182940</v>
      </c>
      <c r="D30" s="19">
        <f>D28-D29</f>
        <v>166610</v>
      </c>
      <c r="E30" s="19">
        <f>E28-E29</f>
        <v>157292</v>
      </c>
      <c r="F30" s="19">
        <f>F28-F29</f>
        <v>151161</v>
      </c>
    </row>
    <row r="31" spans="1:6" s="62" customFormat="1" ht="32.25" x14ac:dyDescent="0.3">
      <c r="A31" s="70" t="s">
        <v>26</v>
      </c>
      <c r="B31" s="71">
        <f>B23+(B28*10^3)</f>
        <v>58455801000</v>
      </c>
      <c r="C31" s="68"/>
      <c r="D31" s="68"/>
      <c r="E31" s="68"/>
      <c r="F31" s="68"/>
    </row>
    <row r="32" spans="1:6" x14ac:dyDescent="0.25">
      <c r="A32" s="45"/>
      <c r="B32" s="65"/>
      <c r="C32" s="45"/>
      <c r="D32" s="45"/>
      <c r="E32" s="45"/>
      <c r="F32" s="45"/>
    </row>
    <row r="33" spans="1:6" ht="15.75" x14ac:dyDescent="0.25">
      <c r="A33" s="63" t="s">
        <v>31</v>
      </c>
      <c r="B33" s="63"/>
      <c r="C33" s="66"/>
      <c r="D33" s="66"/>
      <c r="E33" s="66"/>
      <c r="F33" s="66"/>
    </row>
    <row r="34" spans="1:6" ht="30" x14ac:dyDescent="0.25">
      <c r="A34" s="69" t="s">
        <v>27</v>
      </c>
      <c r="B34" s="55">
        <v>0.13639999999999999</v>
      </c>
      <c r="C34" s="67"/>
      <c r="D34" s="67"/>
      <c r="E34" s="67"/>
      <c r="F34" s="67"/>
    </row>
    <row r="35" spans="1:6" x14ac:dyDescent="0.25">
      <c r="A35" s="49" t="s">
        <v>28</v>
      </c>
      <c r="B35" s="14">
        <v>1.2</v>
      </c>
      <c r="C35" s="67"/>
      <c r="D35" s="67"/>
      <c r="E35" s="67"/>
      <c r="F35" s="67"/>
    </row>
    <row r="36" spans="1:6" ht="30" x14ac:dyDescent="0.25">
      <c r="A36" s="50" t="s">
        <v>29</v>
      </c>
      <c r="B36" s="55">
        <v>0.15429999999999999</v>
      </c>
      <c r="C36" s="67"/>
      <c r="D36" s="67"/>
      <c r="E36" s="67"/>
      <c r="F36" s="67"/>
    </row>
    <row r="37" spans="1:6" x14ac:dyDescent="0.25">
      <c r="A37" s="49" t="s">
        <v>30</v>
      </c>
      <c r="B37" s="55">
        <f>B34+B35*B36</f>
        <v>0.32155999999999996</v>
      </c>
      <c r="C37" s="67"/>
      <c r="D37" s="67"/>
      <c r="E37" s="67"/>
      <c r="F37" s="67"/>
    </row>
    <row r="38" spans="1:6" x14ac:dyDescent="0.25">
      <c r="A38" s="45"/>
      <c r="B38" s="45"/>
      <c r="C38" s="45"/>
      <c r="D38" s="45"/>
      <c r="E38" s="45"/>
      <c r="F38" s="45"/>
    </row>
    <row r="39" spans="1:6" ht="15.75" x14ac:dyDescent="0.25">
      <c r="A39" s="63" t="s">
        <v>34</v>
      </c>
      <c r="B39" s="63"/>
      <c r="C39" s="45"/>
      <c r="D39" s="45"/>
      <c r="E39" s="45"/>
      <c r="F39" s="45"/>
    </row>
    <row r="40" spans="1:6" ht="30" x14ac:dyDescent="0.25">
      <c r="A40" s="50" t="s">
        <v>32</v>
      </c>
      <c r="B40" s="19">
        <v>13185</v>
      </c>
      <c r="C40" s="45"/>
      <c r="D40" s="45"/>
      <c r="E40" s="45"/>
      <c r="F40" s="45"/>
    </row>
    <row r="41" spans="1:6" ht="30" x14ac:dyDescent="0.25">
      <c r="A41" s="50" t="s">
        <v>33</v>
      </c>
      <c r="B41" s="19">
        <v>205801000</v>
      </c>
      <c r="C41" s="45"/>
      <c r="D41" s="45"/>
      <c r="E41" s="45"/>
      <c r="F41" s="45"/>
    </row>
    <row r="42" spans="1:6" x14ac:dyDescent="0.25">
      <c r="A42" s="49" t="s">
        <v>35</v>
      </c>
      <c r="B42" s="44">
        <f>(B40*10^3)/B41</f>
        <v>6.4066744087735245E-2</v>
      </c>
      <c r="C42" s="45"/>
      <c r="D42" s="45"/>
      <c r="E42" s="45"/>
      <c r="F42" s="45"/>
    </row>
    <row r="43" spans="1:6" x14ac:dyDescent="0.25">
      <c r="A43" s="49"/>
      <c r="B43" s="14"/>
      <c r="C43" s="45"/>
      <c r="D43" s="45"/>
      <c r="E43" s="45"/>
      <c r="F43" s="45"/>
    </row>
    <row r="44" spans="1:6" x14ac:dyDescent="0.25">
      <c r="A44" s="49" t="s">
        <v>36</v>
      </c>
      <c r="B44" s="44">
        <f>((B23/B31)*B37)+((B41/B31)*B42*(1-$B$13))</f>
        <v>0.32058579609575444</v>
      </c>
      <c r="C44" s="45"/>
      <c r="D44" s="45"/>
      <c r="E44" s="45"/>
      <c r="F44" s="45"/>
    </row>
    <row r="46" spans="1:6" ht="18.75" x14ac:dyDescent="0.3">
      <c r="A46" s="72" t="s">
        <v>49</v>
      </c>
      <c r="B46" s="72"/>
      <c r="C46" s="72"/>
      <c r="D46" s="72"/>
      <c r="E46" s="72"/>
      <c r="F46" s="72"/>
    </row>
    <row r="47" spans="1:6" x14ac:dyDescent="0.25">
      <c r="A47" s="52" t="s">
        <v>38</v>
      </c>
      <c r="B47" s="14">
        <f>MAX(B48,F48)</f>
        <v>5</v>
      </c>
      <c r="C47" s="14"/>
      <c r="D47" s="14"/>
      <c r="E47" s="14"/>
      <c r="F47" s="14"/>
    </row>
    <row r="48" spans="1:6" x14ac:dyDescent="0.25">
      <c r="A48" s="52" t="s">
        <v>39</v>
      </c>
      <c r="B48" s="73">
        <f>YEAR(MODEL!G3)-YEAR(MODEL!$F$3)</f>
        <v>1</v>
      </c>
      <c r="C48" s="73">
        <f>YEAR(MODEL!H3)-YEAR(MODEL!$F$3)</f>
        <v>2</v>
      </c>
      <c r="D48" s="73">
        <f>YEAR(MODEL!I3)-YEAR(MODEL!$F$3)</f>
        <v>3</v>
      </c>
      <c r="E48" s="73">
        <f>YEAR(MODEL!J3)-YEAR(MODEL!$F$3)</f>
        <v>4</v>
      </c>
      <c r="F48" s="73">
        <f>YEAR(MODEL!K3)-YEAR(MODEL!$F$3)</f>
        <v>5</v>
      </c>
    </row>
  </sheetData>
  <mergeCells count="10">
    <mergeCell ref="A2:M2"/>
    <mergeCell ref="A4:F4"/>
    <mergeCell ref="A5:F5"/>
    <mergeCell ref="A33:B33"/>
    <mergeCell ref="A39:B39"/>
    <mergeCell ref="A15:B15"/>
    <mergeCell ref="A20:B20"/>
    <mergeCell ref="A24:F24"/>
    <mergeCell ref="A19:F19"/>
    <mergeCell ref="A46:F46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zoomScaleNormal="100" workbookViewId="0">
      <pane xSplit="1" topLeftCell="B1" activePane="topRight" state="frozen"/>
      <selection pane="topRight" activeCell="H10" sqref="H10"/>
    </sheetView>
  </sheetViews>
  <sheetFormatPr defaultRowHeight="15" x14ac:dyDescent="0.25"/>
  <cols>
    <col min="1" max="1" width="23" customWidth="1"/>
    <col min="7" max="9" width="11.140625" style="2" bestFit="1" customWidth="1"/>
    <col min="10" max="10" width="10.5703125" style="2" bestFit="1" customWidth="1"/>
    <col min="11" max="11" width="16" style="2" bestFit="1" customWidth="1"/>
  </cols>
  <sheetData>
    <row r="1" spans="1:11" s="4" customFormat="1" ht="18.75" x14ac:dyDescent="0.3">
      <c r="A1" s="10"/>
      <c r="B1" s="11" t="s">
        <v>0</v>
      </c>
      <c r="C1" s="11"/>
      <c r="D1" s="11"/>
      <c r="E1" s="11"/>
      <c r="F1" s="11"/>
      <c r="G1" s="11"/>
      <c r="H1" s="11"/>
      <c r="I1" s="11"/>
      <c r="J1" s="11"/>
      <c r="K1" s="10"/>
    </row>
    <row r="2" spans="1:11" s="6" customFormat="1" ht="15.75" x14ac:dyDescent="0.25">
      <c r="A2" s="12"/>
      <c r="B2" s="13" t="s">
        <v>1</v>
      </c>
      <c r="C2" s="13"/>
      <c r="D2" s="13"/>
      <c r="E2" s="13"/>
      <c r="F2" s="13"/>
      <c r="G2" s="13"/>
      <c r="H2" s="13"/>
      <c r="I2" s="13"/>
      <c r="J2" s="13"/>
      <c r="K2" s="12"/>
    </row>
    <row r="3" spans="1:11" s="9" customFormat="1" ht="12.75" x14ac:dyDescent="0.2">
      <c r="A3" s="35"/>
      <c r="B3" s="36">
        <v>43466</v>
      </c>
      <c r="C3" s="36">
        <v>43831</v>
      </c>
      <c r="D3" s="36">
        <v>44197</v>
      </c>
      <c r="E3" s="36">
        <v>44562</v>
      </c>
      <c r="F3" s="36">
        <v>44927</v>
      </c>
      <c r="G3" s="36">
        <v>45292</v>
      </c>
      <c r="H3" s="36">
        <v>45658</v>
      </c>
      <c r="I3" s="36">
        <v>46023</v>
      </c>
      <c r="J3" s="36">
        <v>46388</v>
      </c>
      <c r="K3" s="36">
        <v>46753</v>
      </c>
    </row>
    <row r="4" spans="1:11" x14ac:dyDescent="0.25">
      <c r="A4" s="14" t="s">
        <v>2</v>
      </c>
      <c r="B4" s="15">
        <v>5065</v>
      </c>
      <c r="C4" s="16">
        <v>-20185</v>
      </c>
      <c r="D4" s="15">
        <v>-6508</v>
      </c>
      <c r="E4" s="17">
        <v>-5446</v>
      </c>
      <c r="F4" s="16">
        <v>15843</v>
      </c>
      <c r="G4" s="18"/>
      <c r="H4" s="18"/>
      <c r="I4" s="18"/>
      <c r="J4" s="18"/>
      <c r="K4" s="18"/>
    </row>
    <row r="5" spans="1:11" x14ac:dyDescent="0.25">
      <c r="A5" s="14" t="s">
        <v>8</v>
      </c>
      <c r="B5" s="14">
        <v>1.9743336623889401E-3</v>
      </c>
      <c r="C5" s="14">
        <v>1.7537775575922714E-2</v>
      </c>
      <c r="D5" s="14">
        <v>2.3048555623847573E-2</v>
      </c>
      <c r="E5" s="14">
        <v>9.3646713183988244E-3</v>
      </c>
      <c r="F5" s="14">
        <v>-1.0540932904121694E-2</v>
      </c>
      <c r="G5" s="18"/>
      <c r="H5" s="18"/>
      <c r="I5" s="18"/>
      <c r="J5" s="18"/>
      <c r="K5" s="18"/>
    </row>
    <row r="6" spans="1:11" x14ac:dyDescent="0.25">
      <c r="A6" s="14" t="s">
        <v>12</v>
      </c>
      <c r="B6" s="14">
        <f>B4*(1-B5)</f>
        <v>5055</v>
      </c>
      <c r="C6" s="14">
        <f>C4*(1-C5)</f>
        <v>-19831</v>
      </c>
      <c r="D6" s="14">
        <f>D4*(1-D5)</f>
        <v>-6358</v>
      </c>
      <c r="E6" s="14">
        <f>E4*(1-E5)</f>
        <v>-5395</v>
      </c>
      <c r="F6" s="14">
        <f>F4*(1-F5)</f>
        <v>16010</v>
      </c>
      <c r="G6" s="18"/>
      <c r="H6" s="18"/>
      <c r="I6" s="18"/>
      <c r="J6" s="18"/>
      <c r="K6" s="18"/>
    </row>
    <row r="7" spans="1:11" x14ac:dyDescent="0.25">
      <c r="A7" s="14" t="s">
        <v>10</v>
      </c>
      <c r="B7" s="19">
        <v>16481</v>
      </c>
      <c r="C7" s="19">
        <v>15384</v>
      </c>
      <c r="D7" s="19">
        <v>16283</v>
      </c>
      <c r="E7" s="19">
        <v>21389</v>
      </c>
      <c r="F7" s="19">
        <v>19391</v>
      </c>
      <c r="G7" s="18"/>
      <c r="H7" s="18"/>
      <c r="I7" s="18"/>
      <c r="J7" s="18"/>
      <c r="K7" s="18"/>
    </row>
    <row r="8" spans="1:11" x14ac:dyDescent="0.25">
      <c r="A8" s="14" t="s">
        <v>11</v>
      </c>
      <c r="B8" s="19">
        <v>-7097</v>
      </c>
      <c r="C8" s="19">
        <v>-3470</v>
      </c>
      <c r="D8" s="19">
        <v>-2363</v>
      </c>
      <c r="E8" s="14">
        <v>-992</v>
      </c>
      <c r="F8" s="19">
        <v>-1308</v>
      </c>
      <c r="G8" s="18"/>
      <c r="H8" s="18"/>
      <c r="I8" s="18"/>
      <c r="J8" s="18"/>
      <c r="K8" s="18"/>
    </row>
    <row r="9" spans="1:11" ht="30" x14ac:dyDescent="0.25">
      <c r="A9" s="20" t="s">
        <v>13</v>
      </c>
      <c r="B9" s="19">
        <v>11702</v>
      </c>
      <c r="C9" s="14">
        <v>764</v>
      </c>
      <c r="D9" s="19">
        <v>-3927</v>
      </c>
      <c r="E9" s="19">
        <v>5959</v>
      </c>
      <c r="F9" s="19">
        <v>-1959</v>
      </c>
      <c r="G9" s="18"/>
      <c r="H9" s="18"/>
      <c r="I9" s="18"/>
      <c r="J9" s="18"/>
      <c r="K9" s="18"/>
    </row>
    <row r="10" spans="1:11" s="7" customFormat="1" ht="30" x14ac:dyDescent="0.25">
      <c r="A10" s="21" t="s">
        <v>48</v>
      </c>
      <c r="B10" s="22">
        <f>B6+B7-B8-B9</f>
        <v>16931</v>
      </c>
      <c r="C10" s="22">
        <f>C6+C7-C8-C9</f>
        <v>-1741</v>
      </c>
      <c r="D10" s="22">
        <f>D6+D7-D8-D9</f>
        <v>16215</v>
      </c>
      <c r="E10" s="22">
        <f>E6+E7-E8-E9</f>
        <v>11027</v>
      </c>
      <c r="F10" s="22">
        <f>F6+F7-F8-F9</f>
        <v>38668</v>
      </c>
      <c r="G10" s="23">
        <f>F10*(1+Assumptions!$B$16)</f>
        <v>41761.440000000002</v>
      </c>
      <c r="H10" s="23">
        <f>G10*(1+Assumptions!$B$16)</f>
        <v>45102.355200000005</v>
      </c>
      <c r="I10" s="23">
        <f>H10*(1+Assumptions!$B$16)</f>
        <v>48710.54361600001</v>
      </c>
      <c r="J10" s="23">
        <f>I10*(1+Assumptions!$B$16)</f>
        <v>52607.387105280017</v>
      </c>
      <c r="K10" s="24">
        <f>J10*(1+Assumptions!$B$16)</f>
        <v>56815.978073702419</v>
      </c>
    </row>
    <row r="11" spans="1:11" s="8" customFormat="1" x14ac:dyDescent="0.25">
      <c r="A11" s="25" t="s">
        <v>47</v>
      </c>
      <c r="B11" s="26"/>
      <c r="C11" s="26"/>
      <c r="D11" s="26"/>
      <c r="E11" s="26"/>
      <c r="F11" s="26"/>
      <c r="G11" s="27">
        <f>G10/((1+Assumptions!$B$44)^Assumptions!B48)</f>
        <v>31623.420548263959</v>
      </c>
      <c r="H11" s="27">
        <f>H10/((1+Assumptions!$B$44)^Assumptions!C48)</f>
        <v>25862.230453407548</v>
      </c>
      <c r="I11" s="27">
        <f>I10/((1+Assumptions!$B$44)^Assumptions!D48)</f>
        <v>21150.620408198673</v>
      </c>
      <c r="J11" s="27">
        <f>J10/((1+Assumptions!$B$44)^Assumptions!E48)</f>
        <v>17297.376746280152</v>
      </c>
      <c r="K11" s="27">
        <f>K10/((1+Assumptions!$B$44)^Assumptions!F48)</f>
        <v>14146.121320714257</v>
      </c>
    </row>
    <row r="12" spans="1:11" x14ac:dyDescent="0.25">
      <c r="A12" s="14" t="s">
        <v>41</v>
      </c>
      <c r="B12" s="14"/>
      <c r="C12" s="14"/>
      <c r="D12" s="14"/>
      <c r="E12" s="14"/>
      <c r="F12" s="14"/>
      <c r="G12" s="18"/>
      <c r="H12" s="18"/>
      <c r="I12" s="18"/>
      <c r="J12" s="18"/>
      <c r="K12" s="28">
        <f>((K10*10^3)*(1+Assumptions!$B$17))/(Assumptions!$B$44-Assumptions!$B$17)</f>
        <v>201387879.93832195</v>
      </c>
    </row>
    <row r="13" spans="1:11" x14ac:dyDescent="0.25">
      <c r="A13" s="14" t="s">
        <v>40</v>
      </c>
      <c r="B13" s="14"/>
      <c r="C13" s="14"/>
      <c r="D13" s="14"/>
      <c r="E13" s="14"/>
      <c r="F13" s="14"/>
      <c r="G13" s="18"/>
      <c r="H13" s="18"/>
      <c r="I13" s="18"/>
      <c r="J13" s="18"/>
      <c r="K13" s="28">
        <f>$K$12/((1+Assumptions!$B$44)^Assumptions!$B$47)</f>
        <v>50141834.721798941</v>
      </c>
    </row>
    <row r="14" spans="1:11" x14ac:dyDescent="0.25">
      <c r="A14" s="14" t="s">
        <v>42</v>
      </c>
      <c r="B14" s="14"/>
      <c r="C14" s="14"/>
      <c r="D14" s="14"/>
      <c r="E14" s="14"/>
      <c r="F14" s="14"/>
      <c r="G14" s="18"/>
      <c r="H14" s="18"/>
      <c r="I14" s="18"/>
      <c r="J14" s="18"/>
      <c r="K14" s="29">
        <f>SUM(G11:K11)+K13</f>
        <v>50251914.49127581</v>
      </c>
    </row>
    <row r="15" spans="1:11" s="5" customFormat="1" x14ac:dyDescent="0.25">
      <c r="A15" s="30" t="s">
        <v>45</v>
      </c>
      <c r="B15" s="31"/>
      <c r="C15" s="31"/>
      <c r="D15" s="31"/>
      <c r="E15" s="31"/>
      <c r="F15" s="31"/>
      <c r="G15" s="31"/>
      <c r="H15" s="31"/>
      <c r="I15" s="31"/>
      <c r="J15" s="31"/>
      <c r="K15" s="32">
        <f>K14-(Assumptions!B30)</f>
        <v>50053878.49127581</v>
      </c>
    </row>
    <row r="16" spans="1:11" s="3" customFormat="1" ht="30" x14ac:dyDescent="0.25">
      <c r="A16" s="74" t="s">
        <v>46</v>
      </c>
      <c r="B16" s="33"/>
      <c r="C16" s="33"/>
      <c r="D16" s="33"/>
      <c r="E16" s="33"/>
      <c r="F16" s="33"/>
      <c r="G16" s="33"/>
      <c r="H16" s="33"/>
      <c r="I16" s="33"/>
      <c r="J16" s="33"/>
      <c r="K16" s="34">
        <f>(K15*10^3)/Assumptions!$B$22</f>
        <v>4.2964702567618724</v>
      </c>
    </row>
  </sheetData>
  <mergeCells count="2">
    <mergeCell ref="B1:J1"/>
    <mergeCell ref="B2:J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Assumptions</vt:lpstr>
      <vt:lpstr>MODEL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2025-02-16T08:00:44Z</dcterms:created>
  <dcterms:modified xsi:type="dcterms:W3CDTF">2025-02-25T10:42:43Z</dcterms:modified>
</cp:coreProperties>
</file>