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workbookProtection workbookAlgorithmName="SHA-512" workbookHashValue="dVTFSq6v/on1fpsV6u8QMSoKo7gkQ6Rb2qIPWfNroPjRqXhY5UF1CYAQ3uawOKE/TkpPEn/3FoO6kkk8z/pNUg==" workbookSaltValue="aUoNDUDT+OBWNYoiK6pL3g==" workbookSpinCount="100000" lockStructure="1"/>
  <bookViews>
    <workbookView xWindow="120" yWindow="105" windowWidth="15120" windowHeight="8010" tabRatio="796"/>
  </bookViews>
  <sheets>
    <sheet name="Договор" sheetId="9" r:id="rId1"/>
    <sheet name="Вводные 1" sheetId="15" r:id="rId2"/>
    <sheet name="Тепловизор" sheetId="14" r:id="rId3"/>
    <sheet name="Перечень дефектов" sheetId="16" r:id="rId4"/>
    <sheet name="Вводные 2" sheetId="3" r:id="rId5"/>
    <sheet name="Дефектная ведомость" sheetId="4" r:id="rId6"/>
    <sheet name="Расчеты" sheetId="6" r:id="rId7"/>
    <sheet name="Окна" sheetId="11" r:id="rId8"/>
    <sheet name="Потолок" sheetId="12" r:id="rId9"/>
    <sheet name="Ресурсы" sheetId="17" r:id="rId10"/>
  </sheets>
  <definedNames>
    <definedName name="_xlnm._FilterDatabase" localSheetId="4" hidden="1">'Вводные 2'!$AG$19:$AM$19</definedName>
    <definedName name="_xlnm._FilterDatabase" localSheetId="5" hidden="1">'Дефектная ведомость'!$J$1:$J$122</definedName>
    <definedName name="_xlnm._FilterDatabase" localSheetId="7" hidden="1">Окна!$H$1:$H$22</definedName>
    <definedName name="_xlnm._FilterDatabase" localSheetId="3" hidden="1">'Перечень дефектов'!$G$1:$G$172</definedName>
    <definedName name="_xlnm._FilterDatabase" localSheetId="6" hidden="1">Расчеты!$J$1:$J$99</definedName>
    <definedName name="_xlnm._FilterDatabase" localSheetId="2" hidden="1">Тепловизор!$C$1:$C$31</definedName>
    <definedName name="отделка">'Дефектная ведомость'!$Q$3:$Q$5</definedName>
  </definedNames>
  <calcPr calcId="162913"/>
</workbook>
</file>

<file path=xl/calcChain.xml><?xml version="1.0" encoding="utf-8"?>
<calcChain xmlns="http://schemas.openxmlformats.org/spreadsheetml/2006/main">
  <c r="H206" i="3" l="1"/>
  <c r="G223" i="3"/>
  <c r="I205" i="3"/>
  <c r="G204" i="3"/>
  <c r="F205" i="3"/>
  <c r="F204" i="3"/>
  <c r="I187" i="3"/>
  <c r="G60" i="3"/>
  <c r="H42" i="3" l="1"/>
  <c r="A53" i="6" l="1"/>
  <c r="A54" i="6"/>
  <c r="H7" i="4"/>
  <c r="H5" i="4"/>
  <c r="N9" i="4" l="1"/>
  <c r="D96" i="3" l="1"/>
  <c r="D114" i="3" s="1"/>
  <c r="D132" i="3" s="1"/>
  <c r="D150" i="3" s="1"/>
  <c r="D168" i="3" s="1"/>
  <c r="D186" i="3" s="1"/>
  <c r="D204" i="3" s="1"/>
  <c r="D240" i="3" s="1"/>
  <c r="D42" i="3"/>
  <c r="AJ168" i="3" l="1"/>
  <c r="AI168" i="3"/>
  <c r="AJ132" i="3"/>
  <c r="AI132" i="3"/>
  <c r="AJ114" i="3"/>
  <c r="AI114" i="3"/>
  <c r="X33" i="3"/>
  <c r="X34" i="3" s="1"/>
  <c r="Y33" i="3"/>
  <c r="Y34" i="3" s="1"/>
  <c r="Z33" i="3"/>
  <c r="AA33" i="3"/>
  <c r="Z34" i="3"/>
  <c r="AA34" i="3"/>
  <c r="X51" i="3"/>
  <c r="X52" i="3" s="1"/>
  <c r="Y51" i="3"/>
  <c r="Y52" i="3" s="1"/>
  <c r="Z51" i="3"/>
  <c r="Z52" i="3" s="1"/>
  <c r="AA51" i="3"/>
  <c r="AA52" i="3" s="1"/>
  <c r="X69" i="3"/>
  <c r="X70" i="3" s="1"/>
  <c r="Y69" i="3"/>
  <c r="Y70" i="3" s="1"/>
  <c r="Z69" i="3"/>
  <c r="AA69" i="3"/>
  <c r="Z70" i="3"/>
  <c r="AA70" i="3"/>
  <c r="X87" i="3"/>
  <c r="X88" i="3" s="1"/>
  <c r="Y87" i="3"/>
  <c r="Y88" i="3" s="1"/>
  <c r="Z87" i="3"/>
  <c r="Z88" i="3" s="1"/>
  <c r="AA87" i="3"/>
  <c r="AA88" i="3" s="1"/>
  <c r="X105" i="3"/>
  <c r="X106" i="3" s="1"/>
  <c r="Y105" i="3"/>
  <c r="Y106" i="3" s="1"/>
  <c r="Z105" i="3"/>
  <c r="Z106" i="3" s="1"/>
  <c r="AA105" i="3"/>
  <c r="AA106" i="3" s="1"/>
  <c r="X123" i="3"/>
  <c r="X124" i="3" s="1"/>
  <c r="Y123" i="3"/>
  <c r="Y124" i="3" s="1"/>
  <c r="Z123" i="3"/>
  <c r="Z124" i="3" s="1"/>
  <c r="AA123" i="3"/>
  <c r="AA124" i="3" s="1"/>
  <c r="X141" i="3"/>
  <c r="X142" i="3" s="1"/>
  <c r="Y141" i="3"/>
  <c r="Y142" i="3" s="1"/>
  <c r="Z141" i="3"/>
  <c r="Z142" i="3" s="1"/>
  <c r="AA141" i="3"/>
  <c r="AA142" i="3" s="1"/>
  <c r="X159" i="3"/>
  <c r="X160" i="3" s="1"/>
  <c r="Y159" i="3"/>
  <c r="Y160" i="3" s="1"/>
  <c r="Z159" i="3"/>
  <c r="Z160" i="3" s="1"/>
  <c r="AA159" i="3"/>
  <c r="AA160" i="3" s="1"/>
  <c r="X177" i="3"/>
  <c r="X178" i="3" s="1"/>
  <c r="Y177" i="3"/>
  <c r="Y178" i="3" s="1"/>
  <c r="Z177" i="3"/>
  <c r="Z178" i="3" s="1"/>
  <c r="AA177" i="3"/>
  <c r="AA178" i="3" s="1"/>
  <c r="X195" i="3"/>
  <c r="X196" i="3" s="1"/>
  <c r="Y195" i="3"/>
  <c r="Y196" i="3" s="1"/>
  <c r="Z195" i="3"/>
  <c r="Z196" i="3" s="1"/>
  <c r="AA195" i="3"/>
  <c r="AA196" i="3" s="1"/>
  <c r="X249" i="3"/>
  <c r="X250" i="3" s="1"/>
  <c r="Y249" i="3"/>
  <c r="Y250" i="3" s="1"/>
  <c r="Z249" i="3"/>
  <c r="Z250" i="3" s="1"/>
  <c r="AA249" i="3"/>
  <c r="AA250" i="3" s="1"/>
  <c r="B4" i="9" l="1"/>
  <c r="B5" i="9"/>
  <c r="G11" i="11" l="1"/>
  <c r="G12" i="11"/>
  <c r="G13" i="11"/>
  <c r="B17" i="9" l="1"/>
  <c r="B15" i="9" l="1"/>
  <c r="B16" i="9"/>
  <c r="B14" i="9"/>
  <c r="D2" i="14" l="1"/>
  <c r="J37" i="4" l="1"/>
  <c r="D68" i="6" s="1"/>
  <c r="J68" i="6" s="1"/>
  <c r="A37" i="4"/>
  <c r="A68" i="6"/>
  <c r="A67" i="6" l="1"/>
  <c r="J36" i="4"/>
  <c r="D67" i="6" s="1"/>
  <c r="J67" i="6" s="1"/>
  <c r="A36" i="4"/>
  <c r="A63" i="6" l="1"/>
  <c r="J63" i="6"/>
  <c r="G25" i="3" l="1"/>
  <c r="G27" i="3" l="1"/>
  <c r="G42" i="3"/>
  <c r="D2" i="4" s="1"/>
  <c r="P5" i="3"/>
  <c r="P6" i="3"/>
  <c r="P4" i="3"/>
  <c r="G153" i="3" l="1"/>
  <c r="G171" i="3"/>
  <c r="G243" i="3"/>
  <c r="G261" i="3"/>
  <c r="J274" i="3"/>
  <c r="I274" i="3"/>
  <c r="H274" i="3"/>
  <c r="G274" i="3"/>
  <c r="F274" i="3"/>
  <c r="E274" i="3"/>
  <c r="J273" i="3"/>
  <c r="I273" i="3"/>
  <c r="H273" i="3"/>
  <c r="G273" i="3"/>
  <c r="F273" i="3"/>
  <c r="E273" i="3"/>
  <c r="J272" i="3"/>
  <c r="I272" i="3"/>
  <c r="H272" i="3"/>
  <c r="G272" i="3"/>
  <c r="F272" i="3"/>
  <c r="E272" i="3"/>
  <c r="J271" i="3"/>
  <c r="I271" i="3"/>
  <c r="H271" i="3"/>
  <c r="G271" i="3"/>
  <c r="F271" i="3"/>
  <c r="E271" i="3"/>
  <c r="J270" i="3"/>
  <c r="I270" i="3"/>
  <c r="H270" i="3"/>
  <c r="G270" i="3"/>
  <c r="F270" i="3"/>
  <c r="E270" i="3"/>
  <c r="J269" i="3"/>
  <c r="I269" i="3"/>
  <c r="H269" i="3"/>
  <c r="G269" i="3"/>
  <c r="F269" i="3"/>
  <c r="E269" i="3"/>
  <c r="AC267" i="3"/>
  <c r="AC268" i="3" s="1"/>
  <c r="AB267" i="3"/>
  <c r="AB268" i="3" s="1"/>
  <c r="W267" i="3"/>
  <c r="W268" i="3" s="1"/>
  <c r="V267" i="3"/>
  <c r="V268" i="3" s="1"/>
  <c r="U267" i="3"/>
  <c r="U268" i="3" s="1"/>
  <c r="T267" i="3"/>
  <c r="T268" i="3" s="1"/>
  <c r="S267" i="3"/>
  <c r="S268" i="3" s="1"/>
  <c r="R267" i="3"/>
  <c r="R268" i="3" s="1"/>
  <c r="J256" i="3"/>
  <c r="I256" i="3"/>
  <c r="H256" i="3"/>
  <c r="G256" i="3"/>
  <c r="F256" i="3"/>
  <c r="E256" i="3"/>
  <c r="J255" i="3"/>
  <c r="I255" i="3"/>
  <c r="H255" i="3"/>
  <c r="G255" i="3"/>
  <c r="F255" i="3"/>
  <c r="E255" i="3"/>
  <c r="J254" i="3"/>
  <c r="I254" i="3"/>
  <c r="H254" i="3"/>
  <c r="G254" i="3"/>
  <c r="F254" i="3"/>
  <c r="E254" i="3"/>
  <c r="J253" i="3"/>
  <c r="I253" i="3"/>
  <c r="H253" i="3"/>
  <c r="G253" i="3"/>
  <c r="F253" i="3"/>
  <c r="E253" i="3"/>
  <c r="J252" i="3"/>
  <c r="I252" i="3"/>
  <c r="H252" i="3"/>
  <c r="G252" i="3"/>
  <c r="F252" i="3"/>
  <c r="E252" i="3"/>
  <c r="J251" i="3"/>
  <c r="I251" i="3"/>
  <c r="H251" i="3"/>
  <c r="G251" i="3"/>
  <c r="F251" i="3"/>
  <c r="E251" i="3"/>
  <c r="AC249" i="3"/>
  <c r="AC250" i="3" s="1"/>
  <c r="AB249" i="3"/>
  <c r="AB250" i="3" s="1"/>
  <c r="W249" i="3"/>
  <c r="W250" i="3" s="1"/>
  <c r="V249" i="3"/>
  <c r="V250" i="3" s="1"/>
  <c r="U249" i="3"/>
  <c r="U250" i="3" s="1"/>
  <c r="T249" i="3"/>
  <c r="T250" i="3" s="1"/>
  <c r="S249" i="3"/>
  <c r="S250" i="3" s="1"/>
  <c r="R249" i="3"/>
  <c r="R250" i="3" s="1"/>
  <c r="D259" i="3"/>
  <c r="D241" i="3"/>
  <c r="G189" i="3"/>
  <c r="J238" i="3"/>
  <c r="I238" i="3"/>
  <c r="H238" i="3"/>
  <c r="G238" i="3"/>
  <c r="F238" i="3"/>
  <c r="E238" i="3"/>
  <c r="J237" i="3"/>
  <c r="I237" i="3"/>
  <c r="H237" i="3"/>
  <c r="G237" i="3"/>
  <c r="F237" i="3"/>
  <c r="E237" i="3"/>
  <c r="J236" i="3"/>
  <c r="I236" i="3"/>
  <c r="H236" i="3"/>
  <c r="G236" i="3"/>
  <c r="F236" i="3"/>
  <c r="E236" i="3"/>
  <c r="J235" i="3"/>
  <c r="I235" i="3"/>
  <c r="H235" i="3"/>
  <c r="G235" i="3"/>
  <c r="F235" i="3"/>
  <c r="E235" i="3"/>
  <c r="J234" i="3"/>
  <c r="I234" i="3"/>
  <c r="H234" i="3"/>
  <c r="G234" i="3"/>
  <c r="F234" i="3"/>
  <c r="E234" i="3"/>
  <c r="J233" i="3"/>
  <c r="I233" i="3"/>
  <c r="H233" i="3"/>
  <c r="G233" i="3"/>
  <c r="F233" i="3"/>
  <c r="E233" i="3"/>
  <c r="J220" i="3"/>
  <c r="I220" i="3"/>
  <c r="H220" i="3"/>
  <c r="G220" i="3"/>
  <c r="F220" i="3"/>
  <c r="E220" i="3"/>
  <c r="J219" i="3"/>
  <c r="I219" i="3"/>
  <c r="H219" i="3"/>
  <c r="G219" i="3"/>
  <c r="F219" i="3"/>
  <c r="E219" i="3"/>
  <c r="J218" i="3"/>
  <c r="I218" i="3"/>
  <c r="H218" i="3"/>
  <c r="G218" i="3"/>
  <c r="F218" i="3"/>
  <c r="E218" i="3"/>
  <c r="J217" i="3"/>
  <c r="I217" i="3"/>
  <c r="H217" i="3"/>
  <c r="G217" i="3"/>
  <c r="F217" i="3"/>
  <c r="E217" i="3"/>
  <c r="J216" i="3"/>
  <c r="I216" i="3"/>
  <c r="H216" i="3"/>
  <c r="G216" i="3"/>
  <c r="F216" i="3"/>
  <c r="E216" i="3"/>
  <c r="J215" i="3"/>
  <c r="I215" i="3"/>
  <c r="H215" i="3"/>
  <c r="G215" i="3"/>
  <c r="F215" i="3"/>
  <c r="E215" i="3"/>
  <c r="J202" i="3"/>
  <c r="I202" i="3"/>
  <c r="H202" i="3"/>
  <c r="G202" i="3"/>
  <c r="F202" i="3"/>
  <c r="E202" i="3"/>
  <c r="J201" i="3"/>
  <c r="I201" i="3"/>
  <c r="H201" i="3"/>
  <c r="G201" i="3"/>
  <c r="F201" i="3"/>
  <c r="E201" i="3"/>
  <c r="J200" i="3"/>
  <c r="I200" i="3"/>
  <c r="H200" i="3"/>
  <c r="G200" i="3"/>
  <c r="F200" i="3"/>
  <c r="E200" i="3"/>
  <c r="J199" i="3"/>
  <c r="I199" i="3"/>
  <c r="H199" i="3"/>
  <c r="G199" i="3"/>
  <c r="F199" i="3"/>
  <c r="E199" i="3"/>
  <c r="J198" i="3"/>
  <c r="I198" i="3"/>
  <c r="H198" i="3"/>
  <c r="G198" i="3"/>
  <c r="F198" i="3"/>
  <c r="E198" i="3"/>
  <c r="J197" i="3"/>
  <c r="I197" i="3"/>
  <c r="H197" i="3"/>
  <c r="G197" i="3"/>
  <c r="F197" i="3"/>
  <c r="E197" i="3"/>
  <c r="AC195" i="3"/>
  <c r="AC196" i="3" s="1"/>
  <c r="AB195" i="3"/>
  <c r="AB196" i="3" s="1"/>
  <c r="W195" i="3"/>
  <c r="W196" i="3" s="1"/>
  <c r="V195" i="3"/>
  <c r="V196" i="3" s="1"/>
  <c r="U195" i="3"/>
  <c r="U196" i="3" s="1"/>
  <c r="T195" i="3"/>
  <c r="T196" i="3" s="1"/>
  <c r="S195" i="3"/>
  <c r="S196" i="3" s="1"/>
  <c r="R195" i="3"/>
  <c r="R196" i="3" s="1"/>
  <c r="D187" i="3"/>
  <c r="D115" i="3"/>
  <c r="D133" i="3"/>
  <c r="D151" i="3"/>
  <c r="D169" i="3"/>
  <c r="J184" i="3"/>
  <c r="I184" i="3"/>
  <c r="H184" i="3"/>
  <c r="G184" i="3"/>
  <c r="F184" i="3"/>
  <c r="E184" i="3"/>
  <c r="J183" i="3"/>
  <c r="I183" i="3"/>
  <c r="H183" i="3"/>
  <c r="G183" i="3"/>
  <c r="F183" i="3"/>
  <c r="E183" i="3"/>
  <c r="J182" i="3"/>
  <c r="I182" i="3"/>
  <c r="H182" i="3"/>
  <c r="G182" i="3"/>
  <c r="F182" i="3"/>
  <c r="E182" i="3"/>
  <c r="J181" i="3"/>
  <c r="I181" i="3"/>
  <c r="H181" i="3"/>
  <c r="G181" i="3"/>
  <c r="F181" i="3"/>
  <c r="E181" i="3"/>
  <c r="J180" i="3"/>
  <c r="I180" i="3"/>
  <c r="H180" i="3"/>
  <c r="G180" i="3"/>
  <c r="F180" i="3"/>
  <c r="E180" i="3"/>
  <c r="J179" i="3"/>
  <c r="I179" i="3"/>
  <c r="H179" i="3"/>
  <c r="G179" i="3"/>
  <c r="F179" i="3"/>
  <c r="E179" i="3"/>
  <c r="AC177" i="3"/>
  <c r="AC178" i="3" s="1"/>
  <c r="AB177" i="3"/>
  <c r="AB178" i="3" s="1"/>
  <c r="W177" i="3"/>
  <c r="W178" i="3" s="1"/>
  <c r="V177" i="3"/>
  <c r="V178" i="3" s="1"/>
  <c r="U177" i="3"/>
  <c r="U178" i="3" s="1"/>
  <c r="T177" i="3"/>
  <c r="T178" i="3" s="1"/>
  <c r="S177" i="3"/>
  <c r="S178" i="3" s="1"/>
  <c r="R177" i="3"/>
  <c r="R178" i="3" s="1"/>
  <c r="L168" i="3"/>
  <c r="J168" i="3"/>
  <c r="I168" i="3"/>
  <c r="J166" i="3"/>
  <c r="I166" i="3"/>
  <c r="H166" i="3"/>
  <c r="G166" i="3"/>
  <c r="F166" i="3"/>
  <c r="E166" i="3"/>
  <c r="J165" i="3"/>
  <c r="I165" i="3"/>
  <c r="H165" i="3"/>
  <c r="G165" i="3"/>
  <c r="F165" i="3"/>
  <c r="E165" i="3"/>
  <c r="J164" i="3"/>
  <c r="I164" i="3"/>
  <c r="H164" i="3"/>
  <c r="G164" i="3"/>
  <c r="F164" i="3"/>
  <c r="E164" i="3"/>
  <c r="J163" i="3"/>
  <c r="I163" i="3"/>
  <c r="H163" i="3"/>
  <c r="G163" i="3"/>
  <c r="F163" i="3"/>
  <c r="E163" i="3"/>
  <c r="J162" i="3"/>
  <c r="I162" i="3"/>
  <c r="H162" i="3"/>
  <c r="G162" i="3"/>
  <c r="F162" i="3"/>
  <c r="E162" i="3"/>
  <c r="J161" i="3"/>
  <c r="I161" i="3"/>
  <c r="H161" i="3"/>
  <c r="G161" i="3"/>
  <c r="F161" i="3"/>
  <c r="E161" i="3"/>
  <c r="AC159" i="3"/>
  <c r="AC160" i="3" s="1"/>
  <c r="AB159" i="3"/>
  <c r="AB160" i="3" s="1"/>
  <c r="W159" i="3"/>
  <c r="W160" i="3" s="1"/>
  <c r="V159" i="3"/>
  <c r="V160" i="3" s="1"/>
  <c r="U159" i="3"/>
  <c r="U160" i="3" s="1"/>
  <c r="T159" i="3"/>
  <c r="T160" i="3" s="1"/>
  <c r="S159" i="3"/>
  <c r="S160" i="3" s="1"/>
  <c r="R159" i="3"/>
  <c r="R160" i="3" s="1"/>
  <c r="L150" i="3"/>
  <c r="J150" i="3"/>
  <c r="I150" i="3"/>
  <c r="J148" i="3"/>
  <c r="I148" i="3"/>
  <c r="H148" i="3"/>
  <c r="G148" i="3"/>
  <c r="F148" i="3"/>
  <c r="E148" i="3"/>
  <c r="J147" i="3"/>
  <c r="I147" i="3"/>
  <c r="H147" i="3"/>
  <c r="G147" i="3"/>
  <c r="F147" i="3"/>
  <c r="E147" i="3"/>
  <c r="J146" i="3"/>
  <c r="I146" i="3"/>
  <c r="H146" i="3"/>
  <c r="G146" i="3"/>
  <c r="F146" i="3"/>
  <c r="E146" i="3"/>
  <c r="J145" i="3"/>
  <c r="I145" i="3"/>
  <c r="H145" i="3"/>
  <c r="G145" i="3"/>
  <c r="F145" i="3"/>
  <c r="E145" i="3"/>
  <c r="J144" i="3"/>
  <c r="I144" i="3"/>
  <c r="H144" i="3"/>
  <c r="G144" i="3"/>
  <c r="F144" i="3"/>
  <c r="E144" i="3"/>
  <c r="J143" i="3"/>
  <c r="I143" i="3"/>
  <c r="H143" i="3"/>
  <c r="G143" i="3"/>
  <c r="F143" i="3"/>
  <c r="E143" i="3"/>
  <c r="AC141" i="3"/>
  <c r="AC142" i="3" s="1"/>
  <c r="AB141" i="3"/>
  <c r="AB142" i="3" s="1"/>
  <c r="W141" i="3"/>
  <c r="W142" i="3" s="1"/>
  <c r="V141" i="3"/>
  <c r="V142" i="3" s="1"/>
  <c r="U141" i="3"/>
  <c r="U142" i="3" s="1"/>
  <c r="T141" i="3"/>
  <c r="T142" i="3" s="1"/>
  <c r="S141" i="3"/>
  <c r="S142" i="3" s="1"/>
  <c r="R141" i="3"/>
  <c r="R142" i="3" s="1"/>
  <c r="G135" i="3"/>
  <c r="L132" i="3"/>
  <c r="M132" i="3" s="1"/>
  <c r="J132" i="3"/>
  <c r="I132" i="3"/>
  <c r="AK132" i="3" s="1"/>
  <c r="J130" i="3"/>
  <c r="I130" i="3"/>
  <c r="H130" i="3"/>
  <c r="G130" i="3"/>
  <c r="F130" i="3"/>
  <c r="E130" i="3"/>
  <c r="J129" i="3"/>
  <c r="I129" i="3"/>
  <c r="H129" i="3"/>
  <c r="G129" i="3"/>
  <c r="F129" i="3"/>
  <c r="E129" i="3"/>
  <c r="J128" i="3"/>
  <c r="I128" i="3"/>
  <c r="H128" i="3"/>
  <c r="G128" i="3"/>
  <c r="F128" i="3"/>
  <c r="E128" i="3"/>
  <c r="J127" i="3"/>
  <c r="I127" i="3"/>
  <c r="H127" i="3"/>
  <c r="G127" i="3"/>
  <c r="F127" i="3"/>
  <c r="E127" i="3"/>
  <c r="J126" i="3"/>
  <c r="I126" i="3"/>
  <c r="H126" i="3"/>
  <c r="G126" i="3"/>
  <c r="F126" i="3"/>
  <c r="E126" i="3"/>
  <c r="J125" i="3"/>
  <c r="I125" i="3"/>
  <c r="H125" i="3"/>
  <c r="G125" i="3"/>
  <c r="F125" i="3"/>
  <c r="E125" i="3"/>
  <c r="AC123" i="3"/>
  <c r="AC124" i="3" s="1"/>
  <c r="AB123" i="3"/>
  <c r="AB124" i="3" s="1"/>
  <c r="W123" i="3"/>
  <c r="W124" i="3" s="1"/>
  <c r="V123" i="3"/>
  <c r="V124" i="3" s="1"/>
  <c r="U123" i="3"/>
  <c r="U124" i="3" s="1"/>
  <c r="T123" i="3"/>
  <c r="T124" i="3" s="1"/>
  <c r="S123" i="3"/>
  <c r="S124" i="3" s="1"/>
  <c r="R123" i="3"/>
  <c r="R124" i="3" s="1"/>
  <c r="G117" i="3"/>
  <c r="L114" i="3"/>
  <c r="J114" i="3"/>
  <c r="I114" i="3"/>
  <c r="G63" i="3"/>
  <c r="P3" i="3" s="1"/>
  <c r="G81" i="3"/>
  <c r="G99" i="3"/>
  <c r="D97" i="3"/>
  <c r="J112" i="3"/>
  <c r="I112" i="3"/>
  <c r="H112" i="3"/>
  <c r="G112" i="3"/>
  <c r="F112" i="3"/>
  <c r="E112" i="3"/>
  <c r="J111" i="3"/>
  <c r="I111" i="3"/>
  <c r="H111" i="3"/>
  <c r="G111" i="3"/>
  <c r="F111" i="3"/>
  <c r="E111" i="3"/>
  <c r="J110" i="3"/>
  <c r="I110" i="3"/>
  <c r="H110" i="3"/>
  <c r="G110" i="3"/>
  <c r="F110" i="3"/>
  <c r="E110" i="3"/>
  <c r="J109" i="3"/>
  <c r="I109" i="3"/>
  <c r="H109" i="3"/>
  <c r="G109" i="3"/>
  <c r="F109" i="3"/>
  <c r="E109" i="3"/>
  <c r="J108" i="3"/>
  <c r="I108" i="3"/>
  <c r="H108" i="3"/>
  <c r="G108" i="3"/>
  <c r="F108" i="3"/>
  <c r="E108" i="3"/>
  <c r="J107" i="3"/>
  <c r="I107" i="3"/>
  <c r="H107" i="3"/>
  <c r="G107" i="3"/>
  <c r="F107" i="3"/>
  <c r="E107" i="3"/>
  <c r="AC105" i="3"/>
  <c r="AC106" i="3" s="1"/>
  <c r="AB105" i="3"/>
  <c r="AB106" i="3" s="1"/>
  <c r="W105" i="3"/>
  <c r="W106" i="3" s="1"/>
  <c r="V105" i="3"/>
  <c r="V106" i="3" s="1"/>
  <c r="U105" i="3"/>
  <c r="U106" i="3" s="1"/>
  <c r="T105" i="3"/>
  <c r="T106" i="3" s="1"/>
  <c r="S105" i="3"/>
  <c r="S106" i="3" s="1"/>
  <c r="R105" i="3"/>
  <c r="R106" i="3" s="1"/>
  <c r="D25" i="3"/>
  <c r="J40" i="3"/>
  <c r="I40" i="3"/>
  <c r="H40" i="3"/>
  <c r="G40" i="3"/>
  <c r="F40" i="3"/>
  <c r="E40" i="3"/>
  <c r="J39" i="3"/>
  <c r="I39" i="3"/>
  <c r="H39" i="3"/>
  <c r="G39" i="3"/>
  <c r="F39" i="3"/>
  <c r="E39" i="3"/>
  <c r="J38" i="3"/>
  <c r="I38" i="3"/>
  <c r="H38" i="3"/>
  <c r="G38" i="3"/>
  <c r="F38" i="3"/>
  <c r="E38" i="3"/>
  <c r="J37" i="3"/>
  <c r="I37" i="3"/>
  <c r="H37" i="3"/>
  <c r="G37" i="3"/>
  <c r="F37" i="3"/>
  <c r="E37" i="3"/>
  <c r="J36" i="3"/>
  <c r="I36" i="3"/>
  <c r="H36" i="3"/>
  <c r="G36" i="3"/>
  <c r="F36" i="3"/>
  <c r="E36" i="3"/>
  <c r="J35" i="3"/>
  <c r="I35" i="3"/>
  <c r="H35" i="3"/>
  <c r="G35" i="3"/>
  <c r="F35" i="3"/>
  <c r="E35" i="3"/>
  <c r="AC33" i="3"/>
  <c r="AC34" i="3" s="1"/>
  <c r="AB33" i="3"/>
  <c r="AB34" i="3" s="1"/>
  <c r="W33" i="3"/>
  <c r="W34" i="3" s="1"/>
  <c r="V33" i="3"/>
  <c r="V34" i="3" s="1"/>
  <c r="U33" i="3"/>
  <c r="U34" i="3" s="1"/>
  <c r="T33" i="3"/>
  <c r="T34" i="3" s="1"/>
  <c r="S33" i="3"/>
  <c r="S34" i="3" s="1"/>
  <c r="R33" i="3"/>
  <c r="R34" i="3" s="1"/>
  <c r="J58" i="3"/>
  <c r="I58" i="3"/>
  <c r="H58" i="3"/>
  <c r="G58" i="3"/>
  <c r="F58" i="3"/>
  <c r="E58" i="3"/>
  <c r="J57" i="3"/>
  <c r="I57" i="3"/>
  <c r="H57" i="3"/>
  <c r="G57" i="3"/>
  <c r="F57" i="3"/>
  <c r="E57" i="3"/>
  <c r="J56" i="3"/>
  <c r="I56" i="3"/>
  <c r="H56" i="3"/>
  <c r="G56" i="3"/>
  <c r="F56" i="3"/>
  <c r="E56" i="3"/>
  <c r="J55" i="3"/>
  <c r="I55" i="3"/>
  <c r="H55" i="3"/>
  <c r="G55" i="3"/>
  <c r="F55" i="3"/>
  <c r="E55" i="3"/>
  <c r="J54" i="3"/>
  <c r="I54" i="3"/>
  <c r="H54" i="3"/>
  <c r="G54" i="3"/>
  <c r="F54" i="3"/>
  <c r="E54" i="3"/>
  <c r="J53" i="3"/>
  <c r="I53" i="3"/>
  <c r="H53" i="3"/>
  <c r="G53" i="3"/>
  <c r="F53" i="3"/>
  <c r="E53" i="3"/>
  <c r="J94" i="3"/>
  <c r="I94" i="3"/>
  <c r="H94" i="3"/>
  <c r="G94" i="3"/>
  <c r="F94" i="3"/>
  <c r="E94" i="3"/>
  <c r="J93" i="3"/>
  <c r="H93" i="3"/>
  <c r="G93" i="3"/>
  <c r="F93" i="3"/>
  <c r="E93" i="3"/>
  <c r="J92" i="3"/>
  <c r="I92" i="3"/>
  <c r="H92" i="3"/>
  <c r="G92" i="3"/>
  <c r="F92" i="3"/>
  <c r="E92" i="3"/>
  <c r="J91" i="3"/>
  <c r="I91" i="3"/>
  <c r="H91" i="3"/>
  <c r="G91" i="3"/>
  <c r="F91" i="3"/>
  <c r="E91" i="3"/>
  <c r="J90" i="3"/>
  <c r="H90" i="3"/>
  <c r="G90" i="3"/>
  <c r="F90" i="3"/>
  <c r="E90" i="3"/>
  <c r="J89" i="3"/>
  <c r="I89" i="3"/>
  <c r="H89" i="3"/>
  <c r="G89" i="3"/>
  <c r="F89" i="3"/>
  <c r="E89" i="3"/>
  <c r="AC87" i="3"/>
  <c r="AC88" i="3" s="1"/>
  <c r="AB87" i="3"/>
  <c r="AB88" i="3" s="1"/>
  <c r="W87" i="3"/>
  <c r="W88" i="3" s="1"/>
  <c r="V87" i="3"/>
  <c r="V88" i="3" s="1"/>
  <c r="U87" i="3"/>
  <c r="U88" i="3" s="1"/>
  <c r="T87" i="3"/>
  <c r="T88" i="3" s="1"/>
  <c r="S87" i="3"/>
  <c r="S88" i="3" s="1"/>
  <c r="R87" i="3"/>
  <c r="R88" i="3" s="1"/>
  <c r="D79" i="3"/>
  <c r="G43" i="3"/>
  <c r="P2" i="3" s="1"/>
  <c r="S69" i="3"/>
  <c r="T69" i="3"/>
  <c r="U69" i="3"/>
  <c r="V69" i="3"/>
  <c r="W69" i="3"/>
  <c r="AB69" i="3"/>
  <c r="AC69" i="3"/>
  <c r="R69" i="3"/>
  <c r="I60" i="3"/>
  <c r="J60" i="3"/>
  <c r="AJ150" i="3" l="1"/>
  <c r="AI150" i="3"/>
  <c r="AI60" i="3"/>
  <c r="AJ60" i="3"/>
  <c r="D223" i="3"/>
  <c r="Y231" i="3"/>
  <c r="Y232" i="3" s="1"/>
  <c r="Z231" i="3"/>
  <c r="Z232" i="3" s="1"/>
  <c r="AA231" i="3"/>
  <c r="AA232" i="3" s="1"/>
  <c r="X231" i="3"/>
  <c r="X232" i="3" s="1"/>
  <c r="D205" i="3"/>
  <c r="X213" i="3"/>
  <c r="X214" i="3" s="1"/>
  <c r="Y213" i="3"/>
  <c r="Y214" i="3" s="1"/>
  <c r="AA213" i="3"/>
  <c r="AA214" i="3" s="1"/>
  <c r="Z213" i="3"/>
  <c r="Z214" i="3" s="1"/>
  <c r="AL258" i="3"/>
  <c r="AL240" i="3"/>
  <c r="AM258" i="3"/>
  <c r="AM240" i="3"/>
  <c r="AM222" i="3"/>
  <c r="AL222" i="3"/>
  <c r="AL204" i="3"/>
  <c r="AM204" i="3"/>
  <c r="AM186" i="3"/>
  <c r="AL186" i="3"/>
  <c r="AM96" i="3"/>
  <c r="AL96" i="3"/>
  <c r="AM132" i="3"/>
  <c r="AL150" i="3"/>
  <c r="AM150" i="3"/>
  <c r="AL114" i="3"/>
  <c r="AL168" i="3"/>
  <c r="AM168" i="3"/>
  <c r="AL132" i="3"/>
  <c r="AM114" i="3"/>
  <c r="M168" i="3"/>
  <c r="M150" i="3"/>
  <c r="M114" i="3"/>
  <c r="AM24" i="3"/>
  <c r="AL24" i="3"/>
  <c r="AM42" i="3"/>
  <c r="AL42" i="3"/>
  <c r="D137" i="3"/>
  <c r="D119" i="3"/>
  <c r="AJ8" i="3" l="1"/>
  <c r="AK168" i="3"/>
  <c r="AK150" i="3"/>
  <c r="AK114" i="3"/>
  <c r="AK8" i="3" s="1"/>
  <c r="AJ9" i="3"/>
  <c r="AI9" i="3"/>
  <c r="AL9" i="3"/>
  <c r="AM9" i="3"/>
  <c r="AL8" i="3"/>
  <c r="AM8" i="3"/>
  <c r="AK9" i="3"/>
  <c r="AI8" i="3"/>
  <c r="B10" i="11"/>
  <c r="F172" i="16" l="1"/>
  <c r="F171" i="16"/>
  <c r="F170" i="16"/>
  <c r="F169" i="16"/>
  <c r="F168" i="16"/>
  <c r="F166" i="16"/>
  <c r="F165" i="16"/>
  <c r="F164" i="16"/>
  <c r="F163" i="16"/>
  <c r="F162" i="16"/>
  <c r="F161" i="16"/>
  <c r="F160" i="16"/>
  <c r="F159" i="16"/>
  <c r="F158" i="16"/>
  <c r="F157" i="16"/>
  <c r="F156"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0" i="16"/>
  <c r="F129" i="16"/>
  <c r="F128" i="16"/>
  <c r="F127" i="16"/>
  <c r="F126" i="16"/>
  <c r="F125" i="16"/>
  <c r="F124" i="16"/>
  <c r="F123" i="16"/>
  <c r="F122" i="16"/>
  <c r="F121" i="16"/>
  <c r="F120" i="16"/>
  <c r="F118" i="16"/>
  <c r="F117" i="16"/>
  <c r="F116" i="16"/>
  <c r="F115" i="16"/>
  <c r="F114" i="16"/>
  <c r="F113" i="16"/>
  <c r="F112" i="16"/>
  <c r="F111" i="16"/>
  <c r="F110" i="16"/>
  <c r="F109" i="16"/>
  <c r="F108" i="16"/>
  <c r="F107" i="16"/>
  <c r="F106" i="16"/>
  <c r="F105" i="16"/>
  <c r="F104" i="16"/>
  <c r="F103" i="16"/>
  <c r="F102" i="16"/>
  <c r="F100" i="16"/>
  <c r="F99" i="16"/>
  <c r="F98" i="16"/>
  <c r="F97" i="16"/>
  <c r="F96" i="16"/>
  <c r="F95" i="16"/>
  <c r="F94" i="16"/>
  <c r="F93" i="16"/>
  <c r="F92" i="16"/>
  <c r="F91" i="16"/>
  <c r="F90" i="16"/>
  <c r="F89" i="16"/>
  <c r="F88" i="16"/>
  <c r="F87" i="16"/>
  <c r="F86" i="16"/>
  <c r="F85" i="16"/>
  <c r="F84" i="16"/>
  <c r="F82" i="16"/>
  <c r="F81" i="16"/>
  <c r="F80" i="16"/>
  <c r="F79" i="16"/>
  <c r="F78" i="16"/>
  <c r="F77" i="16"/>
  <c r="F76" i="16"/>
  <c r="F75" i="16"/>
  <c r="F73" i="16"/>
  <c r="F72" i="16"/>
  <c r="F71" i="16"/>
  <c r="F70" i="16"/>
  <c r="F69" i="16"/>
  <c r="F68" i="16"/>
  <c r="F67" i="16"/>
  <c r="F66" i="16"/>
  <c r="F65" i="16"/>
  <c r="F64" i="16"/>
  <c r="F63" i="16"/>
  <c r="F62" i="16"/>
  <c r="F61" i="16"/>
  <c r="F60" i="16"/>
  <c r="F59" i="16"/>
  <c r="F57" i="16"/>
  <c r="F56" i="16"/>
  <c r="F55" i="16"/>
  <c r="F54" i="16"/>
  <c r="F53" i="16"/>
  <c r="F52" i="16"/>
  <c r="F51" i="16"/>
  <c r="F50" i="16"/>
  <c r="F49" i="16"/>
  <c r="F48" i="16"/>
  <c r="F47" i="16"/>
  <c r="F46" i="16"/>
  <c r="F45" i="16"/>
  <c r="F44" i="16"/>
  <c r="F42" i="16"/>
  <c r="F41" i="16"/>
  <c r="F40" i="16"/>
  <c r="F39" i="16"/>
  <c r="F38" i="16"/>
  <c r="F37" i="16"/>
  <c r="F36" i="16"/>
  <c r="F35" i="16"/>
  <c r="F34" i="16"/>
  <c r="F33"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F6" i="16"/>
  <c r="F5" i="16"/>
  <c r="F4" i="16"/>
  <c r="F3" i="16"/>
  <c r="E161" i="15" l="1"/>
  <c r="E111" i="15"/>
  <c r="E54" i="15"/>
  <c r="AI20" i="3" l="1"/>
  <c r="C172" i="16"/>
  <c r="C171" i="16"/>
  <c r="C170" i="16"/>
  <c r="C169" i="16"/>
  <c r="C168" i="16"/>
  <c r="C166" i="16"/>
  <c r="C165" i="16"/>
  <c r="C164" i="16"/>
  <c r="C163" i="16"/>
  <c r="C162" i="16"/>
  <c r="C161" i="16"/>
  <c r="C160" i="16"/>
  <c r="C159" i="16"/>
  <c r="C158" i="16"/>
  <c r="C157" i="16"/>
  <c r="C156"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0" i="16"/>
  <c r="C129" i="16"/>
  <c r="C128" i="16"/>
  <c r="C127" i="16"/>
  <c r="C126" i="16"/>
  <c r="C125" i="16"/>
  <c r="C124" i="16"/>
  <c r="C123" i="16"/>
  <c r="C122" i="16"/>
  <c r="C121" i="16"/>
  <c r="C120" i="16"/>
  <c r="C118" i="16"/>
  <c r="C117" i="16"/>
  <c r="C116" i="16"/>
  <c r="C115" i="16"/>
  <c r="C114" i="16"/>
  <c r="C113" i="16"/>
  <c r="C112" i="16"/>
  <c r="C111" i="16"/>
  <c r="C110" i="16"/>
  <c r="C109" i="16"/>
  <c r="C108" i="16"/>
  <c r="C107" i="16"/>
  <c r="C106" i="16"/>
  <c r="C105" i="16"/>
  <c r="C104" i="16"/>
  <c r="C103" i="16"/>
  <c r="C102" i="16"/>
  <c r="C100" i="16"/>
  <c r="C99" i="16"/>
  <c r="C98" i="16"/>
  <c r="C97" i="16"/>
  <c r="C96" i="16"/>
  <c r="C95" i="16"/>
  <c r="C94" i="16"/>
  <c r="C93" i="16"/>
  <c r="C92" i="16"/>
  <c r="C91" i="16"/>
  <c r="C90" i="16"/>
  <c r="C89" i="16"/>
  <c r="C88" i="16"/>
  <c r="C87" i="16"/>
  <c r="C86" i="16"/>
  <c r="C85" i="16"/>
  <c r="C84" i="16"/>
  <c r="C82" i="16"/>
  <c r="C81" i="16"/>
  <c r="C80" i="16"/>
  <c r="C79" i="16"/>
  <c r="C78" i="16"/>
  <c r="C77" i="16"/>
  <c r="C76" i="16"/>
  <c r="C75" i="16"/>
  <c r="C73" i="16"/>
  <c r="C72" i="16"/>
  <c r="C71" i="16"/>
  <c r="C70" i="16"/>
  <c r="C69" i="16"/>
  <c r="C68" i="16"/>
  <c r="C67" i="16"/>
  <c r="C66" i="16"/>
  <c r="C65" i="16"/>
  <c r="C64" i="16"/>
  <c r="C63" i="16"/>
  <c r="C62" i="16"/>
  <c r="C61" i="16"/>
  <c r="C60" i="16"/>
  <c r="C59" i="16"/>
  <c r="C57" i="16"/>
  <c r="C56" i="16"/>
  <c r="C55" i="16"/>
  <c r="C54" i="16"/>
  <c r="C53" i="16"/>
  <c r="C52" i="16"/>
  <c r="C51" i="16"/>
  <c r="C50" i="16"/>
  <c r="C49" i="16"/>
  <c r="C48" i="16"/>
  <c r="C47" i="16"/>
  <c r="C46" i="16"/>
  <c r="C45" i="16"/>
  <c r="C44" i="16"/>
  <c r="C42" i="16"/>
  <c r="C41" i="16"/>
  <c r="C40" i="16"/>
  <c r="C39" i="16"/>
  <c r="C38" i="16"/>
  <c r="C37" i="16"/>
  <c r="C36" i="16"/>
  <c r="C35" i="16"/>
  <c r="C34" i="16"/>
  <c r="C33"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C6" i="16"/>
  <c r="C5" i="16"/>
  <c r="C4" i="16"/>
  <c r="C3" i="16"/>
  <c r="D3" i="9"/>
  <c r="O5" i="11" l="1"/>
  <c r="M5" i="11"/>
  <c r="P5" i="11"/>
  <c r="Q5" i="11" l="1"/>
  <c r="R5" i="11" s="1"/>
  <c r="B7" i="11" l="1"/>
  <c r="AC70" i="3"/>
  <c r="AB70" i="3"/>
  <c r="W70" i="3"/>
  <c r="U70" i="3"/>
  <c r="T70" i="3"/>
  <c r="S70" i="3"/>
  <c r="R70" i="3"/>
  <c r="V70" i="3"/>
  <c r="B9" i="11" l="1"/>
  <c r="B8" i="11"/>
  <c r="B6" i="11"/>
  <c r="A11" i="11" l="1"/>
  <c r="A13" i="11"/>
  <c r="A12" i="11"/>
  <c r="N4" i="4"/>
  <c r="N6" i="4" s="1"/>
  <c r="M4" i="4"/>
  <c r="M6" i="4" s="1"/>
  <c r="D17" i="11" l="1"/>
  <c r="A6" i="11"/>
  <c r="A7" i="11"/>
  <c r="A21" i="4" l="1"/>
  <c r="D48" i="3" l="1"/>
  <c r="A10" i="11" l="1"/>
  <c r="L258" i="3"/>
  <c r="M258" i="3" s="1"/>
  <c r="J258" i="3"/>
  <c r="I258" i="3"/>
  <c r="AJ258" i="3" l="1"/>
  <c r="AI258" i="3"/>
  <c r="AK258" i="3"/>
  <c r="D206" i="3"/>
  <c r="D188" i="3"/>
  <c r="D61" i="3"/>
  <c r="AC231" i="3" l="1"/>
  <c r="AC232" i="3" s="1"/>
  <c r="AB231" i="3"/>
  <c r="AB232" i="3" s="1"/>
  <c r="W231" i="3"/>
  <c r="W232" i="3" s="1"/>
  <c r="V231" i="3"/>
  <c r="V232" i="3" s="1"/>
  <c r="U231" i="3"/>
  <c r="U232" i="3" s="1"/>
  <c r="T231" i="3"/>
  <c r="T232" i="3" s="1"/>
  <c r="S231" i="3"/>
  <c r="S232" i="3" s="1"/>
  <c r="R231" i="3"/>
  <c r="R232" i="3" s="1"/>
  <c r="AC213" i="3"/>
  <c r="AC214" i="3" s="1"/>
  <c r="AB213" i="3"/>
  <c r="AB214" i="3" s="1"/>
  <c r="W213" i="3"/>
  <c r="W214" i="3" s="1"/>
  <c r="V213" i="3"/>
  <c r="V214" i="3" s="1"/>
  <c r="U213" i="3"/>
  <c r="U214" i="3" s="1"/>
  <c r="T213" i="3"/>
  <c r="T214" i="3" s="1"/>
  <c r="S213" i="3"/>
  <c r="S214" i="3" s="1"/>
  <c r="R213" i="3"/>
  <c r="R214" i="3" s="1"/>
  <c r="AC51" i="3"/>
  <c r="AC52" i="3" s="1"/>
  <c r="U51" i="3"/>
  <c r="U52" i="3" s="1"/>
  <c r="AB51" i="3"/>
  <c r="AB52" i="3" s="1"/>
  <c r="V51" i="3"/>
  <c r="V52" i="3" s="1"/>
  <c r="T51" i="3"/>
  <c r="T52" i="3" s="1"/>
  <c r="R51" i="3"/>
  <c r="R52" i="3" s="1"/>
  <c r="W51" i="3"/>
  <c r="W52" i="3" s="1"/>
  <c r="S51" i="3"/>
  <c r="S52" i="3" s="1"/>
  <c r="D43" i="3"/>
  <c r="A66" i="6"/>
  <c r="I34" i="6"/>
  <c r="A34" i="6"/>
  <c r="J35" i="4"/>
  <c r="D66" i="6" s="1"/>
  <c r="J66" i="6" s="1"/>
  <c r="A35" i="4"/>
  <c r="D34" i="6" l="1"/>
  <c r="J34" i="6" s="1"/>
  <c r="I33" i="6"/>
  <c r="A33" i="6"/>
  <c r="J34" i="4"/>
  <c r="D33" i="6" s="1"/>
  <c r="A34" i="4"/>
  <c r="J33" i="6" l="1"/>
  <c r="A3" i="16" l="1"/>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3" i="16"/>
  <c r="A34" i="16"/>
  <c r="A35" i="16"/>
  <c r="A36" i="16"/>
  <c r="A37" i="16"/>
  <c r="A38" i="16"/>
  <c r="A39" i="16"/>
  <c r="A40" i="16"/>
  <c r="A41" i="16"/>
  <c r="A42" i="16"/>
  <c r="A44" i="16"/>
  <c r="A45" i="16"/>
  <c r="A46" i="16"/>
  <c r="A47" i="16"/>
  <c r="A48" i="16"/>
  <c r="A49" i="16"/>
  <c r="A50" i="16"/>
  <c r="A51" i="16"/>
  <c r="A52" i="16"/>
  <c r="A53" i="16"/>
  <c r="A54" i="16"/>
  <c r="A55" i="16"/>
  <c r="A56" i="16"/>
  <c r="A57" i="16"/>
  <c r="A59" i="16"/>
  <c r="A60" i="16"/>
  <c r="A61" i="16"/>
  <c r="A62" i="16"/>
  <c r="A63" i="16"/>
  <c r="A64" i="16"/>
  <c r="A65" i="16"/>
  <c r="A66" i="16"/>
  <c r="A67" i="16"/>
  <c r="A68" i="16"/>
  <c r="A69" i="16"/>
  <c r="A70" i="16"/>
  <c r="A71" i="16"/>
  <c r="A72" i="16"/>
  <c r="A73" i="16"/>
  <c r="A75" i="16"/>
  <c r="A76" i="16"/>
  <c r="A77" i="16"/>
  <c r="A78" i="16"/>
  <c r="A79" i="16"/>
  <c r="A80" i="16"/>
  <c r="A81" i="16"/>
  <c r="A82" i="16"/>
  <c r="A84" i="16"/>
  <c r="A85" i="16"/>
  <c r="A86" i="16"/>
  <c r="A87" i="16"/>
  <c r="A88" i="16"/>
  <c r="A89" i="16"/>
  <c r="A90" i="16"/>
  <c r="A91" i="16"/>
  <c r="A92" i="16"/>
  <c r="A93" i="16"/>
  <c r="A94" i="16"/>
  <c r="A95" i="16"/>
  <c r="A96" i="16"/>
  <c r="A97" i="16"/>
  <c r="A98" i="16"/>
  <c r="A99" i="16"/>
  <c r="A100" i="16"/>
  <c r="A102" i="16"/>
  <c r="A103" i="16"/>
  <c r="A104" i="16"/>
  <c r="A105" i="16"/>
  <c r="A106" i="16"/>
  <c r="A107" i="16"/>
  <c r="A108" i="16"/>
  <c r="A109" i="16"/>
  <c r="A110" i="16"/>
  <c r="A111" i="16"/>
  <c r="A112" i="16"/>
  <c r="A113" i="16"/>
  <c r="A114" i="16"/>
  <c r="A115" i="16"/>
  <c r="A116" i="16"/>
  <c r="A117" i="16"/>
  <c r="A118" i="16"/>
  <c r="A120" i="16"/>
  <c r="A121" i="16"/>
  <c r="A122" i="16"/>
  <c r="A123" i="16"/>
  <c r="A124" i="16"/>
  <c r="A125" i="16"/>
  <c r="A126" i="16"/>
  <c r="A127" i="16"/>
  <c r="A128" i="16"/>
  <c r="A129" i="16"/>
  <c r="A130" i="16"/>
  <c r="A132" i="16"/>
  <c r="A133" i="16"/>
  <c r="A134" i="16"/>
  <c r="A135" i="16"/>
  <c r="A136" i="16"/>
  <c r="A137" i="16"/>
  <c r="A138" i="16"/>
  <c r="A139" i="16"/>
  <c r="A140" i="16"/>
  <c r="A141" i="16"/>
  <c r="A142" i="16"/>
  <c r="A143" i="16"/>
  <c r="A144" i="16"/>
  <c r="A145" i="16"/>
  <c r="A146" i="16"/>
  <c r="A147" i="16"/>
  <c r="A148" i="16"/>
  <c r="A149" i="16"/>
  <c r="A150" i="16"/>
  <c r="A151" i="16"/>
  <c r="A152" i="16"/>
  <c r="A153" i="16"/>
  <c r="A154" i="16"/>
  <c r="A156" i="16"/>
  <c r="A157" i="16"/>
  <c r="A158" i="16"/>
  <c r="A159" i="16"/>
  <c r="A160" i="16"/>
  <c r="A161" i="16"/>
  <c r="A162" i="16"/>
  <c r="A163" i="16"/>
  <c r="A164" i="16"/>
  <c r="A165" i="16"/>
  <c r="A166" i="16"/>
  <c r="A168" i="16"/>
  <c r="A169" i="16"/>
  <c r="A170" i="16"/>
  <c r="A171" i="16"/>
  <c r="A172" i="16"/>
  <c r="H172" i="16" l="1" a="1"/>
  <c r="H172" i="16" s="1"/>
  <c r="H171" i="16" l="1" a="1"/>
  <c r="H171" i="16" s="1"/>
  <c r="H170" i="16" a="1"/>
  <c r="H170" i="16" s="1"/>
  <c r="H169" i="16" a="1"/>
  <c r="H169" i="16" s="1"/>
  <c r="H165" i="16" a="1"/>
  <c r="H165" i="16" s="1"/>
  <c r="H164" i="16" a="1"/>
  <c r="H164" i="16" s="1"/>
  <c r="H23" i="16" l="1" a="1"/>
  <c r="H23" i="16" s="1"/>
  <c r="H151" i="16" a="1"/>
  <c r="H151" i="16" s="1"/>
  <c r="H113" i="16" a="1"/>
  <c r="H113" i="16" s="1"/>
  <c r="H126" i="16" a="1"/>
  <c r="H126" i="16" s="1"/>
  <c r="H139" i="16" a="1"/>
  <c r="H139" i="16" s="1"/>
  <c r="H11" i="16" a="1"/>
  <c r="H11" i="16" s="1"/>
  <c r="H49" i="16" a="1"/>
  <c r="H49" i="16" s="1"/>
  <c r="H36" i="16" a="1"/>
  <c r="H36" i="16" s="1"/>
  <c r="H75" i="16" a="1"/>
  <c r="H75" i="16" s="1"/>
  <c r="H88" i="16" a="1"/>
  <c r="H88" i="16" s="1"/>
  <c r="H62" i="16" a="1"/>
  <c r="H62" i="16" s="1"/>
  <c r="H12" i="16" a="1"/>
  <c r="H12" i="16" s="1"/>
  <c r="H24" i="16" a="1"/>
  <c r="H24" i="16" s="1"/>
  <c r="H37" i="16" a="1"/>
  <c r="H37" i="16" s="1"/>
  <c r="H50" i="16" a="1"/>
  <c r="H50" i="16" s="1"/>
  <c r="H63" i="16" a="1"/>
  <c r="H63" i="16" s="1"/>
  <c r="H76" i="16" a="1"/>
  <c r="H76" i="16" s="1"/>
  <c r="H89" i="16" a="1"/>
  <c r="H89" i="16" s="1"/>
  <c r="H102" i="16" a="1"/>
  <c r="H102" i="16" s="1"/>
  <c r="H114" i="16" a="1"/>
  <c r="H114" i="16" s="1"/>
  <c r="H127" i="16" a="1"/>
  <c r="H127" i="16" s="1"/>
  <c r="H140" i="16" a="1"/>
  <c r="H140" i="16" s="1"/>
  <c r="H152" i="16" a="1"/>
  <c r="H152" i="16" s="1"/>
  <c r="I152" i="16" s="1"/>
  <c r="G152" i="16" s="1"/>
  <c r="I165" i="16"/>
  <c r="G165" i="16" s="1"/>
  <c r="H25" i="16" a="1"/>
  <c r="H25" i="16" s="1"/>
  <c r="H38" i="16" a="1"/>
  <c r="H38" i="16" s="1"/>
  <c r="H51" i="16" a="1"/>
  <c r="H51" i="16" s="1"/>
  <c r="H64" i="16" a="1"/>
  <c r="H64" i="16" s="1"/>
  <c r="H77" i="16" a="1"/>
  <c r="H77" i="16" s="1"/>
  <c r="H90" i="16" a="1"/>
  <c r="H90" i="16" s="1"/>
  <c r="H103" i="16" a="1"/>
  <c r="H103" i="16" s="1"/>
  <c r="H115" i="16" a="1"/>
  <c r="H115" i="16" s="1"/>
  <c r="H128" i="16" a="1"/>
  <c r="H128" i="16" s="1"/>
  <c r="H141" i="16" a="1"/>
  <c r="H141" i="16" s="1"/>
  <c r="H153" i="16" a="1"/>
  <c r="H153" i="16" s="1"/>
  <c r="H167" i="16" a="1"/>
  <c r="H167" i="16" s="1"/>
  <c r="H166" i="16" a="1"/>
  <c r="H166" i="16" s="1"/>
  <c r="I166" i="16" s="1"/>
  <c r="G166" i="16" s="1"/>
  <c r="H2" i="16" a="1"/>
  <c r="H2" i="16" s="1"/>
  <c r="H14" i="16" a="1"/>
  <c r="H14" i="16" s="1"/>
  <c r="H26" i="16" a="1"/>
  <c r="H26" i="16" s="1"/>
  <c r="H39" i="16" a="1"/>
  <c r="H39" i="16" s="1"/>
  <c r="H52" i="16" a="1"/>
  <c r="H52" i="16" s="1"/>
  <c r="H65" i="16" a="1"/>
  <c r="H65" i="16" s="1"/>
  <c r="H78" i="16" a="1"/>
  <c r="H78" i="16" s="1"/>
  <c r="H91" i="16" a="1"/>
  <c r="H91" i="16" s="1"/>
  <c r="H104" i="16" a="1"/>
  <c r="H104" i="16" s="1"/>
  <c r="H116" i="16" a="1"/>
  <c r="H116" i="16" s="1"/>
  <c r="H129" i="16" a="1"/>
  <c r="H129" i="16" s="1"/>
  <c r="H142" i="16" a="1"/>
  <c r="H142" i="16" s="1"/>
  <c r="H155" i="16" a="1"/>
  <c r="H155" i="16" s="1"/>
  <c r="H154" i="16" a="1"/>
  <c r="H154" i="16" s="1"/>
  <c r="H168" i="16" a="1"/>
  <c r="H168" i="16" s="1"/>
  <c r="H100" i="16" a="1"/>
  <c r="H100" i="16" s="1"/>
  <c r="H101" i="16" a="1"/>
  <c r="H101" i="16" s="1"/>
  <c r="H3" i="16" a="1"/>
  <c r="H3" i="16" s="1"/>
  <c r="H15" i="16" a="1"/>
  <c r="H15" i="16" s="1"/>
  <c r="H27" i="16" a="1"/>
  <c r="H27" i="16" s="1"/>
  <c r="H40" i="16" a="1"/>
  <c r="H40" i="16" s="1"/>
  <c r="H53" i="16" a="1"/>
  <c r="H53" i="16" s="1"/>
  <c r="H66" i="16" a="1"/>
  <c r="H66" i="16" s="1"/>
  <c r="H79" i="16" a="1"/>
  <c r="H79" i="16" s="1"/>
  <c r="H92" i="16" a="1"/>
  <c r="H92" i="16" s="1"/>
  <c r="H105" i="16" a="1"/>
  <c r="H105" i="16" s="1"/>
  <c r="H117" i="16" a="1"/>
  <c r="H117" i="16" s="1"/>
  <c r="H131" i="16" a="1"/>
  <c r="H131" i="16" s="1"/>
  <c r="H130" i="16" a="1"/>
  <c r="H130" i="16" s="1"/>
  <c r="H143" i="16" a="1"/>
  <c r="H143" i="16" s="1"/>
  <c r="H156" i="16" a="1"/>
  <c r="H156" i="16" s="1"/>
  <c r="H16" i="16" a="1"/>
  <c r="H16" i="16" s="1"/>
  <c r="H28" i="16" a="1"/>
  <c r="H28" i="16" s="1"/>
  <c r="H41" i="16" a="1"/>
  <c r="H41" i="16" s="1"/>
  <c r="H54" i="16" a="1"/>
  <c r="H54" i="16" s="1"/>
  <c r="H67" i="16" a="1"/>
  <c r="H67" i="16" s="1"/>
  <c r="H80" i="16" a="1"/>
  <c r="H80" i="16" s="1"/>
  <c r="H93" i="16" a="1"/>
  <c r="H93" i="16" s="1"/>
  <c r="H106" i="16" a="1"/>
  <c r="H106" i="16" s="1"/>
  <c r="H119" i="16" a="1"/>
  <c r="H119" i="16" s="1"/>
  <c r="H118" i="16" a="1"/>
  <c r="H118" i="16" s="1"/>
  <c r="H132" i="16" a="1"/>
  <c r="H132" i="16" s="1"/>
  <c r="H144" i="16" a="1"/>
  <c r="H144" i="16" s="1"/>
  <c r="H157" i="16" a="1"/>
  <c r="H157" i="16" s="1"/>
  <c r="I170" i="16"/>
  <c r="G170" i="16" s="1"/>
  <c r="H5" i="16" a="1"/>
  <c r="H5" i="16" s="1"/>
  <c r="H29" i="16" a="1"/>
  <c r="H29" i="16" s="1"/>
  <c r="H42" i="16" a="1"/>
  <c r="H42" i="16" s="1"/>
  <c r="H43" i="16" a="1"/>
  <c r="H43" i="16" s="1"/>
  <c r="H55" i="16" a="1"/>
  <c r="H55" i="16" s="1"/>
  <c r="H68" i="16" a="1"/>
  <c r="H68" i="16" s="1"/>
  <c r="H81" i="16" a="1"/>
  <c r="H81" i="16" s="1"/>
  <c r="H94" i="16" a="1"/>
  <c r="H94" i="16" s="1"/>
  <c r="H107" i="16" a="1"/>
  <c r="H107" i="16" s="1"/>
  <c r="H120" i="16" a="1"/>
  <c r="H120" i="16" s="1"/>
  <c r="H133" i="16" a="1"/>
  <c r="H133" i="16" s="1"/>
  <c r="H145" i="16" a="1"/>
  <c r="H145" i="16" s="1"/>
  <c r="H158" i="16" a="1"/>
  <c r="H158" i="16" s="1"/>
  <c r="I171" i="16"/>
  <c r="G171" i="16" s="1"/>
  <c r="I172" i="16"/>
  <c r="G172" i="16" s="1"/>
  <c r="H13" i="16" a="1"/>
  <c r="H13" i="16" s="1"/>
  <c r="H17" i="16" a="1"/>
  <c r="H17" i="16" s="1"/>
  <c r="H18" i="16" a="1"/>
  <c r="H18" i="16" s="1"/>
  <c r="H30" i="16" a="1"/>
  <c r="H30" i="16" s="1"/>
  <c r="H44" i="16" a="1"/>
  <c r="H44" i="16" s="1"/>
  <c r="H56" i="16" a="1"/>
  <c r="H56" i="16" s="1"/>
  <c r="H69" i="16" a="1"/>
  <c r="H69" i="16" s="1"/>
  <c r="H83" i="16" a="1"/>
  <c r="H83" i="16" s="1"/>
  <c r="H82" i="16" a="1"/>
  <c r="H82" i="16" s="1"/>
  <c r="H95" i="16" a="1"/>
  <c r="H95" i="16" s="1"/>
  <c r="H108" i="16" a="1"/>
  <c r="H108" i="16" s="1"/>
  <c r="H121" i="16" a="1"/>
  <c r="H121" i="16" s="1"/>
  <c r="H134" i="16" a="1"/>
  <c r="H134" i="16" s="1"/>
  <c r="H146" i="16" a="1"/>
  <c r="H146" i="16" s="1"/>
  <c r="H159" i="16" a="1"/>
  <c r="H159" i="16" s="1"/>
  <c r="H4" i="16" a="1"/>
  <c r="H4" i="16" s="1"/>
  <c r="H6" i="16" a="1"/>
  <c r="H6" i="16" s="1"/>
  <c r="H7" i="16" a="1"/>
  <c r="H7" i="16" s="1"/>
  <c r="H19" i="16" a="1"/>
  <c r="H19" i="16" s="1"/>
  <c r="H31" i="16" a="1"/>
  <c r="H31" i="16" s="1"/>
  <c r="H32" i="16" a="1"/>
  <c r="H32" i="16" s="1"/>
  <c r="H45" i="16" a="1"/>
  <c r="H45" i="16" s="1"/>
  <c r="H57" i="16" a="1"/>
  <c r="H57" i="16" s="1"/>
  <c r="H58" i="16" a="1"/>
  <c r="H58" i="16" s="1"/>
  <c r="H70" i="16" a="1"/>
  <c r="H70" i="16" s="1"/>
  <c r="H84" i="16" a="1"/>
  <c r="H84" i="16" s="1"/>
  <c r="H96" i="16" a="1"/>
  <c r="H96" i="16" s="1"/>
  <c r="H109" i="16" a="1"/>
  <c r="H109" i="16" s="1"/>
  <c r="H122" i="16" a="1"/>
  <c r="H122" i="16" s="1"/>
  <c r="H135" i="16" a="1"/>
  <c r="H135" i="16" s="1"/>
  <c r="H147" i="16" a="1"/>
  <c r="H147" i="16" s="1"/>
  <c r="H160" i="16" a="1"/>
  <c r="H160" i="16" s="1"/>
  <c r="H8" i="16" a="1"/>
  <c r="H8" i="16" s="1"/>
  <c r="H20" i="16" a="1"/>
  <c r="H20" i="16" s="1"/>
  <c r="H33" i="16" a="1"/>
  <c r="H33" i="16" s="1"/>
  <c r="H46" i="16" a="1"/>
  <c r="H46" i="16" s="1"/>
  <c r="H59" i="16" a="1"/>
  <c r="H59" i="16" s="1"/>
  <c r="H71" i="16" a="1"/>
  <c r="H71" i="16" s="1"/>
  <c r="H85" i="16" a="1"/>
  <c r="H85" i="16" s="1"/>
  <c r="H97" i="16" a="1"/>
  <c r="H97" i="16" s="1"/>
  <c r="H110" i="16" a="1"/>
  <c r="H110" i="16" s="1"/>
  <c r="H123" i="16" a="1"/>
  <c r="H123" i="16" s="1"/>
  <c r="H136" i="16" a="1"/>
  <c r="H136" i="16" s="1"/>
  <c r="H148" i="16" a="1"/>
  <c r="H148" i="16" s="1"/>
  <c r="H161" i="16" a="1"/>
  <c r="H161" i="16" s="1"/>
  <c r="H9" i="16" a="1"/>
  <c r="H9" i="16" s="1"/>
  <c r="H21" i="16" a="1"/>
  <c r="H21" i="16" s="1"/>
  <c r="H34" i="16" a="1"/>
  <c r="H34" i="16" s="1"/>
  <c r="H47" i="16" a="1"/>
  <c r="H47" i="16" s="1"/>
  <c r="H60" i="16" a="1"/>
  <c r="H60" i="16" s="1"/>
  <c r="H72" i="16" a="1"/>
  <c r="H72" i="16" s="1"/>
  <c r="H86" i="16" a="1"/>
  <c r="H86" i="16" s="1"/>
  <c r="H98" i="16" a="1"/>
  <c r="H98" i="16" s="1"/>
  <c r="H111" i="16" a="1"/>
  <c r="H111" i="16" s="1"/>
  <c r="H124" i="16" a="1"/>
  <c r="H124" i="16" s="1"/>
  <c r="H137" i="16" a="1"/>
  <c r="H137" i="16" s="1"/>
  <c r="H149" i="16" a="1"/>
  <c r="H149" i="16" s="1"/>
  <c r="H162" i="16" a="1"/>
  <c r="H162" i="16" s="1"/>
  <c r="H10" i="16" a="1"/>
  <c r="H10" i="16" s="1"/>
  <c r="H22" i="16" a="1"/>
  <c r="H22" i="16" s="1"/>
  <c r="H35" i="16" a="1"/>
  <c r="H35" i="16" s="1"/>
  <c r="H48" i="16" a="1"/>
  <c r="H48" i="16" s="1"/>
  <c r="H61" i="16" a="1"/>
  <c r="H61" i="16" s="1"/>
  <c r="H73" i="16" a="1"/>
  <c r="H73" i="16" s="1"/>
  <c r="H74" i="16" a="1"/>
  <c r="H74" i="16" s="1"/>
  <c r="H87" i="16" a="1"/>
  <c r="H87" i="16" s="1"/>
  <c r="H99" i="16" a="1"/>
  <c r="H99" i="16" s="1"/>
  <c r="H112" i="16" a="1"/>
  <c r="H112" i="16" s="1"/>
  <c r="H125" i="16" a="1"/>
  <c r="H125" i="16" s="1"/>
  <c r="H138" i="16" a="1"/>
  <c r="H138" i="16" s="1"/>
  <c r="H150" i="16" a="1"/>
  <c r="H150" i="16" s="1"/>
  <c r="H163" i="16" a="1"/>
  <c r="H163" i="16" s="1"/>
  <c r="M4" i="11"/>
  <c r="M3" i="11"/>
  <c r="I2" i="16"/>
  <c r="I131" i="16"/>
  <c r="I43" i="16"/>
  <c r="I119" i="16"/>
  <c r="I58" i="16"/>
  <c r="I101" i="16"/>
  <c r="I74" i="16"/>
  <c r="I83" i="16"/>
  <c r="I25" i="16" l="1"/>
  <c r="G25" i="16" s="1"/>
  <c r="I90" i="16"/>
  <c r="G90" i="16" s="1"/>
  <c r="I49" i="16"/>
  <c r="G49" i="16" s="1"/>
  <c r="I128" i="16"/>
  <c r="G128" i="16" s="1"/>
  <c r="I64" i="16"/>
  <c r="G64" i="16" s="1"/>
  <c r="I35" i="16"/>
  <c r="G35" i="16" s="1"/>
  <c r="I47" i="16"/>
  <c r="G47" i="16" s="1"/>
  <c r="I59" i="16"/>
  <c r="G59" i="16" s="1"/>
  <c r="I24" i="16"/>
  <c r="G24" i="16" s="1"/>
  <c r="I12" i="16"/>
  <c r="G12" i="16" s="1"/>
  <c r="I133" i="16"/>
  <c r="G133" i="16" s="1"/>
  <c r="I114" i="16"/>
  <c r="G114" i="16" s="1"/>
  <c r="I38" i="16"/>
  <c r="G38" i="16" s="1"/>
  <c r="I144" i="16"/>
  <c r="G144" i="16" s="1"/>
  <c r="I4" i="16"/>
  <c r="G4" i="16" s="1"/>
  <c r="I8" i="16"/>
  <c r="G8" i="16" s="1"/>
  <c r="I104" i="16"/>
  <c r="G104" i="16" s="1"/>
  <c r="I140" i="16"/>
  <c r="G140" i="16" s="1"/>
  <c r="I77" i="16"/>
  <c r="G77" i="16" s="1"/>
  <c r="I115" i="16"/>
  <c r="G115" i="16" s="1"/>
  <c r="I125" i="16"/>
  <c r="G125" i="16" s="1"/>
  <c r="I145" i="16"/>
  <c r="G145" i="16" s="1"/>
  <c r="I31" i="16"/>
  <c r="G31" i="16" s="1"/>
  <c r="I127" i="16"/>
  <c r="G127" i="16" s="1"/>
  <c r="I17" i="16"/>
  <c r="G17" i="16" s="1"/>
  <c r="I93" i="16"/>
  <c r="G93" i="16" s="1"/>
  <c r="I45" i="16"/>
  <c r="G45" i="16" s="1"/>
  <c r="I95" i="16"/>
  <c r="G95" i="16" s="1"/>
  <c r="I124" i="16"/>
  <c r="G124" i="16" s="1"/>
  <c r="I136" i="16"/>
  <c r="G136" i="16" s="1"/>
  <c r="I51" i="16"/>
  <c r="G51" i="16" s="1"/>
  <c r="I116" i="16"/>
  <c r="G116" i="16" s="1"/>
  <c r="I141" i="16"/>
  <c r="G141" i="16" s="1"/>
  <c r="I105" i="16"/>
  <c r="G105" i="16" s="1"/>
  <c r="I50" i="16"/>
  <c r="G50" i="16" s="1"/>
  <c r="I142" i="16"/>
  <c r="G142" i="16" s="1"/>
  <c r="I160" i="16"/>
  <c r="G160" i="16" s="1"/>
  <c r="I157" i="16"/>
  <c r="G157" i="16" s="1"/>
  <c r="I16" i="16"/>
  <c r="G16" i="16" s="1"/>
  <c r="I153" i="16"/>
  <c r="G153" i="16" s="1"/>
  <c r="I19" i="16"/>
  <c r="G19" i="16" s="1"/>
  <c r="I107" i="16"/>
  <c r="G107" i="16" s="1"/>
  <c r="I65" i="16"/>
  <c r="G65" i="16" s="1"/>
  <c r="I41" i="16"/>
  <c r="G41" i="16" s="1"/>
  <c r="I69" i="16"/>
  <c r="G69" i="16" s="1"/>
  <c r="I73" i="16"/>
  <c r="G73" i="16" s="1"/>
  <c r="I86" i="16"/>
  <c r="G86" i="16" s="1"/>
  <c r="I97" i="16"/>
  <c r="G97" i="16" s="1"/>
  <c r="I112" i="16"/>
  <c r="G112" i="16" s="1"/>
  <c r="I91" i="16"/>
  <c r="G91" i="16" s="1"/>
  <c r="I81" i="16"/>
  <c r="G81" i="16" s="1"/>
  <c r="I39" i="16"/>
  <c r="G39" i="16" s="1"/>
  <c r="I71" i="16"/>
  <c r="G71" i="16" s="1"/>
  <c r="I154" i="16"/>
  <c r="G154" i="16" s="1"/>
  <c r="I46" i="16"/>
  <c r="G46" i="16" s="1"/>
  <c r="I150" i="16"/>
  <c r="G150" i="16" s="1"/>
  <c r="I10" i="16"/>
  <c r="G10" i="16" s="1"/>
  <c r="I21" i="16"/>
  <c r="G21" i="16" s="1"/>
  <c r="I57" i="16"/>
  <c r="G57" i="16" s="1"/>
  <c r="I108" i="16"/>
  <c r="G108" i="16" s="1"/>
  <c r="I29" i="16"/>
  <c r="G29" i="16" s="1"/>
  <c r="I54" i="16"/>
  <c r="G54" i="16" s="1"/>
  <c r="I66" i="16"/>
  <c r="G66" i="16" s="1"/>
  <c r="I129" i="16"/>
  <c r="G129" i="16" s="1"/>
  <c r="I147" i="16"/>
  <c r="G147" i="16" s="1"/>
  <c r="I15" i="16"/>
  <c r="G15" i="16" s="1"/>
  <c r="I135" i="16"/>
  <c r="G135" i="16" s="1"/>
  <c r="I56" i="16"/>
  <c r="G56" i="16" s="1"/>
  <c r="I143" i="16"/>
  <c r="G143" i="16" s="1"/>
  <c r="I122" i="16"/>
  <c r="G122" i="16" s="1"/>
  <c r="I6" i="16"/>
  <c r="G6" i="16" s="1"/>
  <c r="I44" i="16"/>
  <c r="G44" i="16" s="1"/>
  <c r="I94" i="16"/>
  <c r="G94" i="16" s="1"/>
  <c r="I118" i="16"/>
  <c r="G118" i="16" s="1"/>
  <c r="I89" i="16"/>
  <c r="G89" i="16" s="1"/>
  <c r="I159" i="16"/>
  <c r="G159" i="16" s="1"/>
  <c r="I117" i="16"/>
  <c r="G117" i="16" s="1"/>
  <c r="I26" i="16"/>
  <c r="G26" i="16" s="1"/>
  <c r="I70" i="16"/>
  <c r="G70" i="16" s="1"/>
  <c r="I163" i="16"/>
  <c r="G163" i="16" s="1"/>
  <c r="I121" i="16"/>
  <c r="G121" i="16" s="1"/>
  <c r="I79" i="16"/>
  <c r="G79" i="16" s="1"/>
  <c r="I158" i="16"/>
  <c r="G158" i="16" s="1"/>
  <c r="I53" i="16"/>
  <c r="G53" i="16" s="1"/>
  <c r="I138" i="16"/>
  <c r="G138" i="16" s="1"/>
  <c r="I149" i="16"/>
  <c r="G149" i="16" s="1"/>
  <c r="I161" i="16"/>
  <c r="G161" i="16" s="1"/>
  <c r="I82" i="16"/>
  <c r="G82" i="16" s="1"/>
  <c r="I28" i="16"/>
  <c r="G28" i="16" s="1"/>
  <c r="I40" i="16"/>
  <c r="G40" i="16" s="1"/>
  <c r="I99" i="16"/>
  <c r="G99" i="16" s="1"/>
  <c r="I120" i="16"/>
  <c r="G120" i="16" s="1"/>
  <c r="I132" i="16"/>
  <c r="G132" i="16" s="1"/>
  <c r="I102" i="16"/>
  <c r="G102" i="16" s="1"/>
  <c r="I98" i="16"/>
  <c r="G98" i="16" s="1"/>
  <c r="I110" i="16"/>
  <c r="G110" i="16" s="1"/>
  <c r="I130" i="16"/>
  <c r="G130" i="16" s="1"/>
  <c r="I109" i="16"/>
  <c r="G109" i="16" s="1"/>
  <c r="I76" i="16"/>
  <c r="G76" i="16" s="1"/>
  <c r="I61" i="16"/>
  <c r="G61" i="16" s="1"/>
  <c r="I72" i="16"/>
  <c r="G72" i="16" s="1"/>
  <c r="I85" i="16"/>
  <c r="G85" i="16" s="1"/>
  <c r="I18" i="16"/>
  <c r="G18" i="16" s="1"/>
  <c r="I168" i="16"/>
  <c r="G168" i="16" s="1"/>
  <c r="I63" i="16"/>
  <c r="G63" i="16" s="1"/>
  <c r="I55" i="16"/>
  <c r="G55" i="16" s="1"/>
  <c r="I134" i="16"/>
  <c r="G134" i="16" s="1"/>
  <c r="I13" i="16"/>
  <c r="G13" i="16" s="1"/>
  <c r="I92" i="16"/>
  <c r="G92" i="16" s="1"/>
  <c r="I37" i="16"/>
  <c r="G37" i="16" s="1"/>
  <c r="I22" i="16"/>
  <c r="G22" i="16" s="1"/>
  <c r="I34" i="16"/>
  <c r="G34" i="16" s="1"/>
  <c r="I67" i="16"/>
  <c r="G67" i="16" s="1"/>
  <c r="G83" i="16"/>
  <c r="G2" i="16"/>
  <c r="G74" i="16"/>
  <c r="G119" i="16"/>
  <c r="G58" i="16"/>
  <c r="G101" i="16"/>
  <c r="G43" i="16"/>
  <c r="G131" i="16"/>
  <c r="I137" i="16"/>
  <c r="G137" i="16" s="1"/>
  <c r="I148" i="16"/>
  <c r="G148" i="16" s="1"/>
  <c r="I5" i="16"/>
  <c r="G5" i="16" s="1"/>
  <c r="I14" i="16"/>
  <c r="G14" i="16" s="1"/>
  <c r="I113" i="16"/>
  <c r="G113" i="16" s="1"/>
  <c r="I87" i="16"/>
  <c r="G87" i="16" s="1"/>
  <c r="I111" i="16"/>
  <c r="G111" i="16" s="1"/>
  <c r="I123" i="16"/>
  <c r="G123" i="16" s="1"/>
  <c r="I7" i="16"/>
  <c r="G7" i="16" s="1"/>
  <c r="I75" i="16"/>
  <c r="G75" i="16" s="1"/>
  <c r="I139" i="16"/>
  <c r="G139" i="16" s="1"/>
  <c r="I96" i="16"/>
  <c r="G96" i="16" s="1"/>
  <c r="I23" i="16"/>
  <c r="G23" i="16" s="1"/>
  <c r="I30" i="16"/>
  <c r="G30" i="16" s="1"/>
  <c r="I169" i="16"/>
  <c r="G169" i="16" s="1"/>
  <c r="I27" i="16"/>
  <c r="G27" i="16" s="1"/>
  <c r="I36" i="16"/>
  <c r="G36" i="16" s="1"/>
  <c r="I48" i="16"/>
  <c r="G48" i="16" s="1"/>
  <c r="I60" i="16"/>
  <c r="G60" i="16" s="1"/>
  <c r="I84" i="16"/>
  <c r="G84" i="16" s="1"/>
  <c r="I156" i="16"/>
  <c r="G156" i="16" s="1"/>
  <c r="I146" i="16"/>
  <c r="G146" i="16" s="1"/>
  <c r="I68" i="16"/>
  <c r="G68" i="16" s="1"/>
  <c r="I3" i="16"/>
  <c r="G3" i="16" s="1"/>
  <c r="I78" i="16"/>
  <c r="G78" i="16" s="1"/>
  <c r="I164" i="16"/>
  <c r="G164" i="16" s="1"/>
  <c r="I106" i="16"/>
  <c r="G106" i="16" s="1"/>
  <c r="I151" i="16"/>
  <c r="G151" i="16" s="1"/>
  <c r="I33" i="16"/>
  <c r="G33" i="16" s="1"/>
  <c r="I11" i="16"/>
  <c r="G11" i="16" s="1"/>
  <c r="I100" i="16"/>
  <c r="G100" i="16" s="1"/>
  <c r="I52" i="16"/>
  <c r="G52" i="16" s="1"/>
  <c r="I103" i="16"/>
  <c r="G103" i="16" s="1"/>
  <c r="I126" i="16"/>
  <c r="G126" i="16" s="1"/>
  <c r="I162" i="16"/>
  <c r="G162" i="16" s="1"/>
  <c r="I9" i="16"/>
  <c r="G9" i="16" s="1"/>
  <c r="I20" i="16"/>
  <c r="G20" i="16" s="1"/>
  <c r="I42" i="16"/>
  <c r="G42" i="16" s="1"/>
  <c r="I80" i="16"/>
  <c r="G80" i="16" s="1"/>
  <c r="I88" i="16"/>
  <c r="G88" i="16" s="1"/>
  <c r="I62" i="16"/>
  <c r="G62" i="16" s="1"/>
  <c r="I155" i="16"/>
  <c r="I32" i="16"/>
  <c r="I167" i="16"/>
  <c r="G167" i="16" l="1"/>
  <c r="G32" i="16"/>
  <c r="G155" i="16"/>
  <c r="D176" i="3"/>
  <c r="D175" i="3"/>
  <c r="F177" i="3" l="1"/>
  <c r="F178" i="3" s="1"/>
  <c r="K177" i="3"/>
  <c r="K178" i="3" s="1"/>
  <c r="L177" i="3"/>
  <c r="L178" i="3" s="1"/>
  <c r="G177" i="3"/>
  <c r="G178" i="3" s="1"/>
  <c r="H177" i="3"/>
  <c r="H178" i="3" s="1"/>
  <c r="I177" i="3"/>
  <c r="I178" i="3" s="1"/>
  <c r="E177" i="3"/>
  <c r="J177" i="3"/>
  <c r="J178" i="3" s="1"/>
  <c r="M177" i="3"/>
  <c r="M178" i="3" s="1"/>
  <c r="AL12" i="3"/>
  <c r="AM12" i="3"/>
  <c r="AK12" i="3"/>
  <c r="E178" i="3" l="1"/>
  <c r="AH168" i="3" s="1"/>
  <c r="AG168" i="3"/>
  <c r="AI12" i="3"/>
  <c r="AJ12" i="3"/>
  <c r="AG12" i="3"/>
  <c r="D66" i="3"/>
  <c r="AH12" i="3" l="1"/>
  <c r="G3" i="11"/>
  <c r="G14" i="11"/>
  <c r="D102" i="3" l="1"/>
  <c r="D120" i="3" s="1"/>
  <c r="D121" i="3" s="1"/>
  <c r="D104" i="3"/>
  <c r="D103" i="3"/>
  <c r="D101" i="3"/>
  <c r="L96" i="3"/>
  <c r="J96" i="3"/>
  <c r="J105" i="3" s="1"/>
  <c r="J106" i="3" s="1"/>
  <c r="I96" i="3"/>
  <c r="D138" i="3" l="1"/>
  <c r="D122" i="3"/>
  <c r="J123" i="3" s="1"/>
  <c r="J124" i="3" s="1"/>
  <c r="I123" i="3"/>
  <c r="I124" i="3" s="1"/>
  <c r="E123" i="3"/>
  <c r="L123" i="3"/>
  <c r="L124" i="3" s="1"/>
  <c r="G123" i="3"/>
  <c r="G124" i="3" s="1"/>
  <c r="K123" i="3"/>
  <c r="K124" i="3" s="1"/>
  <c r="M123" i="3"/>
  <c r="M124" i="3" s="1"/>
  <c r="H123" i="3"/>
  <c r="H124" i="3" s="1"/>
  <c r="F123" i="3"/>
  <c r="F124" i="3" s="1"/>
  <c r="M96" i="3"/>
  <c r="M105" i="3" s="1"/>
  <c r="M106" i="3" s="1"/>
  <c r="L105" i="3"/>
  <c r="L106" i="3" s="1"/>
  <c r="K105" i="3"/>
  <c r="K106" i="3" s="1"/>
  <c r="H105" i="3"/>
  <c r="H106" i="3" s="1"/>
  <c r="G105" i="3"/>
  <c r="G106" i="3" s="1"/>
  <c r="F105" i="3"/>
  <c r="F106" i="3" s="1"/>
  <c r="E105" i="3"/>
  <c r="E106" i="3" s="1"/>
  <c r="I105" i="3"/>
  <c r="D140" i="3"/>
  <c r="D139" i="3"/>
  <c r="L141" i="3" s="1"/>
  <c r="L142" i="3" s="1"/>
  <c r="AJ96" i="3" l="1"/>
  <c r="AI96" i="3"/>
  <c r="M141" i="3"/>
  <c r="M142" i="3" s="1"/>
  <c r="F141" i="3"/>
  <c r="F142" i="3" s="1"/>
  <c r="G141" i="3"/>
  <c r="G142" i="3" s="1"/>
  <c r="I141" i="3"/>
  <c r="I142" i="3" s="1"/>
  <c r="K141" i="3"/>
  <c r="K142" i="3" s="1"/>
  <c r="H141" i="3"/>
  <c r="H142" i="3" s="1"/>
  <c r="E141" i="3"/>
  <c r="J141" i="3"/>
  <c r="J142" i="3" s="1"/>
  <c r="E124" i="3"/>
  <c r="AH114" i="3" s="1"/>
  <c r="AH8" i="3" s="1"/>
  <c r="AG114" i="3"/>
  <c r="AG8" i="3" s="1"/>
  <c r="AK96" i="3"/>
  <c r="I106" i="3"/>
  <c r="AH96" i="3" s="1"/>
  <c r="AG96" i="3"/>
  <c r="J76" i="3"/>
  <c r="I76" i="3"/>
  <c r="H76" i="3"/>
  <c r="G76" i="3"/>
  <c r="F76" i="3"/>
  <c r="E76" i="3"/>
  <c r="J75" i="3"/>
  <c r="I75" i="3"/>
  <c r="H75" i="3"/>
  <c r="F75" i="3"/>
  <c r="E75" i="3"/>
  <c r="J74" i="3"/>
  <c r="I74" i="3"/>
  <c r="H74" i="3"/>
  <c r="G74" i="3"/>
  <c r="F74" i="3"/>
  <c r="E74" i="3"/>
  <c r="J73" i="3"/>
  <c r="I73" i="3"/>
  <c r="H73" i="3"/>
  <c r="G73" i="3"/>
  <c r="F73" i="3"/>
  <c r="E73" i="3"/>
  <c r="J72" i="3"/>
  <c r="I72" i="3"/>
  <c r="H72" i="3"/>
  <c r="F72" i="3"/>
  <c r="E72" i="3"/>
  <c r="J71" i="3"/>
  <c r="I71" i="3"/>
  <c r="H71" i="3"/>
  <c r="G71" i="3"/>
  <c r="F71" i="3"/>
  <c r="E71" i="3"/>
  <c r="D68" i="3"/>
  <c r="D67" i="3"/>
  <c r="G75" i="3" s="1"/>
  <c r="D65" i="3"/>
  <c r="L60" i="3"/>
  <c r="D158" i="3"/>
  <c r="D157" i="3"/>
  <c r="E142" i="3" l="1"/>
  <c r="AH132" i="3" s="1"/>
  <c r="AH9" i="3" s="1"/>
  <c r="AG132" i="3"/>
  <c r="F159" i="3"/>
  <c r="F160" i="3" s="1"/>
  <c r="K159" i="3"/>
  <c r="K160" i="3" s="1"/>
  <c r="H159" i="3"/>
  <c r="H160" i="3" s="1"/>
  <c r="J159" i="3"/>
  <c r="J160" i="3" s="1"/>
  <c r="L159" i="3"/>
  <c r="L160" i="3" s="1"/>
  <c r="G159" i="3"/>
  <c r="G160" i="3" s="1"/>
  <c r="E159" i="3"/>
  <c r="I159" i="3"/>
  <c r="I160" i="3" s="1"/>
  <c r="M159" i="3"/>
  <c r="M160" i="3" s="1"/>
  <c r="AG9" i="3"/>
  <c r="AM60" i="3"/>
  <c r="M60" i="3"/>
  <c r="L69" i="3"/>
  <c r="L70" i="3" s="1"/>
  <c r="F69" i="3"/>
  <c r="F70" i="3" s="1"/>
  <c r="H69" i="3"/>
  <c r="K69" i="3"/>
  <c r="K70" i="3" s="1"/>
  <c r="I69" i="3"/>
  <c r="I70" i="3" s="1"/>
  <c r="G69" i="3"/>
  <c r="G70" i="3" s="1"/>
  <c r="E69" i="3"/>
  <c r="J69" i="3"/>
  <c r="J70" i="3" s="1"/>
  <c r="H70" i="3"/>
  <c r="G72" i="3"/>
  <c r="AL60" i="3" s="1"/>
  <c r="E160" i="3" l="1"/>
  <c r="AH150" i="3" s="1"/>
  <c r="AG150" i="3"/>
  <c r="AK60" i="3"/>
  <c r="M69" i="3"/>
  <c r="M70" i="3" s="1"/>
  <c r="AG60" i="3"/>
  <c r="AI11" i="3"/>
  <c r="AJ11" i="3"/>
  <c r="E70" i="3"/>
  <c r="AL11" i="3"/>
  <c r="AL10" i="3" s="1"/>
  <c r="AM11" i="3"/>
  <c r="AM10" i="3" s="1"/>
  <c r="D29" i="3"/>
  <c r="D47" i="3"/>
  <c r="D50" i="3"/>
  <c r="D49" i="3"/>
  <c r="L42" i="3"/>
  <c r="L51" i="3" s="1"/>
  <c r="L52" i="3" s="1"/>
  <c r="J42" i="3"/>
  <c r="J51" i="3" s="1"/>
  <c r="J52" i="3" s="1"/>
  <c r="I42" i="3"/>
  <c r="AH60" i="3" l="1"/>
  <c r="AJ42" i="3"/>
  <c r="AI42" i="3"/>
  <c r="I51" i="3"/>
  <c r="I52" i="3" s="1"/>
  <c r="K51" i="3"/>
  <c r="K52" i="3" s="1"/>
  <c r="H51" i="3"/>
  <c r="H52" i="3" s="1"/>
  <c r="F51" i="3"/>
  <c r="F52" i="3" s="1"/>
  <c r="E51" i="3"/>
  <c r="G51" i="3"/>
  <c r="AM14" i="3"/>
  <c r="AL14" i="3"/>
  <c r="AL15" i="3"/>
  <c r="AM15" i="3"/>
  <c r="AK11" i="3"/>
  <c r="AK10" i="3" s="1"/>
  <c r="AI10" i="3"/>
  <c r="AJ10" i="3"/>
  <c r="AM7" i="3"/>
  <c r="AL7" i="3"/>
  <c r="AH11" i="3"/>
  <c r="AG11" i="3"/>
  <c r="M42" i="3"/>
  <c r="M51" i="3" s="1"/>
  <c r="M52" i="3" s="1"/>
  <c r="A32" i="4"/>
  <c r="A33" i="4"/>
  <c r="A38" i="4"/>
  <c r="A39" i="4"/>
  <c r="A40" i="4"/>
  <c r="G52" i="3" l="1"/>
  <c r="AG42" i="3"/>
  <c r="AK42" i="3"/>
  <c r="AI4" i="3"/>
  <c r="E52" i="3"/>
  <c r="AH42" i="3" s="1"/>
  <c r="AG7" i="3"/>
  <c r="AJ4" i="3"/>
  <c r="AL4" i="3"/>
  <c r="AM4" i="3"/>
  <c r="AK4" i="3"/>
  <c r="AH7" i="3"/>
  <c r="AH10" i="3"/>
  <c r="AG10" i="3"/>
  <c r="AJ7" i="3"/>
  <c r="AK7" i="3"/>
  <c r="A19" i="6"/>
  <c r="A20" i="6"/>
  <c r="A21" i="6"/>
  <c r="A22" i="6"/>
  <c r="A23" i="6"/>
  <c r="A24" i="6"/>
  <c r="A25" i="6"/>
  <c r="AI7" i="3" l="1"/>
  <c r="AH4" i="3"/>
  <c r="AG4" i="3"/>
  <c r="A5" i="11"/>
  <c r="A8" i="11"/>
  <c r="A9" i="11"/>
  <c r="A14" i="11"/>
  <c r="O4" i="11"/>
  <c r="Q4" i="11" s="1"/>
  <c r="O3" i="11"/>
  <c r="Q3" i="11" s="1"/>
  <c r="A4" i="11"/>
  <c r="Q6" i="11" l="1"/>
  <c r="F6" i="11"/>
  <c r="F7" i="11"/>
  <c r="F9" i="11"/>
  <c r="F8" i="11"/>
  <c r="F10" i="11" s="1"/>
  <c r="P3" i="11"/>
  <c r="P4" i="11"/>
  <c r="R4" i="11" s="1"/>
  <c r="J12" i="4"/>
  <c r="J19" i="4"/>
  <c r="C17" i="11" s="1"/>
  <c r="J24" i="4"/>
  <c r="J25" i="4"/>
  <c r="J26" i="4"/>
  <c r="D11" i="11" s="1"/>
  <c r="H11" i="11" s="1"/>
  <c r="J27" i="4"/>
  <c r="D14" i="11" s="1"/>
  <c r="J28" i="4"/>
  <c r="J29" i="4"/>
  <c r="J30" i="4"/>
  <c r="J39" i="4"/>
  <c r="J40" i="4"/>
  <c r="J38" i="4"/>
  <c r="R3" i="11" l="1"/>
  <c r="P6" i="11"/>
  <c r="R6" i="11"/>
  <c r="A3" i="11"/>
  <c r="E6" i="11" l="1"/>
  <c r="G6" i="11" s="1"/>
  <c r="H6" i="11" s="1"/>
  <c r="E7" i="11"/>
  <c r="G7" i="11" s="1"/>
  <c r="H7" i="11" s="1"/>
  <c r="E9" i="11"/>
  <c r="G9" i="11" s="1"/>
  <c r="H9" i="11" s="1"/>
  <c r="E8" i="11"/>
  <c r="I42" i="6"/>
  <c r="I41" i="6"/>
  <c r="I40" i="6"/>
  <c r="I39" i="6"/>
  <c r="I38" i="6"/>
  <c r="I37" i="6"/>
  <c r="I36" i="6"/>
  <c r="I35"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A16" i="4"/>
  <c r="A17" i="4"/>
  <c r="A18" i="4"/>
  <c r="A19" i="4"/>
  <c r="A20" i="4"/>
  <c r="A22" i="4"/>
  <c r="A23" i="4"/>
  <c r="A24" i="4"/>
  <c r="A25" i="4"/>
  <c r="A26" i="4"/>
  <c r="A27" i="4"/>
  <c r="A28" i="4"/>
  <c r="A29" i="4"/>
  <c r="A30" i="4"/>
  <c r="A31" i="4"/>
  <c r="A5" i="4"/>
  <c r="A6" i="4"/>
  <c r="A7" i="4"/>
  <c r="A8" i="4"/>
  <c r="A9" i="4"/>
  <c r="A10" i="4"/>
  <c r="A11" i="4"/>
  <c r="A12" i="4"/>
  <c r="A13" i="4"/>
  <c r="A14" i="4"/>
  <c r="A15" i="4"/>
  <c r="G8" i="11" l="1"/>
  <c r="H8" i="11" s="1"/>
  <c r="E10" i="11"/>
  <c r="G10" i="11" s="1"/>
  <c r="H10" i="11" s="1"/>
  <c r="A4" i="4"/>
  <c r="D70" i="6" l="1"/>
  <c r="D10" i="4"/>
  <c r="D266" i="3" l="1"/>
  <c r="D248" i="3"/>
  <c r="D230" i="3"/>
  <c r="D212" i="3"/>
  <c r="D194" i="3"/>
  <c r="D86" i="3"/>
  <c r="D32" i="3"/>
  <c r="L240" i="3"/>
  <c r="L222" i="3"/>
  <c r="L231" i="3" s="1"/>
  <c r="L232" i="3" s="1"/>
  <c r="L204" i="3"/>
  <c r="L213" i="3" s="1"/>
  <c r="L214" i="3" s="1"/>
  <c r="L186" i="3"/>
  <c r="L195" i="3" s="1"/>
  <c r="L196" i="3" s="1"/>
  <c r="L78" i="3"/>
  <c r="AJ5" i="3"/>
  <c r="J78" i="3"/>
  <c r="I78" i="3"/>
  <c r="J186" i="3"/>
  <c r="I186" i="3"/>
  <c r="J204" i="3"/>
  <c r="J213" i="3" s="1"/>
  <c r="J214" i="3" s="1"/>
  <c r="I204" i="3"/>
  <c r="J222" i="3"/>
  <c r="J231" i="3" s="1"/>
  <c r="J232" i="3" s="1"/>
  <c r="I222" i="3"/>
  <c r="J240" i="3"/>
  <c r="I240" i="3"/>
  <c r="D265" i="3"/>
  <c r="D247" i="3"/>
  <c r="D229" i="3"/>
  <c r="D211" i="3"/>
  <c r="D193" i="3"/>
  <c r="D85" i="3"/>
  <c r="D31" i="3"/>
  <c r="AJ222" i="3" l="1"/>
  <c r="AI222" i="3"/>
  <c r="AJ204" i="3"/>
  <c r="AI204" i="3"/>
  <c r="AI186" i="3"/>
  <c r="AJ186" i="3"/>
  <c r="I93" i="3"/>
  <c r="AM78" i="3" s="1"/>
  <c r="AL78" i="3"/>
  <c r="AJ78" i="3"/>
  <c r="AI78" i="3"/>
  <c r="E267" i="3"/>
  <c r="G267" i="3"/>
  <c r="G268" i="3" s="1"/>
  <c r="H267" i="3"/>
  <c r="H268" i="3" s="1"/>
  <c r="F267" i="3"/>
  <c r="F268" i="3" s="1"/>
  <c r="M267" i="3"/>
  <c r="M268" i="3" s="1"/>
  <c r="I267" i="3"/>
  <c r="I268" i="3" s="1"/>
  <c r="J267" i="3"/>
  <c r="J268" i="3" s="1"/>
  <c r="K267" i="3"/>
  <c r="K268" i="3" s="1"/>
  <c r="L267" i="3"/>
  <c r="L268" i="3" s="1"/>
  <c r="K249" i="3"/>
  <c r="K250" i="3" s="1"/>
  <c r="J249" i="3"/>
  <c r="J250" i="3" s="1"/>
  <c r="I249" i="3"/>
  <c r="I250" i="3" s="1"/>
  <c r="H249" i="3"/>
  <c r="H250" i="3" s="1"/>
  <c r="F249" i="3"/>
  <c r="F250" i="3" s="1"/>
  <c r="G249" i="3"/>
  <c r="G250" i="3" s="1"/>
  <c r="E249" i="3"/>
  <c r="M249" i="3"/>
  <c r="M250" i="3" s="1"/>
  <c r="L249" i="3"/>
  <c r="L250" i="3" s="1"/>
  <c r="J195" i="3"/>
  <c r="J196" i="3" s="1"/>
  <c r="I231" i="3"/>
  <c r="I232" i="3" s="1"/>
  <c r="I213" i="3"/>
  <c r="I214" i="3" s="1"/>
  <c r="I195" i="3"/>
  <c r="I196" i="3" s="1"/>
  <c r="K195" i="3"/>
  <c r="K196" i="3" s="1"/>
  <c r="E195" i="3"/>
  <c r="G195" i="3"/>
  <c r="G196" i="3" s="1"/>
  <c r="H195" i="3"/>
  <c r="H196" i="3" s="1"/>
  <c r="F195" i="3"/>
  <c r="F196" i="3" s="1"/>
  <c r="E213" i="3"/>
  <c r="F213" i="3"/>
  <c r="F214" i="3" s="1"/>
  <c r="G213" i="3"/>
  <c r="G214" i="3" s="1"/>
  <c r="H213" i="3"/>
  <c r="H214" i="3" s="1"/>
  <c r="K213" i="3"/>
  <c r="K214" i="3" s="1"/>
  <c r="G231" i="3"/>
  <c r="G232" i="3" s="1"/>
  <c r="F231" i="3"/>
  <c r="F232" i="3" s="1"/>
  <c r="H231" i="3"/>
  <c r="H232" i="3" s="1"/>
  <c r="E231" i="3"/>
  <c r="K231" i="3"/>
  <c r="K232" i="3" s="1"/>
  <c r="J87" i="3"/>
  <c r="J88" i="3" s="1"/>
  <c r="K33" i="3"/>
  <c r="K34" i="3" s="1"/>
  <c r="H33" i="3"/>
  <c r="H34" i="3" s="1"/>
  <c r="E33" i="3"/>
  <c r="G33" i="3"/>
  <c r="G34" i="3" s="1"/>
  <c r="F33" i="3"/>
  <c r="F34" i="3" s="1"/>
  <c r="F87" i="3"/>
  <c r="F88" i="3" s="1"/>
  <c r="K87" i="3"/>
  <c r="K88" i="3" s="1"/>
  <c r="G87" i="3"/>
  <c r="G88" i="3" s="1"/>
  <c r="H87" i="3"/>
  <c r="H88" i="3" s="1"/>
  <c r="E87" i="3"/>
  <c r="L87" i="3"/>
  <c r="L88" i="3" s="1"/>
  <c r="I87" i="3"/>
  <c r="I88" i="3" s="1"/>
  <c r="M186" i="3"/>
  <c r="M195" i="3" s="1"/>
  <c r="M196" i="3" s="1"/>
  <c r="M204" i="3"/>
  <c r="M213" i="3" s="1"/>
  <c r="M214" i="3" s="1"/>
  <c r="M222" i="3"/>
  <c r="M231" i="3" s="1"/>
  <c r="M232" i="3" s="1"/>
  <c r="M78" i="3"/>
  <c r="M87" i="3" s="1"/>
  <c r="M88" i="3" s="1"/>
  <c r="E15" i="4"/>
  <c r="E16" i="4" s="1"/>
  <c r="AI5" i="3"/>
  <c r="M240" i="3"/>
  <c r="AK240" i="3" s="1"/>
  <c r="AM17" i="3"/>
  <c r="AL5" i="3"/>
  <c r="AL17" i="3"/>
  <c r="AM16" i="3"/>
  <c r="AM5" i="3"/>
  <c r="AK5" i="3"/>
  <c r="AL16" i="3"/>
  <c r="AJ240" i="3" l="1"/>
  <c r="AI240" i="3"/>
  <c r="E268" i="3"/>
  <c r="AH258" i="3" s="1"/>
  <c r="AG258" i="3"/>
  <c r="AG17" i="3" s="1"/>
  <c r="H8" i="4" s="1"/>
  <c r="E250" i="3"/>
  <c r="AH240" i="3" s="1"/>
  <c r="AG240" i="3"/>
  <c r="AG16" i="3" s="1"/>
  <c r="N10" i="4" s="1"/>
  <c r="AK186" i="3"/>
  <c r="E214" i="3"/>
  <c r="AH204" i="3" s="1"/>
  <c r="AG204" i="3"/>
  <c r="AG15" i="3" s="1"/>
  <c r="AK204" i="3"/>
  <c r="E232" i="3"/>
  <c r="AH222" i="3" s="1"/>
  <c r="AG222" i="3"/>
  <c r="E196" i="3"/>
  <c r="AH186" i="3" s="1"/>
  <c r="AG186" i="3"/>
  <c r="AK222" i="3"/>
  <c r="E34" i="3"/>
  <c r="AK78" i="3"/>
  <c r="AK6" i="3" s="1"/>
  <c r="F17" i="4" s="1"/>
  <c r="E88" i="3"/>
  <c r="AH78" i="3" s="1"/>
  <c r="AH6" i="3" s="1"/>
  <c r="AG78" i="3"/>
  <c r="AG6" i="3" s="1"/>
  <c r="AJ16" i="3"/>
  <c r="AK16" i="3"/>
  <c r="AI16" i="3"/>
  <c r="AJ14" i="3"/>
  <c r="AI14" i="3"/>
  <c r="AM6" i="3"/>
  <c r="E20" i="4"/>
  <c r="AL6" i="3"/>
  <c r="F22" i="4" s="1"/>
  <c r="AJ17" i="3"/>
  <c r="AK17" i="3"/>
  <c r="E17" i="4"/>
  <c r="E18" i="4"/>
  <c r="E11" i="4"/>
  <c r="E22" i="4"/>
  <c r="E10" i="4"/>
  <c r="AL13" i="3"/>
  <c r="AL3" i="3"/>
  <c r="AH5" i="3"/>
  <c r="AG5" i="3"/>
  <c r="AM3" i="3"/>
  <c r="L24" i="3"/>
  <c r="L33" i="3" s="1"/>
  <c r="L34" i="3" s="1"/>
  <c r="J24" i="3"/>
  <c r="J33" i="3" s="1"/>
  <c r="J34" i="3" s="1"/>
  <c r="I24" i="3"/>
  <c r="AJ24" i="3" l="1"/>
  <c r="AI24" i="3"/>
  <c r="I32" i="4"/>
  <c r="I33" i="3"/>
  <c r="AG24" i="3" s="1"/>
  <c r="AI15" i="3"/>
  <c r="G10" i="4" s="1"/>
  <c r="AK15" i="3"/>
  <c r="F20" i="4"/>
  <c r="AH15" i="3"/>
  <c r="AJ15" i="3"/>
  <c r="AJ13" i="3" s="1"/>
  <c r="AJ6" i="3"/>
  <c r="AI6" i="3"/>
  <c r="F10" i="4" s="1"/>
  <c r="F18" i="4"/>
  <c r="F11" i="4"/>
  <c r="AI17" i="3"/>
  <c r="H9" i="4" s="1"/>
  <c r="AM13" i="3"/>
  <c r="AM2" i="3"/>
  <c r="G9" i="4"/>
  <c r="F4" i="4"/>
  <c r="F5" i="4" s="1"/>
  <c r="I33" i="4"/>
  <c r="F3" i="4"/>
  <c r="E4" i="4"/>
  <c r="E5" i="4" s="1"/>
  <c r="AL2" i="3"/>
  <c r="AL19" i="3" s="1"/>
  <c r="H15" i="4"/>
  <c r="H16" i="4" s="1"/>
  <c r="E3" i="4"/>
  <c r="M24" i="3"/>
  <c r="M33" i="3" s="1"/>
  <c r="M34" i="3" s="1"/>
  <c r="AH16" i="3"/>
  <c r="AH17" i="3"/>
  <c r="H31" i="4" l="1"/>
  <c r="M9" i="4"/>
  <c r="H88" i="6" s="1"/>
  <c r="I88" i="6" s="1"/>
  <c r="J88" i="6" s="1"/>
  <c r="D53" i="6" s="1"/>
  <c r="J53" i="6" s="1"/>
  <c r="M10" i="4"/>
  <c r="H89" i="6" s="1"/>
  <c r="I89" i="6" s="1"/>
  <c r="J89" i="6" s="1"/>
  <c r="D54" i="6" s="1"/>
  <c r="J54" i="6" s="1"/>
  <c r="H33" i="4"/>
  <c r="H32" i="4"/>
  <c r="AM19" i="3"/>
  <c r="I34" i="3"/>
  <c r="AH24" i="3" s="1"/>
  <c r="AK24" i="3"/>
  <c r="AK3" i="3" s="1"/>
  <c r="AJ3" i="3"/>
  <c r="D20" i="4"/>
  <c r="J20" i="4" s="1"/>
  <c r="D12" i="11" s="1"/>
  <c r="H12" i="11" s="1"/>
  <c r="J21" i="4"/>
  <c r="D13" i="11" s="1"/>
  <c r="H13" i="11" s="1"/>
  <c r="AI3" i="3"/>
  <c r="I31" i="4"/>
  <c r="J31" i="4" s="1"/>
  <c r="J10" i="4"/>
  <c r="D22" i="4"/>
  <c r="J22" i="4" s="1"/>
  <c r="AI13" i="3"/>
  <c r="F15" i="4"/>
  <c r="F16" i="4" s="1"/>
  <c r="E6" i="4"/>
  <c r="F6" i="4"/>
  <c r="J8" i="4"/>
  <c r="G14" i="4"/>
  <c r="G15" i="4"/>
  <c r="G16" i="4" s="1"/>
  <c r="H4" i="4"/>
  <c r="J32" i="4" l="1"/>
  <c r="D29" i="6" s="1"/>
  <c r="J33" i="4"/>
  <c r="D31" i="6" s="1"/>
  <c r="D32" i="6" s="1"/>
  <c r="H42" i="4"/>
  <c r="I42" i="4"/>
  <c r="AK2" i="3"/>
  <c r="AH3" i="3"/>
  <c r="AG3" i="3"/>
  <c r="A47" i="6"/>
  <c r="A48" i="6"/>
  <c r="A49" i="6"/>
  <c r="A50" i="6"/>
  <c r="A51" i="6"/>
  <c r="A52" i="6"/>
  <c r="A55" i="6"/>
  <c r="A56" i="6"/>
  <c r="A57" i="6"/>
  <c r="A58" i="6"/>
  <c r="A59" i="6"/>
  <c r="A60" i="6"/>
  <c r="A61" i="6"/>
  <c r="A62" i="6"/>
  <c r="A64" i="6"/>
  <c r="A65" i="6"/>
  <c r="A69" i="6"/>
  <c r="A70" i="6"/>
  <c r="A71" i="6"/>
  <c r="A72" i="6"/>
  <c r="A46" i="6"/>
  <c r="A4" i="6"/>
  <c r="A5" i="6"/>
  <c r="A6" i="6"/>
  <c r="A7" i="6"/>
  <c r="A8" i="6"/>
  <c r="A9" i="6"/>
  <c r="A10" i="6"/>
  <c r="A11" i="6"/>
  <c r="A12" i="6"/>
  <c r="A13" i="6"/>
  <c r="A14" i="6"/>
  <c r="A15" i="6"/>
  <c r="A16" i="6"/>
  <c r="A17" i="6"/>
  <c r="A18" i="6"/>
  <c r="A26" i="6"/>
  <c r="A27" i="6"/>
  <c r="A28" i="6"/>
  <c r="A29" i="6"/>
  <c r="A30" i="6"/>
  <c r="A31" i="6"/>
  <c r="A32" i="6"/>
  <c r="A35" i="6"/>
  <c r="A36" i="6"/>
  <c r="A37" i="6"/>
  <c r="A38" i="6"/>
  <c r="A39" i="6"/>
  <c r="A40" i="6"/>
  <c r="A41" i="6"/>
  <c r="A42" i="6"/>
  <c r="A3" i="6"/>
  <c r="A3" i="4"/>
  <c r="AK14" i="3" l="1"/>
  <c r="AK13" i="3" s="1"/>
  <c r="AK19" i="3" s="1"/>
  <c r="D9" i="4"/>
  <c r="J9" i="4" s="1"/>
  <c r="AI2" i="3"/>
  <c r="AJ2" i="3"/>
  <c r="AJ19" i="3" s="1"/>
  <c r="AG2" i="3"/>
  <c r="AH2" i="3"/>
  <c r="D17" i="4"/>
  <c r="D18" i="4"/>
  <c r="D11" i="4"/>
  <c r="AI19" i="3" l="1"/>
  <c r="D41" i="6" s="1"/>
  <c r="D42" i="6" s="1"/>
  <c r="G18" i="4"/>
  <c r="G11" i="4"/>
  <c r="G17" i="4"/>
  <c r="J17" i="4" s="1"/>
  <c r="AG14" i="3"/>
  <c r="AG13" i="3" s="1"/>
  <c r="AG19" i="3" s="1"/>
  <c r="AH14" i="3"/>
  <c r="AH13" i="3" s="1"/>
  <c r="AH19" i="3" s="1"/>
  <c r="J18" i="4"/>
  <c r="J11" i="4"/>
  <c r="D3" i="4"/>
  <c r="D6" i="4" s="1"/>
  <c r="D4" i="4"/>
  <c r="D15" i="4"/>
  <c r="J14" i="4"/>
  <c r="H14" i="11"/>
  <c r="G4" i="4" l="1"/>
  <c r="G5" i="4" s="1"/>
  <c r="G3" i="4"/>
  <c r="J13" i="4"/>
  <c r="D28" i="14"/>
  <c r="E28" i="14" s="1"/>
  <c r="D21" i="14"/>
  <c r="E21" i="14" s="1"/>
  <c r="D29" i="14"/>
  <c r="E29" i="14" s="1"/>
  <c r="D22" i="14"/>
  <c r="E22" i="14" s="1"/>
  <c r="D30" i="14"/>
  <c r="E30" i="14" s="1"/>
  <c r="D31" i="14"/>
  <c r="E31" i="14" s="1"/>
  <c r="D23" i="14"/>
  <c r="E23" i="14" s="1"/>
  <c r="D24" i="14"/>
  <c r="E24" i="14" s="1"/>
  <c r="D25" i="14"/>
  <c r="E25" i="14" s="1"/>
  <c r="D26" i="14"/>
  <c r="E26" i="14" s="1"/>
  <c r="D27" i="14"/>
  <c r="E27" i="14" s="1"/>
  <c r="D20" i="14"/>
  <c r="E20" i="14" s="1"/>
  <c r="D17" i="14"/>
  <c r="E17" i="14" s="1"/>
  <c r="D19" i="14"/>
  <c r="E19" i="14" s="1"/>
  <c r="D18" i="14"/>
  <c r="E18" i="14" s="1"/>
  <c r="D16" i="4"/>
  <c r="J16" i="4" s="1"/>
  <c r="J15" i="4"/>
  <c r="D16" i="14"/>
  <c r="E16" i="14" s="1"/>
  <c r="J4" i="4" l="1"/>
  <c r="J3" i="4"/>
  <c r="G6" i="4"/>
  <c r="J6" i="4" s="1"/>
  <c r="D11" i="14"/>
  <c r="E11" i="14" s="1"/>
  <c r="D5" i="14"/>
  <c r="E5" i="14" s="1"/>
  <c r="D6" i="14"/>
  <c r="E6" i="14" s="1"/>
  <c r="D12" i="14"/>
  <c r="E12" i="14" s="1"/>
  <c r="D7" i="14"/>
  <c r="E7" i="14" s="1"/>
  <c r="D13" i="14"/>
  <c r="E13" i="14" s="1"/>
  <c r="D15" i="14"/>
  <c r="E15" i="14" s="1"/>
  <c r="D8" i="14"/>
  <c r="E8" i="14" s="1"/>
  <c r="D14" i="14"/>
  <c r="E14" i="14" s="1"/>
  <c r="E2" i="14"/>
  <c r="D3" i="14"/>
  <c r="E3" i="14" s="1"/>
  <c r="D9" i="14"/>
  <c r="E9" i="14" s="1"/>
  <c r="D4" i="14"/>
  <c r="E4" i="14" s="1"/>
  <c r="D10" i="14"/>
  <c r="E10" i="14" s="1"/>
  <c r="G4" i="11"/>
  <c r="G5" i="11"/>
  <c r="H3" i="12" l="1"/>
  <c r="H4" i="11" l="1"/>
  <c r="H5" i="11"/>
  <c r="H3" i="11"/>
  <c r="H15" i="11" s="1"/>
  <c r="F23" i="4" l="1"/>
  <c r="J99" i="6"/>
  <c r="D71" i="6" s="1"/>
  <c r="J71" i="6" s="1"/>
  <c r="I98" i="6"/>
  <c r="I97" i="6"/>
  <c r="J70" i="6"/>
  <c r="J69" i="6"/>
  <c r="J42" i="6"/>
  <c r="J41" i="6"/>
  <c r="E23" i="4" l="1"/>
  <c r="G7" i="4"/>
  <c r="G42" i="4" l="1"/>
  <c r="F7" i="4"/>
  <c r="D7" i="4"/>
  <c r="F42" i="4" l="1"/>
  <c r="E7" i="4"/>
  <c r="D23" i="4"/>
  <c r="J23" i="4" s="1"/>
  <c r="J7" i="4" l="1"/>
  <c r="E42" i="4"/>
  <c r="D5" i="4"/>
  <c r="J5" i="4" l="1"/>
  <c r="D42" i="4"/>
  <c r="D24" i="6"/>
  <c r="J24" i="6" s="1"/>
  <c r="D25" i="6" l="1"/>
  <c r="D23" i="6"/>
  <c r="J23" i="6" s="1"/>
  <c r="D20" i="6"/>
  <c r="J20" i="6" s="1"/>
  <c r="J31" i="6"/>
  <c r="D36" i="6"/>
  <c r="J36" i="6" s="1"/>
  <c r="D15" i="6"/>
  <c r="J15" i="6" s="1"/>
  <c r="D8" i="6"/>
  <c r="J8" i="6" s="1"/>
  <c r="D19" i="6"/>
  <c r="J19" i="6" s="1"/>
  <c r="D27" i="6"/>
  <c r="J27" i="6" s="1"/>
  <c r="D21" i="6"/>
  <c r="J21" i="6" s="1"/>
  <c r="J32" i="6"/>
  <c r="D12" i="6"/>
  <c r="H87" i="6" s="1"/>
  <c r="J29" i="6"/>
  <c r="D38" i="6"/>
  <c r="J38" i="6" s="1"/>
  <c r="D39" i="6"/>
  <c r="D40" i="6" s="1"/>
  <c r="D17" i="6"/>
  <c r="J17" i="6" s="1"/>
  <c r="D4" i="6"/>
  <c r="D5" i="6" s="1"/>
  <c r="J5" i="6" s="1"/>
  <c r="D37" i="6"/>
  <c r="J37" i="6" s="1"/>
  <c r="D35" i="6"/>
  <c r="D3" i="12"/>
  <c r="I3" i="12" s="1"/>
  <c r="I4" i="12" s="1"/>
  <c r="D3" i="6"/>
  <c r="D22" i="6"/>
  <c r="J22" i="6" s="1"/>
  <c r="D10" i="6"/>
  <c r="H86" i="6" s="1"/>
  <c r="D6" i="6"/>
  <c r="J12" i="6" l="1"/>
  <c r="I86" i="6"/>
  <c r="J86" i="6" s="1"/>
  <c r="D51" i="6" s="1"/>
  <c r="J51" i="6" s="1"/>
  <c r="D62" i="6"/>
  <c r="J62" i="6" s="1"/>
  <c r="D64" i="6"/>
  <c r="J64" i="6" s="1"/>
  <c r="D28" i="6"/>
  <c r="J28" i="6" s="1"/>
  <c r="D65" i="6"/>
  <c r="J65" i="6" s="1"/>
  <c r="H81" i="6"/>
  <c r="I81" i="6" s="1"/>
  <c r="J81" i="6" s="1"/>
  <c r="D13" i="6"/>
  <c r="H93" i="6"/>
  <c r="I93" i="6" s="1"/>
  <c r="J93" i="6" s="1"/>
  <c r="D11" i="6"/>
  <c r="D16" i="6"/>
  <c r="J16" i="6" s="1"/>
  <c r="H83" i="6"/>
  <c r="H84" i="6" s="1"/>
  <c r="I84" i="6" s="1"/>
  <c r="J84" i="6" s="1"/>
  <c r="J25" i="6"/>
  <c r="H95" i="6"/>
  <c r="H82" i="6"/>
  <c r="I82" i="6" s="1"/>
  <c r="J82" i="6" s="1"/>
  <c r="J40" i="6"/>
  <c r="D72" i="6"/>
  <c r="J72" i="6" s="1"/>
  <c r="D9" i="6"/>
  <c r="J9" i="6" s="1"/>
  <c r="J35" i="6"/>
  <c r="J10" i="6"/>
  <c r="J4" i="6"/>
  <c r="D7" i="6"/>
  <c r="D30" i="6"/>
  <c r="J30" i="6" s="1"/>
  <c r="J39" i="6"/>
  <c r="D18" i="6"/>
  <c r="J3" i="6"/>
  <c r="J6" i="6"/>
  <c r="D49" i="6" l="1"/>
  <c r="J49" i="6" s="1"/>
  <c r="D46" i="6"/>
  <c r="J46" i="6" s="1"/>
  <c r="D47" i="6"/>
  <c r="J47" i="6" s="1"/>
  <c r="D58" i="6"/>
  <c r="J58" i="6" s="1"/>
  <c r="D14" i="6"/>
  <c r="J14" i="6" s="1"/>
  <c r="H94" i="6"/>
  <c r="I94" i="6" s="1"/>
  <c r="J94" i="6" s="1"/>
  <c r="I83" i="6"/>
  <c r="J83" i="6" s="1"/>
  <c r="J11" i="6"/>
  <c r="J13" i="6"/>
  <c r="I87" i="6"/>
  <c r="J87" i="6" s="1"/>
  <c r="H96" i="6"/>
  <c r="I96" i="6" s="1"/>
  <c r="J96" i="6" s="1"/>
  <c r="I95" i="6"/>
  <c r="H85" i="6"/>
  <c r="I85" i="6" s="1"/>
  <c r="J85" i="6" s="1"/>
  <c r="J7" i="6"/>
  <c r="J18" i="6"/>
  <c r="D26" i="6"/>
  <c r="D59" i="6" l="1"/>
  <c r="J59" i="6" s="1"/>
  <c r="D48" i="6"/>
  <c r="J48" i="6" s="1"/>
  <c r="D50" i="6"/>
  <c r="J50" i="6" s="1"/>
  <c r="D61" i="6"/>
  <c r="J61" i="6" s="1"/>
  <c r="D52" i="6"/>
  <c r="J52" i="6" s="1"/>
  <c r="J95" i="6"/>
  <c r="H90" i="6"/>
  <c r="I90" i="6" s="1"/>
  <c r="J90" i="6" s="1"/>
  <c r="J26" i="6"/>
  <c r="J43" i="6" s="1"/>
  <c r="H91" i="6"/>
  <c r="I91" i="6" s="1"/>
  <c r="J91" i="6" s="1"/>
  <c r="D60" i="6" l="1"/>
  <c r="J60" i="6" s="1"/>
  <c r="D56" i="6"/>
  <c r="J56" i="6" s="1"/>
  <c r="H92" i="6"/>
  <c r="I92" i="6" s="1"/>
  <c r="J92" i="6" s="1"/>
  <c r="J44" i="6"/>
  <c r="J45" i="6" s="1"/>
  <c r="D57" i="6" l="1"/>
  <c r="J57" i="6" s="1"/>
  <c r="D55" i="6"/>
  <c r="J55" i="6" s="1"/>
  <c r="J73" i="6" l="1"/>
  <c r="J74" i="6" s="1"/>
  <c r="J75" i="6" l="1"/>
  <c r="J76" i="6" s="1"/>
  <c r="J77" i="6" s="1"/>
  <c r="B19" i="9" s="1"/>
</calcChain>
</file>

<file path=xl/sharedStrings.xml><?xml version="1.0" encoding="utf-8"?>
<sst xmlns="http://schemas.openxmlformats.org/spreadsheetml/2006/main" count="1350" uniqueCount="682">
  <si>
    <t>№ п/п</t>
  </si>
  <si>
    <t>Наименование работ и материалов</t>
  </si>
  <si>
    <t>Кол-во</t>
  </si>
  <si>
    <t>м2</t>
  </si>
  <si>
    <t>шт</t>
  </si>
  <si>
    <t>Наименование работ</t>
  </si>
  <si>
    <t>м</t>
  </si>
  <si>
    <t>Шпатлевка стен</t>
  </si>
  <si>
    <t>Замена облицовочной плитки</t>
  </si>
  <si>
    <t>Замена напольной плитки</t>
  </si>
  <si>
    <t>Демонтаж/монтаж ламината</t>
  </si>
  <si>
    <t>Герметизация сантехприборов</t>
  </si>
  <si>
    <t>Средняя расценка, руб.</t>
  </si>
  <si>
    <t xml:space="preserve">Непредвиденные затраты (2% от стоимости работ МДС 81-35.2004) </t>
  </si>
  <si>
    <t>Расходные материалы (2% от стоимости материалов)</t>
  </si>
  <si>
    <t xml:space="preserve">Транспортные расходы (6% от стоимости материалов МДС 81-35.2004) </t>
  </si>
  <si>
    <t>Ванная</t>
  </si>
  <si>
    <t>Снятие обоев</t>
  </si>
  <si>
    <t>Устройство наливного пола</t>
  </si>
  <si>
    <t>Оклейка стен обоями</t>
  </si>
  <si>
    <t>Выравнивание стен</t>
  </si>
  <si>
    <t>Окраска стен за 2 раза</t>
  </si>
  <si>
    <t>Шпатлевка откосов</t>
  </si>
  <si>
    <t>Окраска откосов за 2 раза</t>
  </si>
  <si>
    <t>Демонтаж/монтаж плинтусов</t>
  </si>
  <si>
    <t>Кор./ холл</t>
  </si>
  <si>
    <t>Затирка облицовочной и напольной плиток</t>
  </si>
  <si>
    <t>Шпатлевка стен (2 цикла)</t>
  </si>
  <si>
    <t>Шлифовка стен</t>
  </si>
  <si>
    <t xml:space="preserve">Грунтовка стен </t>
  </si>
  <si>
    <t>Шпатлевка откосов с грунтовкой</t>
  </si>
  <si>
    <t>Демонтаж облицовочной плитки</t>
  </si>
  <si>
    <t>Укладка облицовочной плитки</t>
  </si>
  <si>
    <t>Демонтаж напольной плитки</t>
  </si>
  <si>
    <t>Укладка напольной плитки</t>
  </si>
  <si>
    <t>Демонтаж ламината</t>
  </si>
  <si>
    <t>Монтаж ламината</t>
  </si>
  <si>
    <t>Демонтаж унитаза</t>
  </si>
  <si>
    <t>Монтаж унитаза</t>
  </si>
  <si>
    <t>Окраска труб отопления</t>
  </si>
  <si>
    <t>Демонтаж смесителя</t>
  </si>
  <si>
    <t>Монтаж смесителя</t>
  </si>
  <si>
    <t>Демонтаж умывальника</t>
  </si>
  <si>
    <t>Монтаж умывальника</t>
  </si>
  <si>
    <t>№</t>
  </si>
  <si>
    <t>Наименование</t>
  </si>
  <si>
    <t>Объем</t>
  </si>
  <si>
    <t>Расход</t>
  </si>
  <si>
    <t>Площадь</t>
  </si>
  <si>
    <t>Итог</t>
  </si>
  <si>
    <t>Всего</t>
  </si>
  <si>
    <t>Шпатлевка Ветонит LR Plus, 20 кг</t>
  </si>
  <si>
    <t>Краска интерьерная белая в/э Dulux, 10 кг</t>
  </si>
  <si>
    <t>Плитка керамическая белая "Дельта",  20х30 см</t>
  </si>
  <si>
    <t>1,2 м2</t>
  </si>
  <si>
    <t>Плитка напольная "Марми"</t>
  </si>
  <si>
    <t>1,33 м2</t>
  </si>
  <si>
    <t>Наливной пол "Старатели, 20 кг</t>
  </si>
  <si>
    <t>Клей плиточный "Knauf Флизен", 25 кг</t>
  </si>
  <si>
    <t>Финишная шпатлевка "Ротбанд Pasta", 18 кг</t>
  </si>
  <si>
    <t>Грунтовка "Ceresit CT 17", 10 кг</t>
  </si>
  <si>
    <t>Штукатурка "Knauf Ротбанд", 30 кг</t>
  </si>
  <si>
    <t>Затирка Ceresit CE40, 2 кг</t>
  </si>
  <si>
    <t>Ламинат "Artens" класс 33, 8 мм</t>
  </si>
  <si>
    <t>Подложка под ламинат "Artens XPS"</t>
  </si>
  <si>
    <t>Обои под покраску,1.06х25 м</t>
  </si>
  <si>
    <t>рул</t>
  </si>
  <si>
    <t>пач</t>
  </si>
  <si>
    <t>Клей обойный "Kleo", 30 м2</t>
  </si>
  <si>
    <t>бан</t>
  </si>
  <si>
    <t>Краска для радиаторов V33 цвет белый, 0.5 л</t>
  </si>
  <si>
    <t>Малярная лента "Dexter"</t>
  </si>
  <si>
    <t>50 м</t>
  </si>
  <si>
    <t>Демонтаж плинтусов</t>
  </si>
  <si>
    <t>Монтаж плинтусов</t>
  </si>
  <si>
    <t>Кухня-гостиная</t>
  </si>
  <si>
    <t>Стены</t>
  </si>
  <si>
    <t>S стен, м2</t>
  </si>
  <si>
    <t>Демонтаж/монтаж натяжных потолков</t>
  </si>
  <si>
    <t>Демонтаж/монтаж смесителя</t>
  </si>
  <si>
    <t>Демонтаж/монтаж умывальника</t>
  </si>
  <si>
    <t xml:space="preserve">Оклейка стен обоями </t>
  </si>
  <si>
    <t>Демонтаж/монтаж порога</t>
  </si>
  <si>
    <t>Замена подоконников</t>
  </si>
  <si>
    <t>Демонтаж подоконника</t>
  </si>
  <si>
    <t>Монтаж подоконника</t>
  </si>
  <si>
    <t>Демонтаж/монтаж панелей радиаторов</t>
  </si>
  <si>
    <t>Замена дверного блока</t>
  </si>
  <si>
    <t>Комплект наличников Artens, 5 шт</t>
  </si>
  <si>
    <t>Установка наличников</t>
  </si>
  <si>
    <t>компл</t>
  </si>
  <si>
    <t>Дверь межкомнатная Artens Мария с фурнитурой</t>
  </si>
  <si>
    <t>Замена входной двери</t>
  </si>
  <si>
    <t>Дверь металлическая Контрол Танганика, цвет белый</t>
  </si>
  <si>
    <t>Регулировка створок оконного блока</t>
  </si>
  <si>
    <t>блок</t>
  </si>
  <si>
    <t>Замена подоконных отливов</t>
  </si>
  <si>
    <t>Замена оконного блока</t>
  </si>
  <si>
    <t>Замена стеклопакета</t>
  </si>
  <si>
    <t>Демонтаж/монтаж унитаза</t>
  </si>
  <si>
    <t>Замена дверных наличников</t>
  </si>
  <si>
    <t>Демонтаж розеток, выключателей</t>
  </si>
  <si>
    <t>Монтаж розеток, выключателей</t>
  </si>
  <si>
    <t>Пленка п/э,3х25 м</t>
  </si>
  <si>
    <t>Подоконник ПВХ в комлекте</t>
  </si>
  <si>
    <t>Объемы работ</t>
  </si>
  <si>
    <t>Плинтус, м</t>
  </si>
  <si>
    <t>B1, мм</t>
  </si>
  <si>
    <t>B2, мм</t>
  </si>
  <si>
    <t>B3, мм</t>
  </si>
  <si>
    <t>H, мм</t>
  </si>
  <si>
    <t>Коридор, плитка</t>
  </si>
  <si>
    <t>Заказчик</t>
  </si>
  <si>
    <t>Договор №</t>
  </si>
  <si>
    <t>Дата договора</t>
  </si>
  <si>
    <t>Дата начала исследования</t>
  </si>
  <si>
    <t>Дата окончания исследования</t>
  </si>
  <si>
    <t>Время начала натурального осмотра</t>
  </si>
  <si>
    <t>Время окончания натурального осмотра</t>
  </si>
  <si>
    <t>Температута исследования</t>
  </si>
  <si>
    <t>Влажность исследования</t>
  </si>
  <si>
    <t>Фото гигрометра</t>
  </si>
  <si>
    <t>Спальня №1</t>
  </si>
  <si>
    <t>Спальня №2</t>
  </si>
  <si>
    <t>Санузел</t>
  </si>
  <si>
    <t>Стоимость работ</t>
  </si>
  <si>
    <t xml:space="preserve">Итого стоимость работ </t>
  </si>
  <si>
    <t>Стоимость материалов</t>
  </si>
  <si>
    <t>Итого стоимость материалов</t>
  </si>
  <si>
    <t>Итого работы и материалы</t>
  </si>
  <si>
    <t>Ед. изм.</t>
  </si>
  <si>
    <t>Единичные расценки, руб.</t>
  </si>
  <si>
    <t>Общая стоимость, руб.</t>
  </si>
  <si>
    <t xml:space="preserve">Наименование работ </t>
  </si>
  <si>
    <t>Замена оконного блока (1,95 м х 1,85 м)</t>
  </si>
  <si>
    <t>шт.</t>
  </si>
  <si>
    <t>Итого окна</t>
  </si>
  <si>
    <t>Монтаж натяжного потолка, с учетом материалов</t>
  </si>
  <si>
    <t>Итого потолок</t>
  </si>
  <si>
    <t>Замена оконного блока (0,75 м х 1,85 м)</t>
  </si>
  <si>
    <t>Итоговая сумма</t>
  </si>
  <si>
    <t>Номер термограммы (фото)</t>
  </si>
  <si>
    <t>Фактическая минимальная температура измеренной поверхности ограждающей конструкции, °С</t>
  </si>
  <si>
    <t>Температура воздуха внутри помещения, °С</t>
  </si>
  <si>
    <t>Отклонение температуры, °С</t>
  </si>
  <si>
    <t>Регулировка окон</t>
  </si>
  <si>
    <t>Перегородки</t>
  </si>
  <si>
    <t>Кухня, плитка</t>
  </si>
  <si>
    <t>A1, мм</t>
  </si>
  <si>
    <t>A2, мм</t>
  </si>
  <si>
    <t>A3, мм</t>
  </si>
  <si>
    <t>A4, мм</t>
  </si>
  <si>
    <t>A5, мм</t>
  </si>
  <si>
    <t>A6, мм</t>
  </si>
  <si>
    <t>Восстановление монтажного шва оконного блока</t>
  </si>
  <si>
    <t>Шпатлевка потолка</t>
  </si>
  <si>
    <t>Окраска потолочных карнизов</t>
  </si>
  <si>
    <t>Коридор, ламинат</t>
  </si>
  <si>
    <t>проемы</t>
  </si>
  <si>
    <t>двери</t>
  </si>
  <si>
    <t xml:space="preserve">S стен, м2 </t>
  </si>
  <si>
    <t>Помещение</t>
  </si>
  <si>
    <t>Откосы, м</t>
  </si>
  <si>
    <t>S штук, м2</t>
  </si>
  <si>
    <t>S пола,  м2</t>
  </si>
  <si>
    <t>штукатурка</t>
  </si>
  <si>
    <t>S потолка, м2</t>
  </si>
  <si>
    <t>S стен штук., м2</t>
  </si>
  <si>
    <t>Ниши</t>
  </si>
  <si>
    <t>С1,  мм</t>
  </si>
  <si>
    <t>С2, мм</t>
  </si>
  <si>
    <t>поля для заполнения</t>
  </si>
  <si>
    <t>поля не заполняются</t>
  </si>
  <si>
    <t>поля заполняются автоматически</t>
  </si>
  <si>
    <t>Значение фона:</t>
  </si>
  <si>
    <t>окна</t>
  </si>
  <si>
    <t>откосы, м</t>
  </si>
  <si>
    <t>Коридор-холл</t>
  </si>
  <si>
    <t>Кухня, ламинат</t>
  </si>
  <si>
    <t>Количество розеток, шт</t>
  </si>
  <si>
    <t>Количество банок краски, шт</t>
  </si>
  <si>
    <t>Выравнивание потолка</t>
  </si>
  <si>
    <t>Окраска потолка за 2 раза</t>
  </si>
  <si>
    <t>Демонтаж/монтаж карнизов</t>
  </si>
  <si>
    <t>Окраска карнизов</t>
  </si>
  <si>
    <t>Сан. узел</t>
  </si>
  <si>
    <t>м.п.</t>
  </si>
  <si>
    <t>Средняя:</t>
  </si>
  <si>
    <t>Количество окон</t>
  </si>
  <si>
    <t>Количество дверей</t>
  </si>
  <si>
    <t>Количество проемов</t>
  </si>
  <si>
    <t>Гардеробная</t>
  </si>
  <si>
    <t>Гардеробная, плитка</t>
  </si>
  <si>
    <t>Гардеробная, ламинат</t>
  </si>
  <si>
    <t>Обследование оконных проемов</t>
  </si>
  <si>
    <t>Загрязнения на поверхности оконных блоков</t>
  </si>
  <si>
    <t>СТО 45089902-001-2010 «Организация и проведение работ по монтажу оконных и дверных балконных блоков из ПВХ-профилей».</t>
  </si>
  <si>
    <t>Повреждения  (сколы, царапины, трещины) на поверхности ПВХ профилей</t>
  </si>
  <si>
    <t>ГОСТ 30673-2013 «Профили поливинилхлоридные для оконных и дверных блоков. Технические условия»:
4.2.8 Дефекты на лицевых поверхностях: риски, раковины, вздутия, царапины, трещины, пузырьки и т. д., видимые невооруженным глазом, не допускаются.
СТО НОСТРОЙ 2.23.62-2012. «Окна. Часть 2 Правила производства монтажных работ, контроль и требования к результатам работ», Таблица 3, Оконные блоки:
На лицевой поверхности должны отсутствовать повреждения и дефекты.</t>
  </si>
  <si>
    <t>Повреждения (сколы, царапины) на ламинированном покрытии оконного профиля</t>
  </si>
  <si>
    <t>Открытые зазоры в соединениях оконных ПВХ профилей</t>
  </si>
  <si>
    <t>ГОСТ 30674-99 «Блоки оконные из поливинилхлоридных профилей. Технические условия»:
5.9.3 Угловые и Т-образные соединения профилей должны быть герметичными. Допускается уплотнение механических соединений ПВХ профилей атмосферостойкими эластичными прокладками. Зазоры до 0,5 мм допускается заделывать специальными герметиками, не ухудшающими внешний вид изделий и обеспечивающими защиту соединений от проникновения влаги.</t>
  </si>
  <si>
    <t>Отсутствует вертикальный уровень оконных блоков</t>
  </si>
  <si>
    <t>СТО 45089902-001-2010 «Организация и проведение работ по монтажу оконных и дверных балконных блоков из ПВХ-профилей», п.13.1, Таблица 9.1, Оконные блоки:
Отклонения оконного блока от вертикали и горизонтали на 1 м погонный должны быть не более 1,5 мм, а на всю длину изделия не более 3,0 мм.</t>
  </si>
  <si>
    <t>Повреждены уплотнители оконных блоков</t>
  </si>
  <si>
    <t>ГОСТ 30674-99 «Блоки оконные из поливинилхлоридных профилей. Технические условия»:
5.6.17 Уплотняющие прокладки должны устанавливаться непрерывно по всему периметру притвора створок и стеклопакета.</t>
  </si>
  <si>
    <t>Отсутствует герметизация примыкания оконных блоков к откосам</t>
  </si>
  <si>
    <t>ГОСТ 30971-2012 «Швы монтажные узлов примыкания оконных блоков к стеновым проемам. Общие технические условия»:
6.4 Контроль подготовки оконных проемов и установки оконных блоков проводят согласно технологической документации на производство монтажных работ с учетом требований действующей проектной документации и настоящего стандарта.
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</si>
  <si>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Герметизация примыкания оконных блоков к откосам выполнена не корректно</t>
  </si>
  <si>
    <t>Не удалена защитная пленка с оконных профилей</t>
  </si>
  <si>
    <t>Следы краски на поверхности ПВХ подоконников</t>
  </si>
  <si>
    <t>Повреждения (сколы, царапины, вмятины) на поверхности ПВХ подоконников</t>
  </si>
  <si>
    <t>СТО НОСТРОЙ 2.23.62-2012, «Окна. Часть 2 Правила производства монтажных работ, контроль и требования к результатам работ», Таблица 3, Подоконники:
На лицевой поверхности должны отсутствовать повреждения, сколы, вмятины, вздутия, отслоения.
СТО 45089902-001-2010 «Организация и проведение работ по монтажу оконных и дверных балконных блоков из ПВХ-профилей», п.13.1, Таблица 9.1, Подоконники:
На лицевой поверхности должны отсутствовать повреждения.</t>
  </si>
  <si>
    <t>Отсутствует горизонтальная плоскость ПВХ подоконника</t>
  </si>
  <si>
    <t>СТО 45089902-001-2010 «Организация и проведение работ по монтажу оконных и дверных балконных блоков из ПВХ-профилей», п.13.1, Таблица 9.1, Подоконники:
Отклонения от плоскостности на 1 м погонный должны быть не более 2,0 мм.</t>
  </si>
  <si>
    <t>Отсутствует герметизация примыкания ПВХ подоконников к оконным блокам и откосам</t>
  </si>
  <si>
    <t>ГОСТ 30971-2012 «Швы монтажные узлов примыкания оконных блоков к стеновым проемам. Общие технические условия»:
Г.2.3 Примыкание подоконника к коробке оконного блока должно быть плотным, герметичным и устойчивым к деформационным воздействиям.</t>
  </si>
  <si>
    <t>Герметизация примыкания ПВХ подоконников к оконным блокам и откосам выполнена не корректно</t>
  </si>
  <si>
    <t>Открытые зазоры между ПВХ подоконником и стеной</t>
  </si>
  <si>
    <t>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</si>
  <si>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Загрязнения на поверхности наружного отлива</t>
  </si>
  <si>
    <t>СТО НОСТРОЙ 2.23.62-2012. «Окна. Часть 2 Правила производства монтажных работ,
контроль и требования к результатам работ»,  Таблица 3, Оконные блоки:
На лицевой поверхности должны отсутствовать повреждения и дефекты.</t>
  </si>
  <si>
    <t xml:space="preserve">Повреждения (царапины, вмятины) на поверхности наружного отлива </t>
  </si>
  <si>
    <t>Загрязнения на поверхности стекол стеклопакетов</t>
  </si>
  <si>
    <t>ГОСТ 24866-2014. «Стеклопакеты клеевые».
5.1.3 Внутренние поверхности стекол в стеклопакетах должны быть чистыми, не допускаются загрязнения (следы пальцев рук, герметик, надписи, пыль, ворсинки, масляные пятна и т.д.).</t>
  </si>
  <si>
    <t>Повреждения (царапины, окалины, сколы) на поверхности стекол стеклопакетов</t>
  </si>
  <si>
    <t>ГОСТ 111-2014 «Стекло листовое бесцветное. Технические условия»:
Для стекла марок М0 и М1 вне зависимости от типа размеров линейные дефекты величиной свыше 10 мм не допускаются.</t>
  </si>
  <si>
    <t>СП 71.13330.2017 «Изоляционные и отделочные покрытия», Таблица 7.5:
На поверхностях, к декоративным свойствам которых предъявляются максимальные требования (для окраски поверхности тонкослойными покрытиями) не допускается наличие царапин, раковин, задиров, следов от инструмента (при сплошном визуальном осмотре). Также не допускаются тени от бокового света (при сплошной визуальной оценке с помощью ручного бокового светильника).
СП 71.13330.2017 «Изоляционные и отделочные покрытия», Таблица 7.7, Поверхности, окрашенные водоэмульсионными красками:
Полосы, пятна, подтеки и брызги не допускаются для жилых и общественных помещений.</t>
  </si>
  <si>
    <t>Следы протечек на поверхности внутренних откосов</t>
  </si>
  <si>
    <t>Угловые ПВХ элементы примыканий оконных блоков к откосам установлены некорректно: имеются следы краски, загрязнений, вмятин и отслоений</t>
  </si>
  <si>
    <t>ГОСТ 19111-2001 «Изделия погонажные профильные поливинилхлоридные для внутренней отделки. Технические условия»:
4.1.5 На лицевой поверхности изделий не допускаются наплывы, бугорки, раковины, царапины и пятна. Кромки и торцы не должны иметь местных искривлений, надрывов и зазубрин.
СТО НОСТРОЙ 2.23.62-2012, «Окна. Часть 2 Правила производства монтажных работ, контроль и требования к результатам работ», Таблица 3, Облицовка оконных откосов, Узлы сопряжений, примыканий:
В угловых и Т-образных соединениях должны отсутствовать зазоры и щели более 0,5 мм.</t>
  </si>
  <si>
    <t>Конструкции запирающих приборов и петель на оконных створках не обеспечивают плотный и равномерный обжим прокладок по всему контуру уплотнения в притворах, закрывание оконных створок происходит с усилием, требуется регулировка</t>
  </si>
  <si>
    <t>ГОСТ 30674-99 «Блоки оконные из поливинилхлоридных профилей. Технические условия»:
5.8.5 Запирающие приборы должны обеспечивать надежное запирание открывающихся элементов изделий. Открывание и закрывание должно происходить легко, плавно, без заеданий. 
5.8.6 Конструкции запирающих приборов и петель должны обеспечивать плотный и равномерный обжим прокладок по всему контуру уплотнения в притворах.</t>
  </si>
  <si>
    <t>Повреждения (царапины, сколы) на ручках оконных блоков</t>
  </si>
  <si>
    <t>Отсутствуют ПВХ ручки оконных створок</t>
  </si>
  <si>
    <t>Отсутствуют заглушки на подоконниках</t>
  </si>
  <si>
    <t>Отсутствуют ПВХ крышки на водоотводящих шлицах рамы оконного блока</t>
  </si>
  <si>
    <t>Отсутствует накладной элемент петли оконного блока</t>
  </si>
  <si>
    <t>Отсутствуют заглушки анкеров крепления оконных блоков</t>
  </si>
  <si>
    <t>Обследование стен</t>
  </si>
  <si>
    <t xml:space="preserve">Имеются вздутия, вмятины, непрокрасы и загрязнения на поверхности обоев, обои не проклеены в месте стыковки полотен, видимые швы, нахлест кромок обоев </t>
  </si>
  <si>
    <t>СП 71.13330.2017 «Изоляционные и отделочные покрытия»:
7.6.15. При визуальном осмотре на поверхности, оклеенной обоями, не допускают воздушные пузыри, замятины, пятна и другие загрязнения, а также доклейки и отслоения.
СП 71.13330.2017 «Изоляционные и отделочные покрытия», Таблица 7.7, Поверхности, окрашенные водоэмульсионными красками:
Полосы, пятна, подтеки и брызги не допускаются для жилых и общественных помещений.</t>
  </si>
  <si>
    <t>Локальное отсутствие обоев</t>
  </si>
  <si>
    <t>Отсутствует вертикальный и горизонтальный уровень  стен, неровности плавного очертания стен, оклеенных обоями</t>
  </si>
  <si>
    <t>СП 71.13330.2017 «Изоляционные и отделочные покрытия», Таблица 7.4,  Улучшенная штукатурка: 
Отклонение от вертикали должно составлять не более 2 мм на 1 м, но не более 10 мм на всю высоту помещения.
СП 71.13330.2017 «Изоляционные и отделочные покрытия», Таблица 7.4,  Улучшенная штукатурка: 
Неровностей поверхности плавного очертания должно быть не более 2 шт. глубиной (высотой) до 3 мм.</t>
  </si>
  <si>
    <t>Повреждения (сколы, царапины, непрокрасы, загрязнения) на окрашенной поверхности</t>
  </si>
  <si>
    <t>СП 71.13330.2017 «Изоляционные и отделочные покрытия», Таблица 7.7, Поверхности, окрашенные водоэмульсионными красками:
Полосы, пятна, подтеки, брызги, меление поверхности, исправления выделяющиеся на общем фоне не допускаются.</t>
  </si>
  <si>
    <t>Трещины на поверхности окрашенных стен</t>
  </si>
  <si>
    <t>Отсутствует вертикальный и горизонтальный уровень  стен, неровности плавного очертания окрашенных стен</t>
  </si>
  <si>
    <t>Повреждения (сколы,  трещины, царапины, окалина, загрязнения) на поверхности облицовочной плитки</t>
  </si>
  <si>
    <t>ВСН 50-96 «Инструкция по облицовке стен керамическими и полимерными плитками на клеях и клеящих мастиках»:
5.1 На облицованной плитками поверхности не допускаются сколы, трещины, пятна.</t>
  </si>
  <si>
    <t>Неровности плоскости стен из облицовочной плитки</t>
  </si>
  <si>
    <t>СП 71.13330.2017 «Изоляционные и отделочные покрытия», Таблица 7.6, Требования к облицовочным покрытиям:
Для внутренней облицовки неровности плоскости облицовки при контроле двухметровой рейкой должны быть не более 2 мм.</t>
  </si>
  <si>
    <t>Локальное отсутствие затирки облицовочной плитки, наплывы, трещины, разная ширина смежных швов, уступы смежных элементов</t>
  </si>
  <si>
    <t>СП 71.13330.2017 «Изоляционные и отделочные покрытия», Таблица 7.6, Требования к облицовочным покрытиям:
Для внутренней облицовки отклонение ширины шва  должно быть не более ± 0,5 мм.
СП 71.13330.2017 «Изоляционные и отделочные покрытия»:
7.4.13 Швы облицовки должны быть ровными, одинаковой ширины.
ТР 98-99 «Технические рекомендации по технологии устройства облицовок стен и покрытий полов»:
6.3. Швы между плитками должны быть заполненными, прямолинейными, взаимно перпендикулярными и одинаковой ширины.</t>
  </si>
  <si>
    <t>Облицовочная плитка не доведена до смежной поверхности</t>
  </si>
  <si>
    <t>Повреждение полотна натяжного потолка</t>
  </si>
  <si>
    <t>Следы загрязнений на поверхности натяжных потолков</t>
  </si>
  <si>
    <t>Зазоры на поверхности потолка в местах прохода стояков отопления</t>
  </si>
  <si>
    <t>Складки на поверхности натяжного потолка</t>
  </si>
  <si>
    <t>Провисание потолка в зоне закладной детали светильника</t>
  </si>
  <si>
    <t>Втягивание потолка</t>
  </si>
  <si>
    <t>ПВХ молдинги: неплотное и волнообразное примыкание к поверхности потолков и стен, открытые зазоры в местах угловых соединений</t>
  </si>
  <si>
    <t xml:space="preserve">ПВХ молдинги: следы краски </t>
  </si>
  <si>
    <t>Локальное отсутствие потолочного молдинга</t>
  </si>
  <si>
    <t>Повреждения (сколы, царапины, непрокрасы, загрязнения) на поверхности окрашенного потолка</t>
  </si>
  <si>
    <t>Отсутствует горизонтальный уровень  потолка, неровности плавного очертания окрашенного потолка</t>
  </si>
  <si>
    <t>СП 71.13330.2017 «Изоляционные и отделочные покрытия», Таблица 7.4,  Улучшенная штукатурка: 
Отклонение от горизонтали должно составлять не более 3 мм на 1 м.
Неровностей поверхности плавного очертания должно быть не более 2 шт. глубиной (высотой) до 3 мм.</t>
  </si>
  <si>
    <t>Повреждения (сколы, царапины, непрокрасы, загрязнения) на поверхности потолочного карниза</t>
  </si>
  <si>
    <t>Карниз не прилегает к поверхности стен или потолка, открытые зазоры в местах угловых соединений</t>
  </si>
  <si>
    <t>Отсутствует потолочный карниз</t>
  </si>
  <si>
    <t>Обследование пола из ламината</t>
  </si>
  <si>
    <t>Загрязнения на поверхности ламината</t>
  </si>
  <si>
    <t>Повреждения (царапины, сколы, вздутия) на поверхности ламината</t>
  </si>
  <si>
    <t>СП 71.13330.2017 «Изоляционные и отделочные покрытия», Таблица 8.15:
Поверхности покрытия не должны иметь выбоин, трещин, волн, вздутий, приподнятых кромок.</t>
  </si>
  <si>
    <t>Имеются зазоры в местах соединения элементов ламината, более 0,2 мм</t>
  </si>
  <si>
    <t>ГОСТ 32304-2013 «Ламинированные напольные покрытия на основе древесноволокнистых плит сухого способа производства. Технические условия», Таблица 1:
Зазор между соединенными элементами должен быть не более 0,2 мм.</t>
  </si>
  <si>
    <t>Уступы между смежными элементами ламината</t>
  </si>
  <si>
    <t>Отклонения поверхности покрытия ламината от плоскости и/или уровня</t>
  </si>
  <si>
    <t>СП 71.13330.2017 «Изоляционные и отделочные покрытия», Таблица 8.15:
Отклонения поверхности покрытия от плоскости при проверке двухметровой контрольной рейкой должно быть не более 2 мм.</t>
  </si>
  <si>
    <t>Места прохода стояков отопления в зоне напольного покрытия выполнены некорректно: отсутствуют отражатели, не срезаны монтажные гильзы, отражатели не перекрывают монтажные зазоры ламината, зазоры в местах соединения панелей ламината более 1 мм</t>
  </si>
  <si>
    <t>Ламинат не доведён до смежной поверхности</t>
  </si>
  <si>
    <t>Загрязнения на поверхности плинтусов</t>
  </si>
  <si>
    <t>ГОСТ 19111-2001 Изделия погонажные профильные поливинилхлоридные для внутренней отделки. Технические условия:
4.1.5 На лицевой поверхности изделий не допускаются наплывы, бугорки, раковины, царапины и пятна. Кромки и торцы не должны иметь местных искривлений, надрывов и зазубрин.</t>
  </si>
  <si>
    <t>Повреждение ПВХ плинтуса</t>
  </si>
  <si>
    <t>Плинтусы не доведены до плоскости наличников</t>
  </si>
  <si>
    <t>СП 71.13330.2017 «Изоляционные и отделочные покрытия», Таблица 8.15:
Зазоры и щели между плинтусами и покрытием пола или стенами (перегородками) не допускаются.</t>
  </si>
  <si>
    <t>Загрязнение разделительного порога</t>
  </si>
  <si>
    <t>Разделительные пороги имеют повреждения</t>
  </si>
  <si>
    <t xml:space="preserve">Разделительные пороги имеют неплотное прилегание к поверхности пола </t>
  </si>
  <si>
    <t>СП 71.13330.2017 «Изоляционные и отделочные покрытия», Таблица 8.15:
Уступы между элементами окаймления пола должны быть не более 2 мм.</t>
  </si>
  <si>
    <t>Разделительный порог не доведен до смежной поверхности</t>
  </si>
  <si>
    <t>Обследование покрытия пола из плитки</t>
  </si>
  <si>
    <t xml:space="preserve">Следы загрязнений на поверхности напольной плитки </t>
  </si>
  <si>
    <t>Повреждения (сколы, трещины) на поверхности напольной плитки</t>
  </si>
  <si>
    <t>Изменение характера звучания при простукивании напольной плитки, пустоты</t>
  </si>
  <si>
    <t>СП 71.13330.2017 «Изоляционные и отделочные покрытия», Таблица 8.15:
При проверке сцепления монолитных покрытий и покрытий из жестких плиточных материалов с нижележащими элементами пола простукиванием не должно быть изменения характера звучания.</t>
  </si>
  <si>
    <t>Напольная плитка не доведена до смежной поверхности</t>
  </si>
  <si>
    <t>Отсутствует горизонтальный уровень поверхности пола из плитки</t>
  </si>
  <si>
    <t>СП 71.13330.2017 «Изоляционные и отделочные покрытия», Таблица 8.15:
Отклонения от плоскости поверхности покрытия из керамических, каменных, цементно-песчаных, мозаично-бетонных, шлакоситалловых плит должны быть не более 4 мм.</t>
  </si>
  <si>
    <t>Уступы между смежными плитками</t>
  </si>
  <si>
    <t>СП 71.13330.2017 «Изоляционные и отделочные покрытия», Таблица 8.15:
Уступы между смежными изделиями покрытий из керамических, каменных, цементно-песчаных, мозаично-бетонных, шлакоситалловых плит должны быть не более 1 мм.</t>
  </si>
  <si>
    <t>Смежные швы плитки имеют разную величину, смещение, локальное отсутствие затирки напольной плитки, наплывы</t>
  </si>
  <si>
    <t>СП 71.13330.2017 «Изоляционные и отделочные покрытия»:
п. 7.4.13 Швы облицовки должны быть ровными, одинаковой ширины.
ТР 98-99 «Технические рекомендации по технологии устройства облицовок стен и покрытий полов»:
6.3. Швы между плитками должны быть заполненными, прямолинейными, взаимно перпендикулярными и одинаковой ширины.</t>
  </si>
  <si>
    <t>Низ разделительного порога из плитки выполнен не корректно</t>
  </si>
  <si>
    <t>Обследование межкомнатных дверей</t>
  </si>
  <si>
    <t>Загрязнения на поверхности дверного полотна</t>
  </si>
  <si>
    <t xml:space="preserve">Повреждения (сколы, царапины) на поверхности дверного полотна </t>
  </si>
  <si>
    <t>ГОСТ 475-2016 «Блоки дверные деревянные и комбинированные. Общие технические условия»:
5.6.4 Лицевые поверхности дверных блоков не должны иметь трещин, заусенцев, механических повреждений. 
5.6.7 Не допускаются непроклеенные участки, складки, волнистость и другие дефекты внешнего вида.</t>
  </si>
  <si>
    <t>Дверное полотно закрывается с усилием</t>
  </si>
  <si>
    <t>ГОСТ 475-2016 «Блоки дверные деревянные и комбинированные. Общие технические условия»:
5.4.2 Смонтированные дверные блоки независимо от числа полотен и способа открывания должны открываться и закрываться легко, без заеданий, а также фиксироваться в закрытом положении.</t>
  </si>
  <si>
    <t>Загрязнения на поверхности дверной коробки</t>
  </si>
  <si>
    <t xml:space="preserve">Повреждения (сколы, царапины) на поверхности дверной коробки </t>
  </si>
  <si>
    <t xml:space="preserve">Дверная коробка не доведена до уровня напольного покрытия </t>
  </si>
  <si>
    <t xml:space="preserve">Уплотнительные резинки не прилегают к поверхности дверной коробки </t>
  </si>
  <si>
    <t>Величина зазоров между элементами дверной коробки превышает 0,5 мм</t>
  </si>
  <si>
    <t>ГОСТ 475-2016 «Блоки дверные деревянные и комбинированные. Общие технические условия»:
5.3.7 Зазоры в местах неподвижных соединений элементов дверных блоков не должны быть более 0,3 мм.</t>
  </si>
  <si>
    <t xml:space="preserve">Отсутствует вертикальный уровень дверной коробки </t>
  </si>
  <si>
    <t>СТО НОСТРОЙ 2.11.161-2014 «Двери внутренние из древесных материалов»:
7.7 Отклонение установленных дверных блоков от вертикали и горизонтали в плоскости и из плоскости проема должно быть не более 1,5 мм на 1 м длины.</t>
  </si>
  <si>
    <t>Загрязнения на поверхности наличников</t>
  </si>
  <si>
    <t>ГОСТ 475-2016 «Блоки дверные деревянные и комбинированные. Общие технические условия»:
5.6.7 Не допускаются непроклеенные участки, складки, волнистость и другие дефекты внешнего вида.</t>
  </si>
  <si>
    <t>Повреждения (сколы, царапины) на поверхности дверных наличников</t>
  </si>
  <si>
    <t xml:space="preserve">Зазоры между наличниками и сопрягаемой поверхностью </t>
  </si>
  <si>
    <t xml:space="preserve">ГОСТ 475-2016 «Блоки дверные деревянные и комбинированные. Общие технические условия»:
5.4.8 Установка и крепление наличников, доборных элементов, нащельников, обкладок, реек, раскладок и других элементов облицовки и отделки должны обеспечивать надежное соединение с сопрягаемыми элементами проема и конструкции дверного блока. </t>
  </si>
  <si>
    <t xml:space="preserve">Места соединения элементов наличников выполнены некорректно, с зазорами более 1 мм </t>
  </si>
  <si>
    <t>СТО НОСТРОЙ 2.11.161-2014 «Двери внутренние из древесных материалов», Таблица 3:
Зазоры и уступы в местах стыковки наличников должны быть не более 0, 5 мм.</t>
  </si>
  <si>
    <t xml:space="preserve">Царапины на поверхности дверных ручек </t>
  </si>
  <si>
    <t xml:space="preserve">Царапины на поверхности отражателей дверных ручек </t>
  </si>
  <si>
    <t>Отражатели дверных ручек не прилегают к полотну двери</t>
  </si>
  <si>
    <t>Отражатели дверных ручек отсутствуют</t>
  </si>
  <si>
    <t>Обследование входной двери</t>
  </si>
  <si>
    <t>Повреждения (сколы, царапины, вмятины) на поверхности дверного полотна</t>
  </si>
  <si>
    <t>ГОСТ 31173-2016 «Блоки дверные стальные. Технические условия»:
5.4.3 Поверхности стальных элементов коробок и полотен не должны иметь трещин, механических повреждений, раковин, искривлений, ржавчины.
ГОСТ 31173-2016 «Блоки дверные стальные. Технические условия»:
5.6.6 Лицевые поверхности дверных блоков не должны иметь трещин, заусенцев, механических повреждений.</t>
  </si>
  <si>
    <t>Не закреплена внутренняя панель</t>
  </si>
  <si>
    <t>Дверное полотно открывается/закрывается с усилием. Дверной замок работает не корректно/не работает.</t>
  </si>
  <si>
    <t>ГОСТ 31173-2016 «Блоки дверные стальные. Технические условия»:
5.5.4 Запирающие устройства должны обеспечивать надежное запирание открывающихся элементов дверных блоков. Открывание и закрывание должны происходить легко, плавно, без заеданий.</t>
  </si>
  <si>
    <t>Повреждения (сколы, царапины) на поверхности дверной коробки</t>
  </si>
  <si>
    <t>Повреждения (сколы, царапины) на поверхности добора</t>
  </si>
  <si>
    <t>Зазоры между добором и сопрягаемой поверхностью</t>
  </si>
  <si>
    <t>Уплотнитель не зафиксирован</t>
  </si>
  <si>
    <t>Металлическое обрамление не прилегает к внутренней панели</t>
  </si>
  <si>
    <t>Отсутствует вертикальный уровень дверной коробки</t>
  </si>
  <si>
    <t>Повреждения (сколы, царапины) на поверхности наличников</t>
  </si>
  <si>
    <t>Наличники не прилегают к сопрягаемой поверхности</t>
  </si>
  <si>
    <t>Зазоры между наличниками превышают 1мм</t>
  </si>
  <si>
    <t>Царапины на поверхности дверных ручек</t>
  </si>
  <si>
    <t>Царапины на поверхности порога</t>
  </si>
  <si>
    <t>Обследование системы отопления</t>
  </si>
  <si>
    <t>Следы мусора на поверхности радиатора</t>
  </si>
  <si>
    <t>ГОСТ 31311-2005 «Приборы отопительные. Общие технические условия»:
10.3 Отопительные приборы после окончания отделочных работ необходимо тщательно очистить от строительного мусора и прочих загрязнений.</t>
  </si>
  <si>
    <t>Повреждения на поверхности кожухов радиаторов отопления</t>
  </si>
  <si>
    <t>Длина радиаторов отопления менее 50% длины светового проема (окна)</t>
  </si>
  <si>
    <t>СП 60.13330.2016 "Отопление, вентиляция и кондиционирование воздуха. Актуализированная редакция СНиП 41-01-2003":
6.4.4 Отопительные приборы следует размещать под световыми проемами в местах, доступных для осмотра, ремонта и очистки.
Длину отопительного прибора следует определять расчетом и принимать не менее 75% длины светового проема (окна) в больницах, детских дошкольных учреждениях, школах, домах для престарелых и инвалидов, и 50% - в жилых и общественных зданиях.</t>
  </si>
  <si>
    <t>Отсутствует горизонтальный уровень панелей радиаторов</t>
  </si>
  <si>
    <t>ГОСТ 34059-2017 «Инженерные сети зданий и сооружений внутренние. Устройство систем отопления, горячего и холодного водоснабжения. Общие технические требования»:
5.5.7 Санитарные и отопительные приборы должны быть установлены по отвесу и уровню. 
СП 73.13330.2016 «Внутренние санитарно-технические системы зданий»:
6.4.8 Отопительные приборы должны быть закреплены строго вертикально (по отвесу) или горизонтально (по уровню) на кронштейнах или подставках, изготовленных в соответствии со стандартами, техническими условиями или рабочей документацией.</t>
  </si>
  <si>
    <t>Отсутствует кожух радиатора</t>
  </si>
  <si>
    <t>ГОСТ 20849-94 «Конвекторы отопительные. Технические условия»:
5.4.1 Все конвекторы должны поставлять в комплекте по спецификации потребителя.</t>
  </si>
  <si>
    <t>Трубы отопления окрашены некачественно</t>
  </si>
  <si>
    <t>СП 71.13330.2017 «Изоляционные и отделочные покрытия», Таблица 7.7, Поверхности, окрашенные безводными составами:
Полосы, пятна, подтеки, брызги, следы от кисти или валика и неровности не допускаются.</t>
  </si>
  <si>
    <t>Отражатели труб отопления не прилегают к смежной поверхности</t>
  </si>
  <si>
    <t>Отражатели стояков отопления не перекрывают монтажные зазоры напольной плитки</t>
  </si>
  <si>
    <t>Отсутствуют отражатели труб отопления</t>
  </si>
  <si>
    <t>В местах прохода труб отопления не срезаны монтажные гильзы</t>
  </si>
  <si>
    <t>Отсутствуют индивидуальные приборы учета тепловой энергии</t>
  </si>
  <si>
    <t>«Федеральный закон об энергосбережении и о повышении энергетической эффективности и о внесении изменений в отдельные законодательные акты Российской Федерации (с изменениями на 26 июля 2019 года)»:
7. Здания, строения, сооружения и иные объекты, в процессе эксплуатации которых используются энергетические ресурсы, в том числе временные объекты, вводимые в эксплуатацию после дня вступления в силу настоящего Федерального закона, на дату их ввода в эксплуатацию должны быть оснащены приборами учета используемых энергетических ресурсов, аналогичными указанным в частях 3-6_1 настоящей статьи. Многоквартирные дома, вводимые в эксплуатацию с 1 января 2012 года после осуществления строительства, реконструкции, должны быть оснащены дополнительно индивидуальными приборами учета используемой тепловой энергии.</t>
  </si>
  <si>
    <t>Обследование сантехнических работ</t>
  </si>
  <si>
    <t>Загрязнения на поверхности унитаза</t>
  </si>
  <si>
    <t>Повреждения поверхности унитаза</t>
  </si>
  <si>
    <t>Унитаз не закреплен</t>
  </si>
  <si>
    <t xml:space="preserve">Унитаз развернут относительно смежной стены </t>
  </si>
  <si>
    <t>Отсутствует герметизация унитаза</t>
  </si>
  <si>
    <t>СП 73.13330.2016 «Внутренние санитарно-технические системы зданий. СНиП 3.05.01-85»:
5.3.11 Герметик для заполнения должен соответствовать по стойкости свойствам перемещаемой и окружающей среды.</t>
  </si>
  <si>
    <t>Герметизация унитаза выполнена некорректно: наплывы, пропуски</t>
  </si>
  <si>
    <t>Повреждения поверхности ванны</t>
  </si>
  <si>
    <t>Отсутствует герметизация ванны</t>
  </si>
  <si>
    <t>Герметизация ванны выполнена некорректно: наплывы, пропуски</t>
  </si>
  <si>
    <t>Протечка сантехнических приборов и/или в узлах соединений ванны</t>
  </si>
  <si>
    <t xml:space="preserve">Не закреплен экран ванны </t>
  </si>
  <si>
    <t>Отсутствует экран ванны</t>
  </si>
  <si>
    <t>Повреждения поверхности раковины</t>
  </si>
  <si>
    <t>Отсутствует горизонтальный уровень умывальника</t>
  </si>
  <si>
    <t xml:space="preserve">ГОСТ 34059-2017 «Инженерные сети зданий и сооружений внутренние. Устройство систем отопления, горячего и холодного водоснабжения. Общие технические требования»:
5.5.7 Санитарные и отопительные приборы должны быть установлены по отвесу и уровню. </t>
  </si>
  <si>
    <t>Протечка сантехнических приборов и/или в узлах соединений умывальника</t>
  </si>
  <si>
    <t>Отсутствует горизонтальный уровень полотенцесушителя</t>
  </si>
  <si>
    <t>Выводы канализации  не заделаны</t>
  </si>
  <si>
    <t>СП 40-102-2000 «Проектирование и монтаж трубопроводов систем водоснабжения и канализации из полимерных материалов»:
3.6.7 Заделку штроб, коробов, отверстий в междуэтажных перекрытиях и стенах следует выполнять после окончания всех работ по монтажу и испытанию трубопроводов.</t>
  </si>
  <si>
    <t>Выводы канализации  заделаны некорректно</t>
  </si>
  <si>
    <t>Выводы водопровода не заделаны</t>
  </si>
  <si>
    <t>Выводы водопровода заделаны некорректно</t>
  </si>
  <si>
    <t>Отражатели смесителя и кранов не прижаты к поверхности стены</t>
  </si>
  <si>
    <t xml:space="preserve">Ревизионный люк не прилегает к поверхности стены </t>
  </si>
  <si>
    <t>Повреждение на поверхности ревизионного люка</t>
  </si>
  <si>
    <t>Обследование системы электроснабжения</t>
  </si>
  <si>
    <t>Лицевые панели розеток и/или выключателей не прилегают к поверхности стен</t>
  </si>
  <si>
    <t>ГОСТ Р 51322.1-2011 «Соединители электрические штепсельные бытового и аналогичного назначения. Часть 1. Общие требования и методы испытаний»:
10.1 Конструкции розеток, установленных как при нормальной эксплуатации, должны обеспечивать недоступность прикосновения к токоведущим частям, при этом детали, снимаемые с помощью инструмента, должны быть сняты.</t>
  </si>
  <si>
    <t>Лицевые панели розеток и/или выключателей отсутствуют</t>
  </si>
  <si>
    <t>Отсутствует горизонтальный уровень лицевых панелей розеток, выключателей</t>
  </si>
  <si>
    <t>Крышки распределительных коробок не прилегают к поверхности стен</t>
  </si>
  <si>
    <t>Отсутствуют крышки распределительных коробок</t>
  </si>
  <si>
    <t>Силовой щит не прилегает к поверхности стены</t>
  </si>
  <si>
    <t>Отсутствует изоляция жил кабеля</t>
  </si>
  <si>
    <t>Отсутвует напряжения в розетках (в сети)</t>
  </si>
  <si>
    <t>Отсутвует освещение</t>
  </si>
  <si>
    <t>Отсутствует заземление в силовых розетках</t>
  </si>
  <si>
    <t>СП 256.1325800.2016 «Электроустановки жилых и общественных зданий»:
19.1 В электроустановках жилых и общественных зданий должен предусматриваться комплекс защитных мер обеспечения электробезопасности: 
- автоматическое отключение;
- основная система уравнивания потенциалов;
- дополнительная система уравнивания потенциалов;
- заземление.</t>
  </si>
  <si>
    <t>Не подключена система куп к ванне</t>
  </si>
  <si>
    <t>Обследование системы вентиляции</t>
  </si>
  <si>
    <t>Отсутствует вентиляция в помещении кухни, ванной, санузла</t>
  </si>
  <si>
    <t>СП 60.13330.2016 «Отопление, вентиляция и кондиционирование воздуха. Актуализированная редакция СНиП 41-01-2003»</t>
  </si>
  <si>
    <t>Нарушена работа вентиляционной системы – вентиляция работает наоборот, затягивая холодный воздух с улицы</t>
  </si>
  <si>
    <t>Отсутствуют выводы для внутреннего блока кондиционирования.</t>
  </si>
  <si>
    <t>Отсутствует вентиляционная потолочная решетка</t>
  </si>
  <si>
    <t>Вентиляционная решетка не прилегает к смежной поверхности</t>
  </si>
  <si>
    <t>Отклонения</t>
  </si>
  <si>
    <t>Фото</t>
  </si>
  <si>
    <t>Нормативные документы</t>
  </si>
  <si>
    <t>Оконный блок</t>
  </si>
  <si>
    <t>Загрязнение</t>
  </si>
  <si>
    <t>Повреждения</t>
  </si>
  <si>
    <t>Повреждения ламинации</t>
  </si>
  <si>
    <t>Зазоры в соед. профилей</t>
  </si>
  <si>
    <t>Уровень отсутствует</t>
  </si>
  <si>
    <t>Повреждение уплотнителей</t>
  </si>
  <si>
    <t>Герметизация отсутствует</t>
  </si>
  <si>
    <t>Герметизация некорректна</t>
  </si>
  <si>
    <t>Защитная пленка</t>
  </si>
  <si>
    <t>ПВХ подоконник</t>
  </si>
  <si>
    <t>Следы краски</t>
  </si>
  <si>
    <t>Зазоры со стеной</t>
  </si>
  <si>
    <t>Отливы</t>
  </si>
  <si>
    <t>Стеклопакет</t>
  </si>
  <si>
    <t>Откосы</t>
  </si>
  <si>
    <t>Протечки</t>
  </si>
  <si>
    <t>Загрязнение и отслоения ПВХ уголков</t>
  </si>
  <si>
    <t>Фурнитура</t>
  </si>
  <si>
    <t>Регулировка</t>
  </si>
  <si>
    <t>Ручки повреждены</t>
  </si>
  <si>
    <t>Ручки отсутствуют</t>
  </si>
  <si>
    <t>Заглушки подоконников отсутствуют</t>
  </si>
  <si>
    <t>Капельники отсутствуют</t>
  </si>
  <si>
    <t>Заглушки петель отсутствуют</t>
  </si>
  <si>
    <t>Заглушки анкеров отсутствуют</t>
  </si>
  <si>
    <t>Обои</t>
  </si>
  <si>
    <t>Дефекты</t>
  </si>
  <si>
    <t>Отсутствие</t>
  </si>
  <si>
    <t>Неровность стен</t>
  </si>
  <si>
    <t>Окраска</t>
  </si>
  <si>
    <t>Трещины</t>
  </si>
  <si>
    <t>Плитка</t>
  </si>
  <si>
    <t>Затирка</t>
  </si>
  <si>
    <t>Плитка не доведена</t>
  </si>
  <si>
    <t>Натяжной</t>
  </si>
  <si>
    <t>Загрязнения</t>
  </si>
  <si>
    <t>Зазоры за стояками</t>
  </si>
  <si>
    <t>Складки</t>
  </si>
  <si>
    <t>Провисание</t>
  </si>
  <si>
    <t>Втягивание</t>
  </si>
  <si>
    <t>Молдинг</t>
  </si>
  <si>
    <t>Не прилегает</t>
  </si>
  <si>
    <t>Локальное отсутствие</t>
  </si>
  <si>
    <t>Окрашенный</t>
  </si>
  <si>
    <t>Неровность потолка</t>
  </si>
  <si>
    <t>Карниз</t>
  </si>
  <si>
    <t xml:space="preserve">Ламинат </t>
  </si>
  <si>
    <t>Зазоры</t>
  </si>
  <si>
    <t>Уступы</t>
  </si>
  <si>
    <t>Уровень, плоскость</t>
  </si>
  <si>
    <t>Стояки (зазоры)</t>
  </si>
  <si>
    <t>Не доведен до поверхности</t>
  </si>
  <si>
    <t>Плинтус</t>
  </si>
  <si>
    <t>Не доведен до наличника</t>
  </si>
  <si>
    <t>Порог</t>
  </si>
  <si>
    <t>Не прилегает к полу</t>
  </si>
  <si>
    <t>Не доведен до повержности</t>
  </si>
  <si>
    <t>Отслоения</t>
  </si>
  <si>
    <t>Не доведена до поверхности</t>
  </si>
  <si>
    <t>Уровень</t>
  </si>
  <si>
    <t>Низ порога некорректно</t>
  </si>
  <si>
    <t>Полотно</t>
  </si>
  <si>
    <t>Закрывается с усилием</t>
  </si>
  <si>
    <t>Коробка</t>
  </si>
  <si>
    <t>Не доведена до пола</t>
  </si>
  <si>
    <t xml:space="preserve">Уплотнения не прилегают </t>
  </si>
  <si>
    <t>Зазоры в соединениях</t>
  </si>
  <si>
    <t>Наличники</t>
  </si>
  <si>
    <t>Не прилегают к поверхности</t>
  </si>
  <si>
    <t>Ручки в царапинах</t>
  </si>
  <si>
    <t>Отражатели в царапинах</t>
  </si>
  <si>
    <t>Отражатели не прилегают</t>
  </si>
  <si>
    <t>Отражатели отсутствуют</t>
  </si>
  <si>
    <t>Панель не закреплена</t>
  </si>
  <si>
    <t>Повреждения добора</t>
  </si>
  <si>
    <t>Добор не прилегает к поверхности</t>
  </si>
  <si>
    <t>Обрамление не прилегает</t>
  </si>
  <si>
    <t>Порог в царапинах</t>
  </si>
  <si>
    <t>Радиаторы</t>
  </si>
  <si>
    <t>Длина</t>
  </si>
  <si>
    <t>Окраска труб</t>
  </si>
  <si>
    <t>Отражатели с зазором</t>
  </si>
  <si>
    <t>Гильзы не срезаны</t>
  </si>
  <si>
    <t>Отсутствие счетчиков</t>
  </si>
  <si>
    <t>Унитаз</t>
  </si>
  <si>
    <t>Повреждение</t>
  </si>
  <si>
    <t>Крепление</t>
  </si>
  <si>
    <t>Унитаз развернут</t>
  </si>
  <si>
    <t>Герметик отсутствует</t>
  </si>
  <si>
    <t>Герметик некорректно</t>
  </si>
  <si>
    <t>Ванна</t>
  </si>
  <si>
    <t>Протечка</t>
  </si>
  <si>
    <t>Экран не закреплен</t>
  </si>
  <si>
    <t>Экран отсутствует</t>
  </si>
  <si>
    <t>Раковина</t>
  </si>
  <si>
    <t>В1 и К1</t>
  </si>
  <si>
    <t>Уровень змеевика</t>
  </si>
  <si>
    <t xml:space="preserve">К1 не заделаны </t>
  </si>
  <si>
    <t>К1 заделаны не корректно</t>
  </si>
  <si>
    <t xml:space="preserve">В1 не заделаны </t>
  </si>
  <si>
    <t>В1 заделаны не корректно</t>
  </si>
  <si>
    <t>Отражатели не прилегают к стене</t>
  </si>
  <si>
    <t>Люк ревизии не прилегает</t>
  </si>
  <si>
    <t>Люк ревизизи поврежден</t>
  </si>
  <si>
    <t>Панели Р + В</t>
  </si>
  <si>
    <t>Не прилегают</t>
  </si>
  <si>
    <t>Отсутвствие</t>
  </si>
  <si>
    <t>Крышки распаек</t>
  </si>
  <si>
    <t>Прочее</t>
  </si>
  <si>
    <t>Силовой щит не прилегает</t>
  </si>
  <si>
    <t>Провода оголены</t>
  </si>
  <si>
    <t>Напряжение отсутствует</t>
  </si>
  <si>
    <t>Освещение отсутствует</t>
  </si>
  <si>
    <t>Заземление в сети отсутствует</t>
  </si>
  <si>
    <t>Заземление ванны отсутствует</t>
  </si>
  <si>
    <t>Вентиляция</t>
  </si>
  <si>
    <t>Обратная тяга</t>
  </si>
  <si>
    <t>Вывод кондиционера отсутствуют</t>
  </si>
  <si>
    <t>Отсутствие вент. Решеток</t>
  </si>
  <si>
    <t>Решетки не прилегают</t>
  </si>
  <si>
    <t>Фильтр</t>
  </si>
  <si>
    <t>Next empty row</t>
  </si>
  <si>
    <t>Defects quantity in one research</t>
  </si>
  <si>
    <t>Для самоконтроля:</t>
  </si>
  <si>
    <t>поля для самоконтроля</t>
  </si>
  <si>
    <t>Повреждения (царапины, выбоины, вздутия, непрокрасы, трещины) на поверхности внутренних откосов</t>
  </si>
  <si>
    <t>Плинтусы не прилегают к смежной поверхности</t>
  </si>
  <si>
    <t>Температута за окном</t>
  </si>
  <si>
    <t>плитка</t>
  </si>
  <si>
    <t>ламинат</t>
  </si>
  <si>
    <t>Коридор №1</t>
  </si>
  <si>
    <t>Коридор №2</t>
  </si>
  <si>
    <t>Коридор №3</t>
  </si>
  <si>
    <t>Половые покрытия:</t>
  </si>
  <si>
    <t>Демонтаж/монтаж полотенцесушителя</t>
  </si>
  <si>
    <t>Монтаж водяного полотенцесушителя</t>
  </si>
  <si>
    <t>Обследование потолков</t>
  </si>
  <si>
    <t>Замена ванны</t>
  </si>
  <si>
    <t>Монтаж ванны стальной</t>
  </si>
  <si>
    <t>Ванна стальная Milos 170*70</t>
  </si>
  <si>
    <t>Кухня</t>
  </si>
  <si>
    <t>Бортики</t>
  </si>
  <si>
    <t>E1, мм</t>
  </si>
  <si>
    <t>E2, мм</t>
  </si>
  <si>
    <t>226-01</t>
  </si>
  <si>
    <r>
      <t xml:space="preserve">Плитка керамическая белая </t>
    </r>
    <r>
      <rPr>
        <sz val="10"/>
        <rFont val="Arial Cyr"/>
        <charset val="204"/>
      </rPr>
      <t>"Аджанта",  20х30 см</t>
    </r>
  </si>
  <si>
    <r>
      <t xml:space="preserve">Плитка напольная </t>
    </r>
    <r>
      <rPr>
        <sz val="10"/>
        <rFont val="Arial Cyr"/>
        <charset val="204"/>
      </rPr>
      <t>"Милан"</t>
    </r>
  </si>
  <si>
    <t>Наружная герметизация оконного блока</t>
  </si>
  <si>
    <t xml:space="preserve">Высота плитки </t>
  </si>
  <si>
    <t xml:space="preserve">Высота потолка </t>
  </si>
  <si>
    <t>Отделка стен</t>
  </si>
  <si>
    <t>Варианты отделки стен:</t>
  </si>
  <si>
    <t>плитка и окраска</t>
  </si>
  <si>
    <t>Высота окраски</t>
  </si>
  <si>
    <t>Замена оконного блока (1,05м х 1,85м)</t>
  </si>
  <si>
    <t>Замена стеклопакета (до 1м2)</t>
  </si>
  <si>
    <t>Пилоны</t>
  </si>
  <si>
    <t>D11, мм</t>
  </si>
  <si>
    <t>D12, мм</t>
  </si>
  <si>
    <t>D21, мм</t>
  </si>
  <si>
    <t>D22, мм</t>
  </si>
  <si>
    <t>D31, мм</t>
  </si>
  <si>
    <t>D32, мм</t>
  </si>
  <si>
    <t>D41, мм</t>
  </si>
  <si>
    <t>D42, мм</t>
  </si>
  <si>
    <t>Количество стен под выравнивание "1"</t>
  </si>
  <si>
    <t>Количество стен под выравнивание "-1"</t>
  </si>
  <si>
    <t>Параметр</t>
  </si>
  <si>
    <t>Значение</t>
  </si>
  <si>
    <t>Наименование ресурса</t>
  </si>
  <si>
    <t>Адрес ресурса</t>
  </si>
  <si>
    <t>Dom-remontov.ru</t>
  </si>
  <si>
    <t>Remont-novostroiki.ru</t>
  </si>
  <si>
    <t xml:space="preserve">Remont-mod.ru </t>
  </si>
  <si>
    <t>Or-stroy.ru</t>
  </si>
  <si>
    <t>Компания «Окна Аттик»</t>
  </si>
  <si>
    <t>attik.ru</t>
  </si>
  <si>
    <t>oknamr.ru</t>
  </si>
  <si>
    <t>Potolok.net</t>
  </si>
  <si>
    <t>Компания «Сeiling.su»</t>
  </si>
  <si>
    <t>Ceiling.su</t>
  </si>
  <si>
    <t>Компания «Румэксперт»</t>
  </si>
  <si>
    <t>Rumexpert.ru</t>
  </si>
  <si>
    <t>Застройки:</t>
  </si>
  <si>
    <t>Формы:</t>
  </si>
  <si>
    <t>Звук:</t>
  </si>
  <si>
    <t>Застройка:</t>
  </si>
  <si>
    <t>Стандартная</t>
  </si>
  <si>
    <t>ИП Трубников</t>
  </si>
  <si>
    <t>Форма:</t>
  </si>
  <si>
    <t>Адрес исследования, стандартный</t>
  </si>
  <si>
    <t>г. Москва, ул. Саларьевская, д. 14, к. 3, кв. 1076</t>
  </si>
  <si>
    <t>Адрес исследования, ИП Трубников</t>
  </si>
  <si>
    <t>г. Москва, пос. Московский, 23 км Киевское шоссе, д.11, корп.1, кв. 677 (Согласно акту приемки-передачи, в данный момент присвоенный почтовый адрес квартиры: г. Москва, пос. Московский, ул. Саларьевская, д. 14, к.3, кв. 677)</t>
  </si>
  <si>
    <t>Иванова Ирина Ивановна</t>
  </si>
  <si>
    <t>В интересах</t>
  </si>
  <si>
    <t>Владимировой Елены Николаевны</t>
  </si>
  <si>
    <t>Описание</t>
  </si>
  <si>
    <t>Код</t>
  </si>
  <si>
    <t>ООО "ОтделРемонтСтрой"</t>
  </si>
  <si>
    <t>ГК «Дом ремонтов»</t>
  </si>
  <si>
    <t>ГК «Новый Ремонт»</t>
  </si>
  <si>
    <t>ГК «Грин Лайт»</t>
  </si>
  <si>
    <t>Компания «Окна BER»</t>
  </si>
  <si>
    <t>Компания «Хоум Декор»</t>
  </si>
  <si>
    <t>Комната №1</t>
  </si>
  <si>
    <t>Комната №2</t>
  </si>
  <si>
    <t>Комната №3</t>
  </si>
  <si>
    <t>Комната №4</t>
  </si>
  <si>
    <t>Комната №5</t>
  </si>
  <si>
    <t>стены</t>
  </si>
  <si>
    <t>швы, м</t>
  </si>
  <si>
    <t>Швы, м</t>
  </si>
  <si>
    <t>Дверь межкомнатная Artens двустворчатая с фурнитурой</t>
  </si>
  <si>
    <t>Замена умываьника</t>
  </si>
  <si>
    <t>Раковина «Cersanit»</t>
  </si>
  <si>
    <t xml:space="preserve">шт </t>
  </si>
  <si>
    <t>Унитаз напольный Cersanit Trento</t>
  </si>
  <si>
    <t>Замена унитаза</t>
  </si>
  <si>
    <t>07.10.2021</t>
  </si>
  <si>
    <t>Замена оконного блока (1.95м х 1.85м)</t>
  </si>
  <si>
    <t>Замена оконного блока (0.75м х 1.85м)</t>
  </si>
  <si>
    <t>Замена оконного блока (1.05м х 1.85м)</t>
  </si>
  <si>
    <t>Цена за м2, руб.</t>
  </si>
  <si>
    <t>Средняя расценка за м2, руб.</t>
  </si>
  <si>
    <t>Данные договора:</t>
  </si>
  <si>
    <t>Есть</t>
  </si>
  <si>
    <t>Нет</t>
  </si>
  <si>
    <t>поля заполняются только "1" и "-1"</t>
  </si>
  <si>
    <t>поля выбираются из списка</t>
  </si>
  <si>
    <t>-</t>
  </si>
  <si>
    <t>D51, мм</t>
  </si>
  <si>
    <t>D52, мм</t>
  </si>
  <si>
    <t>D61, мм</t>
  </si>
  <si>
    <t>D62, мм</t>
  </si>
  <si>
    <t>плитка и плитка</t>
  </si>
  <si>
    <t>Площадь пол</t>
  </si>
  <si>
    <t>Площадь стены</t>
  </si>
  <si>
    <t>Для Спутника:</t>
  </si>
  <si>
    <t>Плитка Керама Marazzi</t>
  </si>
  <si>
    <r>
      <t xml:space="preserve">Плитка напольная </t>
    </r>
    <r>
      <rPr>
        <sz val="10"/>
        <rFont val="Arial Cyr"/>
        <charset val="204"/>
      </rPr>
      <t>G.Passage</t>
    </r>
  </si>
  <si>
    <t>11-52</t>
  </si>
  <si>
    <t>13-06</t>
  </si>
  <si>
    <t>48-49</t>
  </si>
  <si>
    <t>11-12+27-28+46-47+56-57</t>
  </si>
  <si>
    <t>92-95</t>
  </si>
  <si>
    <t>15-18/4/+33-38/3.5-4.5/+63-70/3.5-5.5/+100-113/3.5-11/</t>
  </si>
  <si>
    <t>121-128/3.5/</t>
  </si>
  <si>
    <t>20-24+39-43+72-75+129-132</t>
  </si>
  <si>
    <t>96-99/4-5/</t>
  </si>
  <si>
    <t>3-4/4/+31-32/3/+61-62/5/+82-83/4/</t>
  </si>
  <si>
    <t>8-9+78-79+115</t>
  </si>
  <si>
    <t>6-7+80-81+116-117</t>
  </si>
  <si>
    <t>137</t>
  </si>
  <si>
    <t>136</t>
  </si>
  <si>
    <t>119</t>
  </si>
  <si>
    <t>120</t>
  </si>
  <si>
    <t>58-60/10/+134-135/5/</t>
  </si>
  <si>
    <t>85-88</t>
  </si>
  <si>
    <t>89-91/8/</t>
  </si>
  <si>
    <t>District 1</t>
  </si>
  <si>
    <t>District 2</t>
  </si>
  <si>
    <t>District 3</t>
  </si>
  <si>
    <t>District 4</t>
  </si>
  <si>
    <t>District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</si>
</sst>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0.00\ _₽_-;\-* #,##0.00\ _₽_-;_-* &quot;-&quot;??\ _₽_-;_-@_-"/>
    <numFmt numFmtId="166" formatCode="dd/mm/yyyy;@"/>
  </numFmts>
  <fonts count="29"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Cyr"/>
      <charset val="204"/>
    </font>
    <font>
      <sz val="10"/>
      <name val="Arial Cyr"/>
      <family val="2"/>
      <charset val="204"/>
    </font>
    <font>
      <u/>
      <sz val="11"/>
      <color theme="10"/>
      <name val="Calibri"/>
      <family val="2"/>
      <charset val="204"/>
      <scheme val="minor"/>
    </font>
    <font>
      <sz val="10"/>
      <color theme="1"/>
      <name val="Calibri"/>
      <family val="2"/>
      <scheme val="minor"/>
    </font>
    <font>
      <b/>
      <sz val="10"/>
      <color theme="1"/>
      <name val="Calibri"/>
      <family val="2"/>
      <scheme val="minor"/>
    </font>
    <font>
      <sz val="10"/>
      <name val="Calibri"/>
      <family val="2"/>
      <scheme val="minor"/>
    </font>
    <font>
      <b/>
      <sz val="10"/>
      <color rgb="FF000000"/>
      <name val="Calibri"/>
      <family val="2"/>
      <scheme val="minor"/>
    </font>
    <font>
      <b/>
      <sz val="10"/>
      <name val="Calibri"/>
      <family val="2"/>
      <scheme val="minor"/>
    </font>
    <font>
      <sz val="11"/>
      <name val="Calibri"/>
      <family val="2"/>
      <scheme val="minor"/>
    </font>
    <font>
      <b/>
      <sz val="11"/>
      <name val="Calibri"/>
      <family val="2"/>
      <scheme val="minor"/>
    </font>
    <font>
      <sz val="11"/>
      <color theme="0" tint="-0.499984740745262"/>
      <name val="Calibri"/>
      <family val="2"/>
      <scheme val="minor"/>
    </font>
    <font>
      <sz val="11"/>
      <color rgb="FFFF0000"/>
      <name val="Calibri"/>
      <family val="2"/>
      <scheme val="minor"/>
    </font>
    <font>
      <sz val="11"/>
      <color rgb="FFFFC000"/>
      <name val="Calibri"/>
      <family val="2"/>
      <scheme val="minor"/>
    </font>
    <font>
      <sz val="11"/>
      <color rgb="FF0A0101"/>
      <name val="Calibri"/>
      <family val="2"/>
      <scheme val="minor"/>
    </font>
    <font>
      <b/>
      <sz val="11"/>
      <color theme="1"/>
      <name val="Calibri"/>
      <family val="2"/>
      <scheme val="minor"/>
    </font>
    <font>
      <sz val="10"/>
      <color theme="0" tint="-0.249977111117893"/>
      <name val="Calibri"/>
      <family val="2"/>
      <scheme val="minor"/>
    </font>
    <font>
      <sz val="11"/>
      <color theme="0" tint="-0.249977111117893"/>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
      <patternFill patternType="solid">
        <fgColor theme="7" tint="0.79998168889431442"/>
        <bgColor indexed="64"/>
      </patternFill>
    </fill>
    <fill>
      <gradientFill>
        <stop position="0">
          <color theme="0"/>
        </stop>
        <stop position="1">
          <color theme="9" tint="0.59999389629810485"/>
        </stop>
      </gradientFill>
    </fill>
    <fill>
      <patternFill patternType="solid">
        <fgColor theme="0" tint="-4.9989318521683403E-2"/>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double">
        <color indexed="64"/>
      </left>
      <right/>
      <top/>
      <bottom style="medium">
        <color indexed="64"/>
      </bottom>
      <diagonal/>
    </border>
    <border>
      <left/>
      <right style="double">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2" fillId="0" borderId="0"/>
    <xf numFmtId="0" fontId="14" fillId="0" borderId="0" applyNumberFormat="0" applyFill="0" applyBorder="0" applyAlignment="0" applyProtection="0"/>
  </cellStyleXfs>
  <cellXfs count="443">
    <xf numFmtId="0" fontId="0" fillId="0" borderId="0" xfId="0"/>
    <xf numFmtId="0" fontId="15" fillId="0" borderId="1" xfId="0" applyFont="1" applyBorder="1" applyAlignment="1">
      <alignment vertical="center" wrapText="1"/>
    </xf>
    <xf numFmtId="0" fontId="15" fillId="0" borderId="1" xfId="0" applyFont="1" applyFill="1" applyBorder="1" applyAlignment="1">
      <alignment vertical="center" wrapText="1"/>
    </xf>
    <xf numFmtId="0" fontId="15" fillId="0" borderId="0" xfId="0" applyFont="1" applyAlignment="1">
      <alignment wrapText="1"/>
    </xf>
    <xf numFmtId="0" fontId="15" fillId="0" borderId="1" xfId="0" applyFont="1" applyBorder="1" applyAlignment="1">
      <alignment wrapText="1"/>
    </xf>
    <xf numFmtId="0" fontId="15" fillId="0" borderId="0" xfId="0" applyNumberFormat="1" applyFont="1" applyAlignment="1">
      <alignment wrapText="1"/>
    </xf>
    <xf numFmtId="0" fontId="15" fillId="0" borderId="0" xfId="0" applyFont="1" applyAlignment="1">
      <alignment horizontal="center" vertical="center" wrapText="1"/>
    </xf>
    <xf numFmtId="49" fontId="15" fillId="0" borderId="0" xfId="0" applyNumberFormat="1" applyFont="1" applyAlignment="1">
      <alignment wrapText="1"/>
    </xf>
    <xf numFmtId="0" fontId="15" fillId="0" borderId="1" xfId="1" applyFont="1" applyBorder="1" applyAlignment="1">
      <alignment horizontal="center" vertical="center" wrapText="1"/>
    </xf>
    <xf numFmtId="2" fontId="15" fillId="0" borderId="1" xfId="0" applyNumberFormat="1" applyFont="1" applyBorder="1" applyAlignment="1">
      <alignment horizontal="center" vertical="center" wrapText="1"/>
    </xf>
    <xf numFmtId="2" fontId="16" fillId="0" borderId="1"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vertical="center" wrapText="1"/>
    </xf>
    <xf numFmtId="0" fontId="18" fillId="0" borderId="0" xfId="0" applyFont="1" applyBorder="1" applyAlignment="1">
      <alignment vertical="center" wrapText="1"/>
    </xf>
    <xf numFmtId="0" fontId="17" fillId="0" borderId="1" xfId="0" applyFont="1" applyBorder="1" applyAlignment="1">
      <alignment vertical="center" wrapText="1"/>
    </xf>
    <xf numFmtId="0" fontId="17" fillId="0" borderId="1" xfId="0" applyFont="1" applyBorder="1" applyAlignment="1">
      <alignment horizontal="center" vertical="center" wrapText="1"/>
    </xf>
    <xf numFmtId="0" fontId="16" fillId="0" borderId="1" xfId="0" applyFont="1" applyBorder="1" applyAlignment="1">
      <alignment vertical="center" wrapText="1"/>
    </xf>
    <xf numFmtId="2" fontId="16" fillId="0" borderId="1" xfId="0" applyNumberFormat="1" applyFont="1" applyBorder="1" applyAlignment="1">
      <alignment vertical="center" wrapText="1"/>
    </xf>
    <xf numFmtId="0" fontId="16" fillId="0" borderId="0" xfId="0" applyFont="1" applyAlignment="1">
      <alignment wrapText="1"/>
    </xf>
    <xf numFmtId="0" fontId="17" fillId="0" borderId="0" xfId="0" applyFont="1" applyAlignment="1">
      <alignment horizontal="left" vertical="center" wrapText="1"/>
    </xf>
    <xf numFmtId="0" fontId="17" fillId="0" borderId="1"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4" xfId="1" applyFont="1" applyBorder="1" applyAlignment="1">
      <alignment horizontal="left" vertical="center" wrapText="1"/>
    </xf>
    <xf numFmtId="2" fontId="17" fillId="0" borderId="1" xfId="1" applyNumberFormat="1" applyFont="1" applyBorder="1" applyAlignment="1">
      <alignment horizontal="center" vertical="center" wrapText="1"/>
    </xf>
    <xf numFmtId="0" fontId="17" fillId="0" borderId="1" xfId="1" applyFont="1" applyBorder="1" applyAlignment="1">
      <alignment horizontal="left" vertical="center" wrapText="1"/>
    </xf>
    <xf numFmtId="1" fontId="17" fillId="0" borderId="1" xfId="1" applyNumberFormat="1" applyFont="1" applyBorder="1" applyAlignment="1">
      <alignment horizontal="center" vertical="center" wrapText="1"/>
    </xf>
    <xf numFmtId="1" fontId="17" fillId="0" borderId="1" xfId="1" applyNumberFormat="1" applyFont="1" applyFill="1" applyBorder="1" applyAlignment="1">
      <alignment horizontal="center" vertical="center" wrapText="1"/>
    </xf>
    <xf numFmtId="0" fontId="17" fillId="0" borderId="1" xfId="1" applyFont="1" applyFill="1" applyBorder="1" applyAlignment="1">
      <alignment horizontal="center" vertical="center" wrapText="1"/>
    </xf>
    <xf numFmtId="2" fontId="17" fillId="0" borderId="1" xfId="1" applyNumberFormat="1" applyFont="1" applyFill="1" applyBorder="1" applyAlignment="1">
      <alignment horizontal="center" vertical="center" wrapText="1"/>
    </xf>
    <xf numFmtId="0" fontId="19" fillId="0" borderId="1" xfId="1" applyFont="1" applyBorder="1" applyAlignment="1">
      <alignment horizontal="left" vertical="center" wrapText="1"/>
    </xf>
    <xf numFmtId="2" fontId="19" fillId="0" borderId="1" xfId="1" applyNumberFormat="1" applyFont="1" applyBorder="1" applyAlignment="1">
      <alignment horizontal="center" vertical="center" wrapText="1"/>
    </xf>
    <xf numFmtId="0" fontId="17" fillId="0" borderId="1" xfId="1" applyFont="1" applyFill="1" applyBorder="1" applyAlignment="1">
      <alignment horizontal="left" vertical="center" wrapText="1"/>
    </xf>
    <xf numFmtId="0" fontId="19" fillId="0" borderId="1" xfId="0" applyFont="1" applyBorder="1" applyAlignment="1">
      <alignment horizontal="left" vertical="center" wrapText="1"/>
    </xf>
    <xf numFmtId="0" fontId="17" fillId="0" borderId="0" xfId="0" applyFont="1" applyAlignment="1">
      <alignment horizontal="center" vertical="center" wrapText="1"/>
    </xf>
    <xf numFmtId="0" fontId="17" fillId="0" borderId="1" xfId="0" applyFont="1" applyBorder="1" applyAlignment="1">
      <alignment horizontal="left" vertical="center" wrapText="1"/>
    </xf>
    <xf numFmtId="164" fontId="17" fillId="0" borderId="1" xfId="1" applyNumberFormat="1" applyFont="1" applyBorder="1" applyAlignment="1">
      <alignment horizontal="center" vertical="center" wrapText="1"/>
    </xf>
    <xf numFmtId="0" fontId="17" fillId="2" borderId="1" xfId="1" applyFont="1" applyFill="1" applyBorder="1" applyAlignment="1">
      <alignment horizontal="center" vertical="center" wrapText="1"/>
    </xf>
    <xf numFmtId="0" fontId="15" fillId="0" borderId="0" xfId="0" applyFont="1" applyAlignment="1">
      <alignment horizontal="left" vertical="center" wrapText="1"/>
    </xf>
    <xf numFmtId="0" fontId="15" fillId="0" borderId="0" xfId="0" applyFont="1" applyAlignment="1">
      <alignment horizontal="center" wrapText="1"/>
    </xf>
    <xf numFmtId="0" fontId="17" fillId="0" borderId="0" xfId="1" applyFont="1" applyBorder="1" applyAlignment="1">
      <alignment vertical="center" wrapText="1"/>
    </xf>
    <xf numFmtId="164" fontId="17" fillId="0" borderId="0" xfId="1" applyNumberFormat="1" applyFont="1" applyBorder="1" applyAlignment="1">
      <alignment horizontal="center" wrapText="1"/>
    </xf>
    <xf numFmtId="0" fontId="17" fillId="0" borderId="0" xfId="1" applyFont="1" applyBorder="1" applyAlignment="1">
      <alignment horizontal="center" wrapText="1"/>
    </xf>
    <xf numFmtId="2" fontId="17" fillId="0" borderId="0" xfId="1" applyNumberFormat="1" applyFont="1" applyBorder="1" applyAlignment="1">
      <alignment horizontal="center" wrapText="1"/>
    </xf>
    <xf numFmtId="1" fontId="17" fillId="0" borderId="0" xfId="1" applyNumberFormat="1" applyFont="1" applyBorder="1" applyAlignment="1">
      <alignment horizontal="center" wrapText="1"/>
    </xf>
    <xf numFmtId="0" fontId="17" fillId="0" borderId="0" xfId="0" applyFont="1" applyBorder="1" applyAlignment="1">
      <alignment wrapText="1"/>
    </xf>
    <xf numFmtId="0" fontId="17" fillId="0" borderId="0" xfId="0" applyFont="1" applyFill="1" applyAlignment="1">
      <alignment horizontal="center" wrapText="1"/>
    </xf>
    <xf numFmtId="1" fontId="15" fillId="0" borderId="1" xfId="0" applyNumberFormat="1" applyFont="1" applyBorder="1" applyAlignment="1">
      <alignment horizontal="left"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0" fontId="17" fillId="0" borderId="2" xfId="1" applyFont="1" applyBorder="1" applyAlignment="1">
      <alignment horizontal="center" vertical="center" wrapText="1"/>
    </xf>
    <xf numFmtId="0" fontId="17" fillId="0" borderId="2" xfId="1" applyFont="1" applyBorder="1" applyAlignment="1">
      <alignment horizontal="left" vertical="center" wrapText="1"/>
    </xf>
    <xf numFmtId="0" fontId="15" fillId="0" borderId="1" xfId="0" applyFont="1" applyBorder="1" applyAlignment="1">
      <alignment horizontal="left" wrapText="1"/>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2" fontId="21" fillId="0" borderId="0" xfId="0" applyNumberFormat="1" applyFont="1" applyAlignment="1">
      <alignment horizontal="center" wrapText="1"/>
    </xf>
    <xf numFmtId="2" fontId="22" fillId="0" borderId="0" xfId="0" applyNumberFormat="1" applyFont="1" applyAlignment="1">
      <alignment horizontal="center"/>
    </xf>
    <xf numFmtId="2" fontId="17" fillId="0" borderId="1" xfId="0" applyNumberFormat="1" applyFont="1" applyBorder="1" applyAlignment="1">
      <alignment horizontal="center" vertical="center" wrapText="1"/>
    </xf>
    <xf numFmtId="2" fontId="15" fillId="0" borderId="1" xfId="0" applyNumberFormat="1" applyFont="1" applyBorder="1" applyAlignment="1">
      <alignment horizontal="center" wrapText="1"/>
    </xf>
    <xf numFmtId="2" fontId="15" fillId="0" borderId="0" xfId="0" applyNumberFormat="1" applyFont="1" applyAlignment="1">
      <alignment horizontal="center" vertical="center" wrapText="1"/>
    </xf>
    <xf numFmtId="0" fontId="17" fillId="0" borderId="1" xfId="1" applyFont="1" applyBorder="1" applyAlignment="1">
      <alignment horizontal="left" vertical="center"/>
    </xf>
    <xf numFmtId="0" fontId="13" fillId="0" borderId="1" xfId="1" applyFont="1" applyBorder="1" applyAlignment="1">
      <alignment horizontal="center" vertical="center" wrapText="1"/>
    </xf>
    <xf numFmtId="164" fontId="17" fillId="0" borderId="1" xfId="1" applyNumberFormat="1" applyFont="1" applyFill="1" applyBorder="1" applyAlignment="1">
      <alignment horizontal="center" vertical="center"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1" fontId="17" fillId="0" borderId="1" xfId="0" applyNumberFormat="1" applyFont="1" applyBorder="1" applyAlignment="1">
      <alignment horizontal="center" vertical="center" wrapText="1"/>
    </xf>
    <xf numFmtId="0" fontId="15" fillId="0" borderId="0" xfId="0" applyFont="1" applyAlignment="1">
      <alignment horizontal="right" wrapText="1"/>
    </xf>
    <xf numFmtId="0" fontId="16" fillId="0" borderId="0" xfId="0" applyFont="1" applyAlignment="1">
      <alignment horizontal="center" wrapText="1"/>
    </xf>
    <xf numFmtId="0" fontId="17" fillId="0" borderId="1" xfId="1" applyFont="1" applyBorder="1" applyAlignment="1">
      <alignment horizontal="center" vertical="center" wrapText="1"/>
    </xf>
    <xf numFmtId="0" fontId="11" fillId="0" borderId="0" xfId="0" applyFont="1" applyAlignment="1"/>
    <xf numFmtId="0" fontId="20" fillId="0" borderId="0" xfId="0" applyFont="1" applyFill="1" applyAlignment="1">
      <alignment horizontal="center"/>
    </xf>
    <xf numFmtId="0" fontId="11" fillId="0" borderId="0" xfId="0" applyFont="1" applyAlignment="1">
      <alignment horizontal="right"/>
    </xf>
    <xf numFmtId="0" fontId="11" fillId="0" borderId="0" xfId="0" applyFont="1" applyFill="1" applyAlignment="1"/>
    <xf numFmtId="0" fontId="20" fillId="0" borderId="0" xfId="0" applyFont="1" applyFill="1" applyBorder="1" applyAlignment="1">
      <alignment horizontal="center" vertical="center"/>
    </xf>
    <xf numFmtId="0" fontId="11" fillId="0" borderId="0" xfId="0" applyFont="1" applyAlignment="1">
      <alignment horizontal="center" vertical="center"/>
    </xf>
    <xf numFmtId="0" fontId="11" fillId="0" borderId="0" xfId="0" applyFont="1" applyAlignment="1">
      <alignment wrapText="1"/>
    </xf>
    <xf numFmtId="0" fontId="20" fillId="0" borderId="0" xfId="0" applyFont="1" applyFill="1" applyAlignment="1">
      <alignment horizontal="center" wrapText="1"/>
    </xf>
    <xf numFmtId="0" fontId="11" fillId="0" borderId="0" xfId="0" applyFont="1" applyFill="1" applyAlignment="1">
      <alignment wrapText="1"/>
    </xf>
    <xf numFmtId="0" fontId="11" fillId="0" borderId="0" xfId="0" applyFont="1" applyAlignment="1">
      <alignment horizontal="center" vertical="center" wrapText="1"/>
    </xf>
    <xf numFmtId="2" fontId="22" fillId="0" borderId="0" xfId="0" applyNumberFormat="1" applyFont="1" applyAlignment="1">
      <alignment horizontal="center" wrapText="1"/>
    </xf>
    <xf numFmtId="0" fontId="11" fillId="0" borderId="0" xfId="0" applyFont="1" applyAlignment="1">
      <alignment horizontal="right" wrapText="1"/>
    </xf>
    <xf numFmtId="0" fontId="20" fillId="0" borderId="0" xfId="0" applyFont="1" applyAlignment="1">
      <alignment horizontal="center" wrapText="1"/>
    </xf>
    <xf numFmtId="0" fontId="20" fillId="0" borderId="0" xfId="0" applyFont="1" applyAlignment="1">
      <alignment wrapText="1"/>
    </xf>
    <xf numFmtId="0" fontId="24" fillId="0" borderId="0" xfId="0" applyFont="1" applyAlignment="1">
      <alignment wrapText="1"/>
    </xf>
    <xf numFmtId="0" fontId="24" fillId="0" borderId="0" xfId="0" applyFont="1" applyAlignment="1">
      <alignment horizontal="center" vertical="center" wrapText="1"/>
    </xf>
    <xf numFmtId="2" fontId="20" fillId="0" borderId="0" xfId="0" applyNumberFormat="1" applyFont="1" applyAlignment="1">
      <alignment horizontal="center" wrapText="1"/>
    </xf>
    <xf numFmtId="0" fontId="20" fillId="0" borderId="0" xfId="0" applyFont="1" applyAlignment="1">
      <alignment horizontal="center" vertical="center" wrapText="1"/>
    </xf>
    <xf numFmtId="0" fontId="11" fillId="0" borderId="0" xfId="0" applyFont="1" applyFill="1" applyBorder="1" applyAlignment="1">
      <alignment wrapText="1"/>
    </xf>
    <xf numFmtId="0" fontId="20" fillId="0" borderId="0" xfId="0" applyFont="1" applyFill="1" applyBorder="1" applyAlignment="1">
      <alignment horizontal="center" wrapText="1"/>
    </xf>
    <xf numFmtId="0" fontId="20" fillId="0" borderId="0" xfId="0" applyFont="1" applyFill="1" applyBorder="1" applyAlignment="1">
      <alignment wrapText="1"/>
    </xf>
    <xf numFmtId="0" fontId="24" fillId="0" borderId="0" xfId="0" applyFont="1" applyFill="1" applyBorder="1" applyAlignment="1">
      <alignment wrapText="1"/>
    </xf>
    <xf numFmtId="0" fontId="24"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0" fillId="0" borderId="9" xfId="0" applyFont="1" applyBorder="1" applyAlignment="1">
      <alignment horizontal="center" wrapText="1"/>
    </xf>
    <xf numFmtId="0" fontId="20" fillId="0" borderId="0" xfId="0" applyFont="1" applyFill="1" applyBorder="1" applyAlignment="1">
      <alignment horizontal="center" vertical="center" wrapText="1"/>
    </xf>
    <xf numFmtId="0" fontId="20" fillId="0" borderId="14" xfId="0" applyFont="1" applyBorder="1" applyAlignment="1">
      <alignment vertical="center" wrapText="1"/>
    </xf>
    <xf numFmtId="0" fontId="20" fillId="0" borderId="24"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2"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0" xfId="0" applyFont="1" applyFill="1" applyBorder="1" applyAlignment="1">
      <alignment vertical="center" wrapText="1"/>
    </xf>
    <xf numFmtId="0" fontId="20" fillId="0" borderId="0" xfId="0" applyFont="1" applyFill="1" applyBorder="1" applyAlignment="1">
      <alignment vertical="center" wrapText="1"/>
    </xf>
    <xf numFmtId="0" fontId="11" fillId="0" borderId="0" xfId="0" applyFont="1" applyAlignment="1">
      <alignment vertical="center" wrapText="1"/>
    </xf>
    <xf numFmtId="0" fontId="20" fillId="0" borderId="16" xfId="0" applyFont="1" applyBorder="1" applyAlignment="1">
      <alignment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2" fontId="11" fillId="0" borderId="0" xfId="0" applyNumberFormat="1" applyFont="1" applyFill="1" applyBorder="1" applyAlignment="1">
      <alignment horizontal="center" vertical="center" wrapText="1"/>
    </xf>
    <xf numFmtId="0" fontId="20" fillId="0" borderId="5" xfId="0" applyFont="1" applyFill="1" applyBorder="1" applyAlignment="1">
      <alignment wrapText="1"/>
    </xf>
    <xf numFmtId="0" fontId="20" fillId="0" borderId="17" xfId="0" applyFont="1" applyFill="1" applyBorder="1" applyAlignment="1">
      <alignment wrapText="1"/>
    </xf>
    <xf numFmtId="0" fontId="20" fillId="0" borderId="0" xfId="0" applyFont="1" applyBorder="1" applyAlignment="1">
      <alignment wrapText="1"/>
    </xf>
    <xf numFmtId="0" fontId="11" fillId="0" borderId="0" xfId="0" applyFont="1" applyBorder="1" applyAlignment="1">
      <alignment wrapText="1"/>
    </xf>
    <xf numFmtId="2" fontId="20" fillId="0" borderId="0" xfId="1" applyNumberFormat="1" applyFont="1" applyFill="1" applyBorder="1" applyAlignment="1">
      <alignment horizontal="center" vertical="center"/>
    </xf>
    <xf numFmtId="2" fontId="21" fillId="0" borderId="0" xfId="1" applyNumberFormat="1" applyFont="1" applyFill="1" applyBorder="1" applyAlignment="1">
      <alignment horizontal="center" vertical="center"/>
    </xf>
    <xf numFmtId="0" fontId="20" fillId="0" borderId="0" xfId="1" applyFont="1" applyBorder="1" applyAlignment="1">
      <alignment horizontal="right" vertical="center"/>
    </xf>
    <xf numFmtId="0" fontId="25" fillId="0" borderId="0" xfId="0" applyFont="1" applyAlignment="1">
      <alignment horizontal="center"/>
    </xf>
    <xf numFmtId="2" fontId="20" fillId="0" borderId="0" xfId="1" applyNumberFormat="1" applyFont="1" applyFill="1" applyBorder="1" applyAlignment="1">
      <alignment horizontal="center" vertical="center" wrapText="1"/>
    </xf>
    <xf numFmtId="0" fontId="20" fillId="0" borderId="5" xfId="1" applyFont="1" applyBorder="1" applyAlignment="1">
      <alignment horizontal="left" vertical="center" wrapText="1"/>
    </xf>
    <xf numFmtId="0" fontId="20" fillId="2" borderId="28" xfId="1" applyFont="1" applyFill="1" applyBorder="1" applyAlignment="1">
      <alignment horizontal="center" vertical="center" wrapText="1"/>
    </xf>
    <xf numFmtId="0" fontId="20" fillId="2" borderId="4" xfId="1" applyFont="1" applyFill="1" applyBorder="1" applyAlignment="1">
      <alignment horizontal="center" vertical="center" wrapText="1"/>
    </xf>
    <xf numFmtId="0" fontId="20" fillId="2" borderId="1" xfId="1" applyFont="1" applyFill="1" applyBorder="1" applyAlignment="1">
      <alignment horizontal="center" vertical="center" wrapText="1"/>
    </xf>
    <xf numFmtId="0" fontId="20" fillId="0" borderId="1" xfId="1" applyFont="1" applyFill="1" applyBorder="1" applyAlignment="1">
      <alignment horizontal="center" vertical="center" wrapText="1"/>
    </xf>
    <xf numFmtId="0" fontId="20" fillId="0" borderId="5" xfId="1" applyFont="1" applyFill="1" applyBorder="1" applyAlignment="1">
      <alignment horizontal="center" vertical="center" wrapText="1"/>
    </xf>
    <xf numFmtId="0" fontId="20" fillId="2" borderId="10" xfId="1" applyFont="1" applyFill="1" applyBorder="1" applyAlignment="1">
      <alignment horizontal="center" vertical="center" wrapText="1"/>
    </xf>
    <xf numFmtId="0" fontId="11" fillId="0" borderId="11" xfId="1" applyFont="1" applyFill="1" applyBorder="1" applyAlignment="1">
      <alignment horizontal="center" vertical="center" wrapText="1"/>
    </xf>
    <xf numFmtId="0" fontId="11" fillId="2" borderId="10" xfId="1" applyFont="1" applyFill="1" applyBorder="1" applyAlignment="1">
      <alignment horizontal="center" vertical="center" wrapText="1"/>
    </xf>
    <xf numFmtId="0" fontId="11" fillId="2" borderId="11" xfId="1" applyFont="1" applyFill="1" applyBorder="1" applyAlignment="1">
      <alignment horizontal="center" vertical="center" wrapText="1"/>
    </xf>
    <xf numFmtId="1" fontId="20" fillId="0" borderId="0" xfId="1" applyNumberFormat="1" applyFont="1" applyFill="1" applyBorder="1" applyAlignment="1">
      <alignment horizontal="center" vertical="center" wrapText="1"/>
    </xf>
    <xf numFmtId="0" fontId="20" fillId="3" borderId="1" xfId="1" applyFont="1" applyFill="1" applyBorder="1" applyAlignment="1">
      <alignment horizontal="center" vertical="center" wrapText="1"/>
    </xf>
    <xf numFmtId="0" fontId="20" fillId="0" borderId="0" xfId="1" applyFont="1" applyFill="1" applyBorder="1" applyAlignment="1">
      <alignment horizontal="center" vertical="center" wrapText="1"/>
    </xf>
    <xf numFmtId="0" fontId="20" fillId="0" borderId="5" xfId="1" applyFont="1" applyFill="1" applyBorder="1" applyAlignment="1">
      <alignment horizontal="left" vertical="center" wrapText="1"/>
    </xf>
    <xf numFmtId="0" fontId="20" fillId="2" borderId="5" xfId="1" applyFont="1" applyFill="1" applyBorder="1" applyAlignment="1">
      <alignment horizontal="center" vertical="center" wrapText="1"/>
    </xf>
    <xf numFmtId="0" fontId="20" fillId="3" borderId="10" xfId="1" applyFont="1" applyFill="1" applyBorder="1" applyAlignment="1">
      <alignment horizontal="center" vertical="center" wrapText="1"/>
    </xf>
    <xf numFmtId="0" fontId="11" fillId="3" borderId="11" xfId="1" applyFont="1" applyFill="1" applyBorder="1" applyAlignment="1">
      <alignment horizontal="center" vertical="center" wrapText="1"/>
    </xf>
    <xf numFmtId="0" fontId="11" fillId="3" borderId="10" xfId="1" applyFont="1" applyFill="1" applyBorder="1" applyAlignment="1">
      <alignment horizontal="center" vertical="center" wrapText="1"/>
    </xf>
    <xf numFmtId="0" fontId="20" fillId="0" borderId="28" xfId="1" applyFont="1" applyFill="1" applyBorder="1" applyAlignment="1">
      <alignment horizontal="center" vertical="center" wrapText="1"/>
    </xf>
    <xf numFmtId="2" fontId="20" fillId="0" borderId="4" xfId="1" applyNumberFormat="1" applyFont="1" applyFill="1" applyBorder="1" applyAlignment="1">
      <alignment horizontal="center" vertical="center" wrapText="1"/>
    </xf>
    <xf numFmtId="2" fontId="20" fillId="0" borderId="6" xfId="1" applyNumberFormat="1" applyFont="1" applyFill="1" applyBorder="1" applyAlignment="1">
      <alignment horizontal="center" vertical="center" wrapText="1"/>
    </xf>
    <xf numFmtId="2" fontId="20" fillId="0" borderId="10" xfId="1" applyNumberFormat="1" applyFont="1" applyFill="1" applyBorder="1" applyAlignment="1">
      <alignment horizontal="center" vertical="center" wrapText="1"/>
    </xf>
    <xf numFmtId="2" fontId="20" fillId="0" borderId="31" xfId="1" applyNumberFormat="1" applyFont="1" applyFill="1" applyBorder="1" applyAlignment="1">
      <alignment horizontal="center" vertical="center" wrapText="1"/>
    </xf>
    <xf numFmtId="0" fontId="11" fillId="0" borderId="10" xfId="1" applyFont="1" applyFill="1" applyBorder="1" applyAlignment="1">
      <alignment horizontal="center" vertical="center" wrapText="1"/>
    </xf>
    <xf numFmtId="2" fontId="20" fillId="0" borderId="1" xfId="1" applyNumberFormat="1" applyFont="1" applyFill="1" applyBorder="1" applyAlignment="1">
      <alignment horizontal="center" vertical="center" wrapText="1"/>
    </xf>
    <xf numFmtId="2" fontId="20" fillId="0" borderId="5" xfId="1" applyNumberFormat="1" applyFont="1" applyFill="1" applyBorder="1" applyAlignment="1">
      <alignment horizontal="center" vertical="center" wrapText="1"/>
    </xf>
    <xf numFmtId="2" fontId="11" fillId="0" borderId="11" xfId="1" applyNumberFormat="1" applyFont="1" applyFill="1" applyBorder="1" applyAlignment="1">
      <alignment horizontal="center" vertical="center" wrapText="1"/>
    </xf>
    <xf numFmtId="0" fontId="20" fillId="0" borderId="27" xfId="1" applyFont="1" applyFill="1" applyBorder="1" applyAlignment="1">
      <alignment horizontal="center" vertical="center" wrapText="1"/>
    </xf>
    <xf numFmtId="2" fontId="20" fillId="0" borderId="24" xfId="1" applyNumberFormat="1" applyFont="1" applyFill="1" applyBorder="1" applyAlignment="1">
      <alignment horizontal="center" vertical="center" wrapText="1"/>
    </xf>
    <xf numFmtId="2" fontId="20" fillId="0" borderId="13" xfId="1" applyNumberFormat="1" applyFont="1" applyFill="1" applyBorder="1" applyAlignment="1">
      <alignment horizontal="center" vertical="center" wrapText="1"/>
    </xf>
    <xf numFmtId="2" fontId="20" fillId="0" borderId="17" xfId="1" applyNumberFormat="1" applyFont="1" applyFill="1" applyBorder="1" applyAlignment="1">
      <alignment horizontal="center" vertical="center" wrapText="1"/>
    </xf>
    <xf numFmtId="2" fontId="20" fillId="0" borderId="12" xfId="1" applyNumberFormat="1" applyFont="1" applyFill="1" applyBorder="1" applyAlignment="1">
      <alignment horizontal="center" vertical="center" wrapText="1"/>
    </xf>
    <xf numFmtId="2" fontId="11" fillId="0" borderId="14" xfId="1" applyNumberFormat="1" applyFont="1" applyFill="1" applyBorder="1" applyAlignment="1">
      <alignment horizontal="center" vertical="center" wrapText="1"/>
    </xf>
    <xf numFmtId="0" fontId="11" fillId="0" borderId="12" xfId="1" applyFont="1" applyFill="1" applyBorder="1" applyAlignment="1">
      <alignment horizontal="center" vertical="center" wrapText="1"/>
    </xf>
    <xf numFmtId="0" fontId="11" fillId="0" borderId="14" xfId="1" applyFont="1" applyFill="1" applyBorder="1" applyAlignment="1">
      <alignment horizontal="center" vertical="center" wrapText="1"/>
    </xf>
    <xf numFmtId="1" fontId="20" fillId="0" borderId="0" xfId="1" applyNumberFormat="1" applyFont="1" applyBorder="1" applyAlignment="1">
      <alignment horizontal="center" vertical="center" wrapText="1"/>
    </xf>
    <xf numFmtId="0" fontId="20" fillId="0" borderId="0" xfId="1" applyFont="1" applyBorder="1" applyAlignment="1">
      <alignment horizontal="left" vertical="center" wrapText="1"/>
    </xf>
    <xf numFmtId="0" fontId="25" fillId="2" borderId="0" xfId="0" applyFont="1" applyFill="1" applyAlignment="1">
      <alignment horizontal="center"/>
    </xf>
    <xf numFmtId="0" fontId="10" fillId="0" borderId="0" xfId="0" applyFont="1" applyAlignment="1">
      <alignment horizontal="right"/>
    </xf>
    <xf numFmtId="2" fontId="17" fillId="0" borderId="2" xfId="0" applyNumberFormat="1" applyFont="1" applyBorder="1" applyAlignment="1">
      <alignment horizontal="center" vertical="center" wrapText="1"/>
    </xf>
    <xf numFmtId="2" fontId="17" fillId="0" borderId="2" xfId="1" applyNumberFormat="1" applyFont="1" applyBorder="1" applyAlignment="1">
      <alignment horizontal="center" vertical="center" wrapText="1"/>
    </xf>
    <xf numFmtId="2" fontId="20" fillId="0" borderId="0" xfId="0" applyNumberFormat="1" applyFont="1" applyFill="1" applyBorder="1" applyAlignment="1">
      <alignment horizontal="center" vertical="center" wrapText="1"/>
    </xf>
    <xf numFmtId="0" fontId="9" fillId="0" borderId="0" xfId="0" applyFont="1" applyAlignment="1">
      <alignment horizontal="right"/>
    </xf>
    <xf numFmtId="1" fontId="15" fillId="0" borderId="1" xfId="0" applyNumberFormat="1" applyFont="1" applyBorder="1" applyAlignment="1">
      <alignment horizontal="center" vertical="center" wrapText="1"/>
    </xf>
    <xf numFmtId="0" fontId="20" fillId="0" borderId="26" xfId="0" applyFont="1" applyBorder="1" applyAlignment="1">
      <alignment horizontal="center" vertical="center" wrapText="1"/>
    </xf>
    <xf numFmtId="0" fontId="20" fillId="0" borderId="30" xfId="0" applyFont="1" applyFill="1" applyBorder="1" applyAlignment="1">
      <alignment wrapText="1"/>
    </xf>
    <xf numFmtId="0" fontId="20" fillId="0" borderId="29" xfId="1" applyFont="1" applyFill="1" applyBorder="1" applyAlignment="1">
      <alignment horizontal="center" vertical="center" wrapText="1"/>
    </xf>
    <xf numFmtId="2" fontId="20" fillId="0" borderId="25" xfId="1" applyNumberFormat="1" applyFont="1" applyFill="1" applyBorder="1" applyAlignment="1">
      <alignment horizontal="center" vertical="center" wrapText="1"/>
    </xf>
    <xf numFmtId="2" fontId="20" fillId="0" borderId="32" xfId="1" applyNumberFormat="1" applyFont="1" applyFill="1" applyBorder="1" applyAlignment="1">
      <alignment horizontal="center" vertical="center" wrapText="1"/>
    </xf>
    <xf numFmtId="2" fontId="20" fillId="0" borderId="15" xfId="1" applyNumberFormat="1" applyFont="1" applyFill="1" applyBorder="1" applyAlignment="1">
      <alignment horizontal="center" vertical="center" wrapText="1"/>
    </xf>
    <xf numFmtId="2" fontId="20" fillId="0" borderId="33" xfId="1" applyNumberFormat="1" applyFont="1" applyFill="1" applyBorder="1" applyAlignment="1">
      <alignment horizontal="center" vertical="center" wrapText="1"/>
    </xf>
    <xf numFmtId="0" fontId="11" fillId="0" borderId="15" xfId="1" applyFont="1" applyFill="1" applyBorder="1" applyAlignment="1">
      <alignment horizontal="center" vertical="center" wrapText="1"/>
    </xf>
    <xf numFmtId="0" fontId="11" fillId="0" borderId="22" xfId="1" applyFont="1" applyFill="1" applyBorder="1" applyAlignment="1">
      <alignment horizontal="center" vertical="center" wrapText="1"/>
    </xf>
    <xf numFmtId="0" fontId="26" fillId="0" borderId="0" xfId="0" applyFont="1" applyAlignment="1">
      <alignment vertical="center"/>
    </xf>
    <xf numFmtId="0" fontId="26" fillId="0" borderId="0" xfId="0" applyFont="1" applyAlignment="1"/>
    <xf numFmtId="0" fontId="26" fillId="2" borderId="0" xfId="0" applyFont="1" applyFill="1" applyAlignment="1">
      <alignment vertical="center"/>
    </xf>
    <xf numFmtId="0" fontId="26" fillId="3" borderId="0" xfId="0" applyFont="1" applyFill="1" applyAlignment="1">
      <alignment vertical="center" wrapText="1"/>
    </xf>
    <xf numFmtId="0" fontId="26" fillId="0" borderId="0" xfId="0" applyFont="1" applyAlignment="1">
      <alignment vertical="center" wrapText="1"/>
    </xf>
    <xf numFmtId="0" fontId="26" fillId="0" borderId="0" xfId="0" applyFont="1" applyAlignment="1">
      <alignment wrapText="1"/>
    </xf>
    <xf numFmtId="0" fontId="26" fillId="0" borderId="0" xfId="0" applyFont="1" applyFill="1" applyAlignment="1">
      <alignment vertical="center" wrapText="1"/>
    </xf>
    <xf numFmtId="0" fontId="26" fillId="0" borderId="0" xfId="0" applyFont="1" applyFill="1" applyAlignment="1">
      <alignment wrapText="1"/>
    </xf>
    <xf numFmtId="0" fontId="26" fillId="0" borderId="0" xfId="0" applyFont="1" applyFill="1" applyAlignment="1">
      <alignment horizontal="left" vertical="center"/>
    </xf>
    <xf numFmtId="0" fontId="26" fillId="0" borderId="0" xfId="0" applyFont="1" applyFill="1" applyAlignment="1"/>
    <xf numFmtId="0" fontId="21" fillId="0" borderId="7" xfId="0" applyFont="1" applyBorder="1" applyAlignment="1">
      <alignment horizontal="center" vertical="center" wrapText="1"/>
    </xf>
    <xf numFmtId="0" fontId="21" fillId="0" borderId="8" xfId="0" applyFont="1" applyBorder="1" applyAlignment="1">
      <alignment vertical="center" wrapText="1"/>
    </xf>
    <xf numFmtId="0" fontId="26" fillId="0" borderId="12" xfId="0" applyFont="1" applyBorder="1" applyAlignment="1">
      <alignment vertical="center" wrapText="1"/>
    </xf>
    <xf numFmtId="0" fontId="26" fillId="0" borderId="13" xfId="0" applyFont="1" applyBorder="1" applyAlignment="1">
      <alignment vertical="center" wrapText="1"/>
    </xf>
    <xf numFmtId="0" fontId="21" fillId="0" borderId="8" xfId="1" applyFont="1" applyBorder="1" applyAlignment="1">
      <alignment horizontal="left" vertical="center" wrapText="1"/>
    </xf>
    <xf numFmtId="0" fontId="21" fillId="0" borderId="10" xfId="0" applyFont="1" applyBorder="1" applyAlignment="1">
      <alignment horizontal="center" vertical="center" wrapText="1"/>
    </xf>
    <xf numFmtId="0" fontId="21" fillId="0" borderId="1" xfId="1" applyFont="1" applyBorder="1" applyAlignment="1">
      <alignment horizontal="left" vertical="center" wrapText="1"/>
    </xf>
    <xf numFmtId="0" fontId="21" fillId="0" borderId="12" xfId="0" applyFont="1" applyBorder="1" applyAlignment="1">
      <alignment horizontal="center" vertical="center" wrapText="1"/>
    </xf>
    <xf numFmtId="0" fontId="21" fillId="0" borderId="13" xfId="1" applyFont="1" applyBorder="1" applyAlignment="1">
      <alignment horizontal="left" vertical="center" wrapText="1"/>
    </xf>
    <xf numFmtId="0" fontId="21" fillId="0" borderId="15" xfId="0" applyFont="1" applyBorder="1" applyAlignment="1">
      <alignment horizontal="center" vertical="center" wrapText="1"/>
    </xf>
    <xf numFmtId="0" fontId="21" fillId="0" borderId="3" xfId="1" applyFont="1" applyBorder="1" applyAlignment="1">
      <alignment horizontal="left" vertical="center" wrapText="1"/>
    </xf>
    <xf numFmtId="0" fontId="26" fillId="0" borderId="10" xfId="0" applyFont="1" applyFill="1" applyBorder="1" applyAlignment="1">
      <alignment vertical="center" wrapText="1"/>
    </xf>
    <xf numFmtId="0" fontId="26" fillId="0" borderId="1" xfId="0" applyFont="1" applyFill="1" applyBorder="1" applyAlignment="1">
      <alignment wrapText="1"/>
    </xf>
    <xf numFmtId="0" fontId="21" fillId="0" borderId="10" xfId="0" applyFont="1" applyFill="1" applyBorder="1" applyAlignment="1">
      <alignment horizontal="center" vertical="center" wrapText="1"/>
    </xf>
    <xf numFmtId="0" fontId="21" fillId="0" borderId="1" xfId="1" applyFont="1" applyFill="1" applyBorder="1" applyAlignment="1">
      <alignment horizontal="left" vertical="center" wrapText="1"/>
    </xf>
    <xf numFmtId="0" fontId="8" fillId="0" borderId="0" xfId="0" applyFont="1" applyAlignment="1"/>
    <xf numFmtId="0" fontId="26" fillId="0" borderId="1" xfId="0" applyFont="1" applyBorder="1" applyAlignment="1">
      <alignment horizontal="center" vertical="top"/>
    </xf>
    <xf numFmtId="0" fontId="17" fillId="0" borderId="9" xfId="0" applyFont="1" applyFill="1" applyBorder="1" applyAlignment="1">
      <alignment horizontal="left" vertical="top" shrinkToFit="1"/>
    </xf>
    <xf numFmtId="0" fontId="17" fillId="0" borderId="22" xfId="0" applyFont="1" applyFill="1" applyBorder="1" applyAlignment="1">
      <alignment horizontal="left" vertical="top" shrinkToFit="1"/>
    </xf>
    <xf numFmtId="0" fontId="17" fillId="0" borderId="11" xfId="0" applyFont="1" applyFill="1" applyBorder="1" applyAlignment="1">
      <alignment horizontal="left" vertical="top" shrinkToFit="1"/>
    </xf>
    <xf numFmtId="0" fontId="17" fillId="0" borderId="14" xfId="0" applyFont="1" applyFill="1" applyBorder="1" applyAlignment="1">
      <alignment horizontal="left" vertical="top" shrinkToFit="1"/>
    </xf>
    <xf numFmtId="0" fontId="17" fillId="0" borderId="9" xfId="0" applyFont="1" applyFill="1" applyBorder="1" applyAlignment="1">
      <alignment horizontal="left" vertical="top"/>
    </xf>
    <xf numFmtId="0" fontId="17" fillId="0" borderId="11" xfId="0" applyFont="1" applyFill="1" applyBorder="1" applyAlignment="1">
      <alignment horizontal="left" vertical="top"/>
    </xf>
    <xf numFmtId="0" fontId="17" fillId="0" borderId="14" xfId="0" applyFont="1" applyFill="1" applyBorder="1" applyAlignment="1">
      <alignment horizontal="left" vertical="top"/>
    </xf>
    <xf numFmtId="0" fontId="17" fillId="0" borderId="22" xfId="0" applyFont="1" applyFill="1" applyBorder="1" applyAlignment="1">
      <alignment horizontal="left" vertical="top"/>
    </xf>
    <xf numFmtId="0" fontId="17" fillId="0" borderId="38" xfId="0" applyFont="1" applyFill="1" applyBorder="1" applyAlignment="1">
      <alignment horizontal="left" vertical="top"/>
    </xf>
    <xf numFmtId="0" fontId="17" fillId="0" borderId="40" xfId="0" applyFont="1" applyFill="1" applyBorder="1" applyAlignment="1">
      <alignment horizontal="left" vertical="top"/>
    </xf>
    <xf numFmtId="0" fontId="17" fillId="0" borderId="41" xfId="0" applyFont="1" applyFill="1" applyBorder="1" applyAlignment="1">
      <alignment horizontal="left" vertical="top"/>
    </xf>
    <xf numFmtId="0" fontId="17" fillId="0" borderId="38" xfId="0" applyFont="1" applyFill="1" applyBorder="1" applyAlignment="1">
      <alignment horizontal="left" vertical="top" shrinkToFit="1"/>
    </xf>
    <xf numFmtId="0" fontId="17" fillId="0" borderId="9" xfId="0" applyFont="1" applyFill="1" applyBorder="1" applyAlignment="1">
      <alignment vertical="top"/>
    </xf>
    <xf numFmtId="0" fontId="17" fillId="0" borderId="40" xfId="0" applyFont="1" applyFill="1" applyBorder="1" applyAlignment="1">
      <alignment horizontal="left" vertical="top" shrinkToFit="1"/>
    </xf>
    <xf numFmtId="0" fontId="17" fillId="0" borderId="11" xfId="0" applyFont="1" applyFill="1" applyBorder="1" applyAlignment="1">
      <alignment horizontal="left" vertical="center" shrinkToFit="1"/>
    </xf>
    <xf numFmtId="0" fontId="17" fillId="0" borderId="14" xfId="0" applyFont="1" applyFill="1" applyBorder="1" applyAlignment="1">
      <alignment horizontal="left" vertical="center" shrinkToFit="1"/>
    </xf>
    <xf numFmtId="0" fontId="17" fillId="0" borderId="31" xfId="0" applyFont="1" applyFill="1" applyBorder="1" applyAlignment="1">
      <alignment horizontal="left" vertical="top" shrinkToFit="1"/>
    </xf>
    <xf numFmtId="0" fontId="17" fillId="0" borderId="43" xfId="0" applyFont="1" applyFill="1" applyBorder="1" applyAlignment="1">
      <alignment horizontal="left" vertical="top" shrinkToFit="1"/>
    </xf>
    <xf numFmtId="0" fontId="17" fillId="0" borderId="41" xfId="0" applyFont="1" applyFill="1" applyBorder="1" applyAlignment="1">
      <alignment horizontal="left" vertical="top" shrinkToFit="1"/>
    </xf>
    <xf numFmtId="0" fontId="19" fillId="0" borderId="34" xfId="0" applyFont="1" applyFill="1" applyBorder="1" applyAlignment="1">
      <alignment vertical="top"/>
    </xf>
    <xf numFmtId="0" fontId="19" fillId="0" borderId="5" xfId="0" applyFont="1" applyFill="1" applyBorder="1" applyAlignment="1">
      <alignment vertical="top"/>
    </xf>
    <xf numFmtId="0" fontId="19" fillId="0" borderId="37" xfId="0" applyFont="1" applyFill="1" applyBorder="1" applyAlignment="1">
      <alignment vertical="top"/>
    </xf>
    <xf numFmtId="0" fontId="19" fillId="0" borderId="30" xfId="0" applyFont="1" applyFill="1" applyBorder="1" applyAlignment="1">
      <alignment vertical="top" shrinkToFit="1"/>
    </xf>
    <xf numFmtId="0" fontId="19" fillId="0" borderId="16" xfId="0" applyFont="1" applyFill="1" applyBorder="1" applyAlignment="1">
      <alignment vertical="top" shrinkToFit="1"/>
    </xf>
    <xf numFmtId="0" fontId="17" fillId="0" borderId="1" xfId="0" applyFont="1" applyFill="1" applyBorder="1" applyAlignment="1">
      <alignment horizontal="center" vertical="top" shrinkToFit="1"/>
    </xf>
    <xf numFmtId="0" fontId="17" fillId="0" borderId="13" xfId="0" applyFont="1" applyFill="1" applyBorder="1" applyAlignment="1">
      <alignment horizontal="center" vertical="top" shrinkToFit="1"/>
    </xf>
    <xf numFmtId="0" fontId="19" fillId="0" borderId="34" xfId="0" applyFont="1" applyFill="1" applyBorder="1" applyAlignment="1">
      <alignment vertical="top" shrinkToFit="1"/>
    </xf>
    <xf numFmtId="0" fontId="19" fillId="0" borderId="5" xfId="0" applyFont="1" applyFill="1" applyBorder="1" applyAlignment="1">
      <alignment vertical="top" shrinkToFit="1"/>
    </xf>
    <xf numFmtId="0" fontId="19" fillId="0" borderId="17" xfId="0" applyFont="1" applyFill="1" applyBorder="1" applyAlignment="1">
      <alignment vertical="top" shrinkToFit="1"/>
    </xf>
    <xf numFmtId="0" fontId="19" fillId="0" borderId="13" xfId="0" applyFont="1" applyFill="1" applyBorder="1" applyAlignment="1">
      <alignment vertical="top" shrinkToFit="1"/>
    </xf>
    <xf numFmtId="0" fontId="19" fillId="0" borderId="8" xfId="0" applyFont="1" applyFill="1" applyBorder="1" applyAlignment="1">
      <alignment vertical="top" shrinkToFit="1"/>
    </xf>
    <xf numFmtId="0" fontId="17" fillId="0" borderId="8" xfId="0" applyFont="1" applyFill="1" applyBorder="1" applyAlignment="1">
      <alignment horizontal="center" vertical="top" shrinkToFit="1"/>
    </xf>
    <xf numFmtId="0" fontId="19" fillId="0" borderId="42" xfId="0" applyFont="1" applyFill="1" applyBorder="1" applyAlignment="1">
      <alignment vertical="top" shrinkToFit="1"/>
    </xf>
    <xf numFmtId="0" fontId="19" fillId="0" borderId="36" xfId="0" applyFont="1" applyFill="1" applyBorder="1" applyAlignment="1">
      <alignment vertical="top" shrinkToFit="1"/>
    </xf>
    <xf numFmtId="0" fontId="19" fillId="0" borderId="1" xfId="0" applyFont="1" applyFill="1" applyBorder="1" applyAlignment="1">
      <alignment vertical="top" shrinkToFit="1"/>
    </xf>
    <xf numFmtId="0" fontId="19" fillId="0" borderId="3" xfId="0" applyFont="1" applyFill="1" applyBorder="1" applyAlignment="1">
      <alignment vertical="top" shrinkToFit="1"/>
    </xf>
    <xf numFmtId="0" fontId="19" fillId="0" borderId="8" xfId="0" applyFont="1" applyFill="1" applyBorder="1" applyAlignment="1">
      <alignment vertical="top"/>
    </xf>
    <xf numFmtId="0" fontId="17" fillId="0" borderId="36"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19" fillId="0" borderId="17" xfId="0" applyFont="1" applyFill="1" applyBorder="1" applyAlignment="1">
      <alignment vertical="top"/>
    </xf>
    <xf numFmtId="0" fontId="17" fillId="0" borderId="13" xfId="0" applyNumberFormat="1" applyFont="1" applyFill="1" applyBorder="1" applyAlignment="1">
      <alignment horizontal="center" vertical="top"/>
    </xf>
    <xf numFmtId="0" fontId="19" fillId="0" borderId="30" xfId="0" applyFont="1" applyFill="1" applyBorder="1" applyAlignment="1">
      <alignment vertical="top"/>
    </xf>
    <xf numFmtId="0" fontId="17" fillId="0" borderId="3" xfId="0" applyNumberFormat="1" applyFont="1" applyFill="1" applyBorder="1" applyAlignment="1">
      <alignment horizontal="center" vertical="top"/>
    </xf>
    <xf numFmtId="0" fontId="17" fillId="0" borderId="2" xfId="0" applyNumberFormat="1" applyFont="1" applyFill="1" applyBorder="1" applyAlignment="1">
      <alignment horizontal="center" vertical="top"/>
    </xf>
    <xf numFmtId="0" fontId="19" fillId="0" borderId="16" xfId="0" applyFont="1" applyFill="1" applyBorder="1" applyAlignment="1">
      <alignment vertical="top"/>
    </xf>
    <xf numFmtId="0" fontId="17" fillId="0" borderId="8" xfId="0" applyNumberFormat="1" applyFont="1" applyFill="1" applyBorder="1" applyAlignment="1">
      <alignment horizontal="center" vertical="top"/>
    </xf>
    <xf numFmtId="0" fontId="19" fillId="0" borderId="39" xfId="0" applyFont="1" applyFill="1" applyBorder="1" applyAlignment="1">
      <alignment vertical="top"/>
    </xf>
    <xf numFmtId="0" fontId="17" fillId="0" borderId="1" xfId="0" applyNumberFormat="1" applyFont="1" applyFill="1" applyBorder="1" applyAlignment="1">
      <alignment horizontal="center" vertical="top" shrinkToFit="1"/>
    </xf>
    <xf numFmtId="0" fontId="19" fillId="0" borderId="1" xfId="0" applyFont="1" applyFill="1" applyBorder="1" applyAlignment="1">
      <alignment vertical="top"/>
    </xf>
    <xf numFmtId="0" fontId="17" fillId="0" borderId="35" xfId="0" applyNumberFormat="1" applyFont="1" applyFill="1" applyBorder="1" applyAlignment="1">
      <alignment horizontal="center" vertical="top"/>
    </xf>
    <xf numFmtId="0" fontId="17" fillId="0" borderId="1" xfId="0" applyFont="1" applyFill="1" applyBorder="1" applyAlignment="1">
      <alignment horizontal="center" vertical="top"/>
    </xf>
    <xf numFmtId="0" fontId="17" fillId="0" borderId="2" xfId="0" applyFont="1" applyFill="1" applyBorder="1" applyAlignment="1">
      <alignment horizontal="center" vertical="top"/>
    </xf>
    <xf numFmtId="0" fontId="19" fillId="0" borderId="13" xfId="0" applyFont="1" applyFill="1" applyBorder="1" applyAlignment="1">
      <alignment vertical="top"/>
    </xf>
    <xf numFmtId="0" fontId="17" fillId="0" borderId="3" xfId="0" applyFont="1" applyFill="1" applyBorder="1" applyAlignment="1">
      <alignment horizontal="center" vertical="top"/>
    </xf>
    <xf numFmtId="0" fontId="17" fillId="0" borderId="13" xfId="0" applyFont="1" applyFill="1" applyBorder="1" applyAlignment="1">
      <alignment horizontal="center" vertical="top"/>
    </xf>
    <xf numFmtId="0" fontId="19" fillId="0" borderId="2" xfId="0" applyFont="1" applyFill="1" applyBorder="1" applyAlignment="1">
      <alignment vertical="top"/>
    </xf>
    <xf numFmtId="0" fontId="17" fillId="0" borderId="35" xfId="0" applyFont="1" applyFill="1" applyBorder="1" applyAlignment="1">
      <alignment horizontal="center" vertical="top"/>
    </xf>
    <xf numFmtId="0" fontId="17" fillId="0" borderId="8" xfId="0" applyFont="1" applyFill="1" applyBorder="1" applyAlignment="1">
      <alignment horizontal="center" vertical="top"/>
    </xf>
    <xf numFmtId="0" fontId="19" fillId="0" borderId="16" xfId="0" applyFont="1" applyFill="1" applyBorder="1" applyAlignment="1">
      <alignment horizontal="left" vertical="top"/>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0" xfId="0" applyAlignment="1">
      <alignment wrapText="1"/>
    </xf>
    <xf numFmtId="0" fontId="15" fillId="0" borderId="1" xfId="0" applyFont="1" applyBorder="1" applyAlignment="1">
      <alignment horizontal="left" vertical="center" wrapText="1"/>
    </xf>
    <xf numFmtId="164" fontId="17" fillId="0" borderId="1" xfId="0" applyNumberFormat="1" applyFont="1" applyBorder="1" applyAlignment="1">
      <alignment horizontal="center" vertical="center" wrapText="1"/>
    </xf>
    <xf numFmtId="0" fontId="26" fillId="0" borderId="0" xfId="0" applyFont="1" applyAlignment="1">
      <alignment horizontal="right" vertical="center"/>
    </xf>
    <xf numFmtId="0" fontId="25" fillId="0" borderId="0" xfId="0" applyFont="1" applyFill="1" applyAlignment="1">
      <alignment horizontal="center"/>
    </xf>
    <xf numFmtId="0" fontId="17" fillId="4" borderId="0" xfId="0" applyFont="1" applyFill="1" applyAlignment="1">
      <alignment horizontal="center" wrapText="1"/>
    </xf>
    <xf numFmtId="0" fontId="25" fillId="4" borderId="0" xfId="0" applyFont="1" applyFill="1" applyAlignment="1">
      <alignment horizontal="center"/>
    </xf>
    <xf numFmtId="0" fontId="10" fillId="4" borderId="0" xfId="0" applyFont="1" applyFill="1" applyAlignment="1">
      <alignment horizontal="center" wrapText="1"/>
    </xf>
    <xf numFmtId="0" fontId="26" fillId="4" borderId="0" xfId="0" applyFont="1" applyFill="1" applyAlignment="1">
      <alignment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0" applyFont="1" applyAlignment="1">
      <alignment horizontal="left"/>
    </xf>
    <xf numFmtId="0" fontId="26" fillId="0" borderId="0" xfId="0" applyFont="1" applyAlignment="1">
      <alignment horizontal="right"/>
    </xf>
    <xf numFmtId="0" fontId="15" fillId="0" borderId="1" xfId="0" applyFont="1" applyBorder="1" applyAlignment="1">
      <alignment horizontal="center" wrapText="1"/>
    </xf>
    <xf numFmtId="1" fontId="15" fillId="4" borderId="0" xfId="0" applyNumberFormat="1" applyFont="1" applyFill="1" applyAlignment="1">
      <alignment wrapText="1"/>
    </xf>
    <xf numFmtId="0" fontId="17" fillId="0" borderId="1" xfId="1" applyFont="1" applyBorder="1" applyAlignment="1">
      <alignment horizontal="center" vertical="center" wrapText="1"/>
    </xf>
    <xf numFmtId="0" fontId="17" fillId="0" borderId="1" xfId="1" applyFont="1" applyBorder="1" applyAlignment="1">
      <alignment horizontal="center" vertical="center" wrapText="1"/>
    </xf>
    <xf numFmtId="49" fontId="0" fillId="0" borderId="0" xfId="0" applyNumberFormat="1" applyAlignment="1">
      <alignment horizontal="left"/>
    </xf>
    <xf numFmtId="0" fontId="11" fillId="0" borderId="20" xfId="0" applyFont="1" applyBorder="1" applyAlignment="1">
      <alignment horizontal="center" vertical="center" wrapText="1"/>
    </xf>
    <xf numFmtId="0" fontId="11" fillId="2" borderId="6" xfId="1" applyFont="1" applyFill="1" applyBorder="1" applyAlignment="1">
      <alignment horizontal="center" vertical="center" wrapText="1"/>
    </xf>
    <xf numFmtId="0" fontId="11" fillId="3" borderId="6" xfId="1" applyFont="1" applyFill="1" applyBorder="1" applyAlignment="1">
      <alignment horizontal="center" vertical="center" wrapText="1"/>
    </xf>
    <xf numFmtId="0" fontId="11" fillId="0" borderId="32" xfId="1" applyFont="1" applyFill="1" applyBorder="1" applyAlignment="1">
      <alignment horizontal="center" vertical="center" wrapText="1"/>
    </xf>
    <xf numFmtId="0" fontId="11" fillId="0" borderId="6" xfId="1" applyFont="1" applyFill="1" applyBorder="1" applyAlignment="1">
      <alignment horizontal="center" vertical="center" wrapText="1"/>
    </xf>
    <xf numFmtId="0" fontId="11" fillId="0" borderId="44" xfId="1"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44" xfId="0" applyFont="1" applyBorder="1" applyAlignment="1">
      <alignment horizontal="center" vertical="center" wrapText="1"/>
    </xf>
    <xf numFmtId="2" fontId="6" fillId="0" borderId="0" xfId="0" applyNumberFormat="1" applyFont="1" applyFill="1" applyBorder="1" applyAlignment="1">
      <alignment horizontal="center" vertical="center" wrapText="1"/>
    </xf>
    <xf numFmtId="0" fontId="6" fillId="0" borderId="11" xfId="1" applyFont="1" applyFill="1" applyBorder="1" applyAlignment="1">
      <alignment horizontal="center" vertical="center" wrapText="1"/>
    </xf>
    <xf numFmtId="0" fontId="6" fillId="2" borderId="10"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6" fillId="2" borderId="6" xfId="1" applyFont="1" applyFill="1" applyBorder="1" applyAlignment="1">
      <alignment horizontal="center" vertical="center" wrapText="1"/>
    </xf>
    <xf numFmtId="0" fontId="20" fillId="0" borderId="30" xfId="1" applyFont="1" applyFill="1" applyBorder="1" applyAlignment="1">
      <alignment horizontal="left" vertical="center" wrapText="1"/>
    </xf>
    <xf numFmtId="0" fontId="17" fillId="0" borderId="2" xfId="1" applyFont="1" applyBorder="1" applyAlignment="1">
      <alignment horizontal="center" vertical="center" wrapText="1"/>
    </xf>
    <xf numFmtId="0" fontId="17" fillId="0" borderId="1" xfId="1"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1" applyFont="1" applyBorder="1" applyAlignment="1">
      <alignment horizontal="center" vertical="center" wrapText="1"/>
    </xf>
    <xf numFmtId="0" fontId="15" fillId="0" borderId="0" xfId="0" applyFont="1" applyAlignment="1">
      <alignment horizontal="left" wrapText="1"/>
    </xf>
    <xf numFmtId="0" fontId="16" fillId="0" borderId="0" xfId="0" applyFont="1" applyAlignment="1">
      <alignment horizontal="right" wrapText="1"/>
    </xf>
    <xf numFmtId="0" fontId="15" fillId="2" borderId="1" xfId="0" applyFont="1" applyFill="1" applyBorder="1" applyAlignment="1">
      <alignment horizontal="center" wrapText="1"/>
    </xf>
    <xf numFmtId="0" fontId="11" fillId="2" borderId="1" xfId="1" applyFont="1" applyFill="1" applyBorder="1" applyAlignment="1">
      <alignment horizontal="center" vertical="center" wrapText="1"/>
    </xf>
    <xf numFmtId="0" fontId="11" fillId="3"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13" xfId="1" applyFont="1" applyFill="1" applyBorder="1" applyAlignment="1">
      <alignment horizontal="center" vertical="center" wrapText="1"/>
    </xf>
    <xf numFmtId="0" fontId="4" fillId="0" borderId="0" xfId="0" applyFont="1" applyAlignment="1">
      <alignment horizontal="right"/>
    </xf>
    <xf numFmtId="0" fontId="26" fillId="5" borderId="0" xfId="0" applyFont="1" applyFill="1" applyAlignment="1">
      <alignment vertical="center" wrapText="1"/>
    </xf>
    <xf numFmtId="0" fontId="23" fillId="5" borderId="23" xfId="0" applyFont="1" applyFill="1" applyBorder="1" applyAlignment="1">
      <alignment horizontal="center" vertical="center" wrapText="1"/>
    </xf>
    <xf numFmtId="0" fontId="23" fillId="5" borderId="8" xfId="0" applyFont="1" applyFill="1" applyBorder="1" applyAlignment="1">
      <alignment horizontal="center" vertical="center" wrapText="1"/>
    </xf>
    <xf numFmtId="0" fontId="23" fillId="5" borderId="16" xfId="0" applyFont="1" applyFill="1" applyBorder="1" applyAlignment="1">
      <alignment horizontal="center" vertical="center" wrapText="1"/>
    </xf>
    <xf numFmtId="0" fontId="23" fillId="5" borderId="7" xfId="0" applyFont="1" applyFill="1" applyBorder="1" applyAlignment="1">
      <alignment horizontal="center" vertical="center" wrapText="1"/>
    </xf>
    <xf numFmtId="0" fontId="23" fillId="5" borderId="9"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0" xfId="0" applyFont="1" applyAlignment="1">
      <alignment horizontal="right" vertical="center" wrapText="1"/>
    </xf>
    <xf numFmtId="0" fontId="17" fillId="0" borderId="1" xfId="1" applyFont="1" applyBorder="1" applyAlignment="1">
      <alignment horizontal="center" vertical="center" wrapText="1"/>
    </xf>
    <xf numFmtId="49" fontId="16" fillId="0" borderId="0" xfId="0" applyNumberFormat="1" applyFont="1" applyAlignment="1">
      <alignment horizontal="center" wrapText="1"/>
    </xf>
    <xf numFmtId="49" fontId="26" fillId="0" borderId="1" xfId="0" applyNumberFormat="1" applyFont="1" applyBorder="1" applyAlignment="1">
      <alignment horizontal="center" vertical="top"/>
    </xf>
    <xf numFmtId="0" fontId="20" fillId="4" borderId="0" xfId="0" applyNumberFormat="1" applyFont="1" applyFill="1" applyBorder="1" applyAlignment="1">
      <alignment horizontal="center" wrapText="1"/>
    </xf>
    <xf numFmtId="0" fontId="26" fillId="0" borderId="0" xfId="0" applyNumberFormat="1" applyFont="1" applyBorder="1" applyAlignment="1">
      <alignment horizontal="center"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shrinkToFit="1"/>
    </xf>
    <xf numFmtId="0" fontId="17" fillId="4" borderId="0" xfId="0" applyNumberFormat="1" applyFont="1" applyFill="1" applyBorder="1" applyAlignment="1">
      <alignment horizontal="center" vertical="top" shrinkToFit="1"/>
    </xf>
    <xf numFmtId="0" fontId="17" fillId="0" borderId="0" xfId="0" applyNumberFormat="1" applyFont="1" applyFill="1" applyBorder="1" applyAlignment="1">
      <alignment horizontal="center" vertical="center" shrinkToFit="1"/>
    </xf>
    <xf numFmtId="0" fontId="0" fillId="0" borderId="0" xfId="0" applyNumberFormat="1" applyAlignment="1">
      <alignment horizontal="center"/>
    </xf>
    <xf numFmtId="0" fontId="15" fillId="0" borderId="0" xfId="0" applyFont="1" applyBorder="1" applyAlignment="1">
      <alignment horizontal="center" vertical="center" wrapText="1"/>
    </xf>
    <xf numFmtId="0" fontId="15" fillId="0" borderId="0" xfId="0" applyFont="1" applyBorder="1" applyAlignment="1">
      <alignment horizontal="left" vertical="center" wrapText="1"/>
    </xf>
    <xf numFmtId="0" fontId="20" fillId="0" borderId="26" xfId="0" applyFont="1" applyBorder="1" applyAlignment="1">
      <alignment horizontal="center" vertical="center" wrapText="1"/>
    </xf>
    <xf numFmtId="0" fontId="20" fillId="0" borderId="0" xfId="0" applyFont="1" applyAlignment="1">
      <alignment vertical="center" wrapText="1"/>
    </xf>
    <xf numFmtId="2" fontId="20" fillId="0" borderId="45" xfId="1" applyNumberFormat="1" applyFont="1" applyFill="1" applyBorder="1" applyAlignment="1">
      <alignment horizontal="center" vertical="center" wrapText="1"/>
    </xf>
    <xf numFmtId="0" fontId="20" fillId="0" borderId="26" xfId="0" applyFont="1" applyBorder="1" applyAlignment="1">
      <alignment horizontal="center" vertical="center" wrapText="1"/>
    </xf>
    <xf numFmtId="0" fontId="3" fillId="0" borderId="0" xfId="0" applyFont="1" applyAlignment="1">
      <alignment wrapText="1"/>
    </xf>
    <xf numFmtId="2" fontId="17" fillId="2" borderId="1" xfId="1" applyNumberFormat="1" applyFont="1" applyFill="1" applyBorder="1" applyAlignment="1">
      <alignment horizontal="center" vertical="center" wrapText="1"/>
    </xf>
    <xf numFmtId="0" fontId="17" fillId="0" borderId="5" xfId="0" applyFont="1" applyBorder="1" applyAlignment="1">
      <alignment vertical="center" wrapText="1"/>
    </xf>
    <xf numFmtId="0" fontId="11" fillId="2" borderId="5" xfId="1" applyFont="1" applyFill="1" applyBorder="1" applyAlignment="1">
      <alignment horizontal="center" vertical="center" wrapText="1"/>
    </xf>
    <xf numFmtId="0" fontId="11" fillId="3" borderId="5"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17" xfId="1" applyFont="1" applyFill="1" applyBorder="1" applyAlignment="1">
      <alignment horizontal="center" vertical="center" wrapText="1"/>
    </xf>
    <xf numFmtId="0" fontId="23" fillId="5" borderId="46" xfId="0" applyFont="1" applyFill="1" applyBorder="1" applyAlignment="1">
      <alignment horizontal="center" vertical="center" wrapText="1"/>
    </xf>
    <xf numFmtId="0" fontId="23" fillId="5" borderId="47" xfId="0" applyFont="1" applyFill="1" applyBorder="1" applyAlignment="1">
      <alignment horizontal="center" vertical="center" wrapText="1"/>
    </xf>
    <xf numFmtId="0" fontId="11" fillId="2" borderId="48" xfId="1" applyFont="1" applyFill="1" applyBorder="1" applyAlignment="1">
      <alignment horizontal="center" vertical="center" wrapText="1"/>
    </xf>
    <xf numFmtId="0" fontId="11" fillId="2" borderId="49" xfId="1" applyFont="1" applyFill="1" applyBorder="1" applyAlignment="1">
      <alignment horizontal="center" vertical="center" wrapText="1"/>
    </xf>
    <xf numFmtId="0" fontId="11" fillId="3" borderId="48" xfId="1" applyFont="1" applyFill="1" applyBorder="1" applyAlignment="1">
      <alignment horizontal="center" vertical="center" wrapText="1"/>
    </xf>
    <xf numFmtId="0" fontId="11" fillId="3" borderId="49" xfId="1" applyFont="1" applyFill="1" applyBorder="1" applyAlignment="1">
      <alignment horizontal="center" vertical="center" wrapText="1"/>
    </xf>
    <xf numFmtId="2" fontId="20" fillId="0" borderId="48" xfId="1" applyNumberFormat="1" applyFont="1" applyFill="1" applyBorder="1" applyAlignment="1">
      <alignment horizontal="center" vertical="center" wrapText="1"/>
    </xf>
    <xf numFmtId="2" fontId="20" fillId="0" borderId="49" xfId="1" applyNumberFormat="1" applyFont="1" applyFill="1" applyBorder="1" applyAlignment="1">
      <alignment horizontal="center" vertical="center" wrapText="1"/>
    </xf>
    <xf numFmtId="2" fontId="20" fillId="0" borderId="50" xfId="1" applyNumberFormat="1" applyFont="1" applyFill="1" applyBorder="1" applyAlignment="1">
      <alignment horizontal="center" vertical="center" wrapText="1"/>
    </xf>
    <xf numFmtId="0" fontId="11" fillId="0" borderId="48" xfId="1" applyFont="1" applyFill="1" applyBorder="1" applyAlignment="1">
      <alignment horizontal="center" vertical="center" wrapText="1"/>
    </xf>
    <xf numFmtId="0" fontId="11" fillId="0" borderId="49" xfId="1" applyFont="1" applyFill="1" applyBorder="1" applyAlignment="1">
      <alignment horizontal="center" vertical="center" wrapText="1"/>
    </xf>
    <xf numFmtId="0" fontId="11" fillId="0" borderId="51" xfId="1" applyFont="1" applyFill="1" applyBorder="1" applyAlignment="1">
      <alignment horizontal="center" vertical="center" wrapText="1"/>
    </xf>
    <xf numFmtId="0" fontId="11" fillId="0" borderId="52" xfId="1" applyFont="1" applyFill="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56" xfId="0" applyFont="1" applyBorder="1" applyAlignment="1">
      <alignment horizontal="center" vertical="center" wrapText="1"/>
    </xf>
    <xf numFmtId="0" fontId="17" fillId="0" borderId="1" xfId="1" applyFont="1" applyBorder="1" applyAlignment="1">
      <alignment horizontal="center" vertical="center" wrapText="1"/>
    </xf>
    <xf numFmtId="1" fontId="17" fillId="4" borderId="1" xfId="1" applyNumberFormat="1" applyFont="1" applyFill="1" applyBorder="1" applyAlignment="1">
      <alignment horizontal="center" vertical="center" wrapText="1"/>
    </xf>
    <xf numFmtId="0" fontId="17" fillId="6" borderId="1" xfId="1" applyFont="1" applyFill="1" applyBorder="1" applyAlignment="1">
      <alignment horizontal="left" vertical="center" wrapText="1"/>
    </xf>
    <xf numFmtId="0" fontId="17" fillId="6" borderId="1" xfId="1" applyFont="1" applyFill="1" applyBorder="1" applyAlignment="1">
      <alignment horizontal="center" vertical="center" wrapText="1"/>
    </xf>
    <xf numFmtId="1" fontId="17" fillId="6" borderId="1" xfId="1" applyNumberFormat="1" applyFont="1" applyFill="1" applyBorder="1" applyAlignment="1">
      <alignment horizontal="center" vertical="center" wrapText="1"/>
    </xf>
    <xf numFmtId="2" fontId="17" fillId="6" borderId="1" xfId="1" applyNumberFormat="1" applyFont="1" applyFill="1" applyBorder="1" applyAlignment="1">
      <alignment horizontal="center" vertical="center" wrapText="1"/>
    </xf>
    <xf numFmtId="166" fontId="15" fillId="0" borderId="0" xfId="0" applyNumberFormat="1" applyFont="1" applyAlignment="1">
      <alignment wrapText="1"/>
    </xf>
    <xf numFmtId="0" fontId="15" fillId="6" borderId="1" xfId="0" applyNumberFormat="1" applyFont="1" applyFill="1" applyBorder="1" applyAlignment="1">
      <alignment horizontal="left" vertical="center" wrapText="1"/>
    </xf>
    <xf numFmtId="0" fontId="15"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7" fillId="2" borderId="1" xfId="0" applyFont="1" applyFill="1" applyBorder="1" applyAlignment="1">
      <alignment horizontal="center" vertical="center" wrapText="1"/>
    </xf>
    <xf numFmtId="0" fontId="15" fillId="2" borderId="0" xfId="0" applyFont="1" applyFill="1" applyAlignment="1">
      <alignment horizontal="center" wrapText="1"/>
    </xf>
    <xf numFmtId="0" fontId="2" fillId="0" borderId="0" xfId="0" applyFont="1" applyAlignment="1"/>
    <xf numFmtId="0" fontId="11" fillId="7" borderId="0" xfId="0" applyFont="1" applyFill="1" applyAlignment="1"/>
    <xf numFmtId="0" fontId="21" fillId="7" borderId="1" xfId="1" applyFont="1" applyFill="1" applyBorder="1" applyAlignment="1">
      <alignment horizontal="left" vertical="center" wrapText="1"/>
    </xf>
    <xf numFmtId="0" fontId="15" fillId="0" borderId="1" xfId="0" applyFont="1" applyBorder="1" applyAlignment="1">
      <alignment horizontal="right" vertical="top" wrapText="1"/>
    </xf>
    <xf numFmtId="0" fontId="27" fillId="0" borderId="1" xfId="0" applyFont="1" applyBorder="1" applyAlignment="1">
      <alignment vertical="center" wrapText="1"/>
    </xf>
    <xf numFmtId="0" fontId="8" fillId="0" borderId="0" xfId="0" applyFont="1" applyAlignment="1">
      <alignment horizontal="right"/>
    </xf>
    <xf numFmtId="0" fontId="2" fillId="0" borderId="0" xfId="0" applyFont="1" applyAlignment="1">
      <alignment horizontal="right"/>
    </xf>
    <xf numFmtId="0" fontId="15" fillId="3" borderId="1" xfId="0" applyFont="1" applyFill="1" applyBorder="1" applyAlignment="1">
      <alignment vertical="center" wrapText="1"/>
    </xf>
    <xf numFmtId="0" fontId="0" fillId="3" borderId="1" xfId="0" applyNumberFormat="1" applyFont="1" applyFill="1" applyBorder="1" applyAlignment="1">
      <alignment horizontal="left" vertical="center" wrapText="1"/>
    </xf>
    <xf numFmtId="0" fontId="15" fillId="3" borderId="1" xfId="0" applyFont="1" applyFill="1" applyBorder="1" applyAlignment="1">
      <alignment wrapText="1"/>
    </xf>
    <xf numFmtId="49" fontId="15" fillId="3" borderId="1" xfId="0" applyNumberFormat="1" applyFont="1" applyFill="1" applyBorder="1" applyAlignment="1">
      <alignment wrapText="1"/>
    </xf>
    <xf numFmtId="0" fontId="0" fillId="3" borderId="1" xfId="0" applyFill="1" applyBorder="1"/>
    <xf numFmtId="0" fontId="11" fillId="8" borderId="0" xfId="0" applyFont="1" applyFill="1" applyAlignment="1">
      <alignment horizontal="center" wrapText="1"/>
    </xf>
    <xf numFmtId="0" fontId="15" fillId="7" borderId="1" xfId="0" applyFont="1" applyFill="1" applyBorder="1" applyAlignment="1">
      <alignment horizontal="center" wrapText="1"/>
    </xf>
    <xf numFmtId="0" fontId="17" fillId="9" borderId="1" xfId="0" applyFont="1" applyFill="1" applyBorder="1" applyAlignment="1">
      <alignment vertical="center" wrapText="1"/>
    </xf>
    <xf numFmtId="0" fontId="15" fillId="9" borderId="1" xfId="0" applyFont="1" applyFill="1" applyBorder="1" applyAlignment="1">
      <alignment horizontal="center" vertical="center" wrapText="1"/>
    </xf>
    <xf numFmtId="1" fontId="17" fillId="9" borderId="1" xfId="0" applyNumberFormat="1" applyFont="1" applyFill="1" applyBorder="1" applyAlignment="1">
      <alignment horizontal="center" vertical="center" wrapText="1"/>
    </xf>
    <xf numFmtId="2" fontId="15" fillId="9" borderId="1" xfId="0" applyNumberFormat="1" applyFont="1" applyFill="1" applyBorder="1" applyAlignment="1">
      <alignment horizontal="center" vertical="center" wrapText="1"/>
    </xf>
    <xf numFmtId="49" fontId="15" fillId="2" borderId="1" xfId="0" applyNumberFormat="1" applyFont="1" applyFill="1" applyBorder="1" applyAlignment="1" applyProtection="1">
      <alignment vertical="center" wrapText="1"/>
      <protection locked="0" hidden="1"/>
    </xf>
    <xf numFmtId="14" fontId="15" fillId="2" borderId="1" xfId="0" applyNumberFormat="1" applyFont="1" applyFill="1" applyBorder="1" applyAlignment="1" applyProtection="1">
      <alignment horizontal="left" vertical="center" wrapText="1"/>
      <protection locked="0" hidden="1"/>
    </xf>
    <xf numFmtId="165" fontId="0" fillId="2" borderId="1" xfId="0" applyNumberFormat="1" applyFont="1" applyFill="1" applyBorder="1" applyAlignment="1" applyProtection="1">
      <alignment vertical="center" wrapText="1"/>
      <protection locked="0" hidden="1"/>
    </xf>
    <xf numFmtId="0" fontId="0" fillId="2" borderId="1" xfId="0" applyFill="1" applyBorder="1" applyProtection="1">
      <protection locked="0" hidden="1"/>
    </xf>
    <xf numFmtId="49" fontId="15" fillId="2" borderId="1" xfId="0" applyNumberFormat="1" applyFont="1" applyFill="1" applyBorder="1" applyAlignment="1" applyProtection="1">
      <alignment horizontal="left" vertical="center" wrapText="1"/>
      <protection locked="0" hidden="1"/>
    </xf>
    <xf numFmtId="0" fontId="15" fillId="7" borderId="1" xfId="0" applyFont="1" applyFill="1" applyBorder="1" applyAlignment="1" applyProtection="1">
      <alignment horizontal="center" vertical="top" wrapText="1"/>
      <protection locked="0" hidden="1"/>
    </xf>
    <xf numFmtId="0" fontId="16" fillId="0" borderId="0" xfId="0" applyFont="1" applyAlignment="1" applyProtection="1">
      <alignment horizontal="center" wrapText="1"/>
      <protection locked="0" hidden="1"/>
    </xf>
    <xf numFmtId="0" fontId="15" fillId="0" borderId="0" xfId="0" applyFont="1" applyAlignment="1" applyProtection="1">
      <alignment horizontal="center" wrapText="1"/>
      <protection locked="0" hidden="1"/>
    </xf>
    <xf numFmtId="0" fontId="15" fillId="0" borderId="0" xfId="0" applyFont="1" applyAlignment="1" applyProtection="1">
      <alignment wrapText="1"/>
      <protection locked="0" hidden="1"/>
    </xf>
    <xf numFmtId="0" fontId="15" fillId="0" borderId="1" xfId="0" applyFont="1" applyBorder="1" applyAlignment="1" applyProtection="1">
      <alignment horizontal="center" vertical="top" wrapText="1"/>
      <protection locked="0" hidden="1"/>
    </xf>
    <xf numFmtId="49" fontId="17" fillId="2" borderId="9" xfId="0" applyNumberFormat="1" applyFont="1" applyFill="1" applyBorder="1" applyAlignment="1" applyProtection="1">
      <alignment horizontal="left" vertical="top"/>
      <protection locked="0" hidden="1"/>
    </xf>
    <xf numFmtId="49" fontId="17" fillId="2" borderId="11" xfId="0" applyNumberFormat="1" applyFont="1" applyFill="1" applyBorder="1" applyAlignment="1" applyProtection="1">
      <alignment horizontal="left" vertical="top"/>
      <protection locked="0" hidden="1"/>
    </xf>
    <xf numFmtId="49" fontId="17" fillId="2" borderId="14" xfId="0" applyNumberFormat="1" applyFont="1" applyFill="1" applyBorder="1" applyAlignment="1" applyProtection="1">
      <alignment horizontal="left" vertical="top"/>
      <protection locked="0" hidden="1"/>
    </xf>
    <xf numFmtId="49" fontId="17" fillId="2" borderId="22" xfId="0" applyNumberFormat="1" applyFont="1" applyFill="1" applyBorder="1" applyAlignment="1" applyProtection="1">
      <alignment horizontal="left" vertical="top"/>
      <protection locked="0" hidden="1"/>
    </xf>
    <xf numFmtId="49" fontId="17" fillId="2" borderId="38" xfId="0" applyNumberFormat="1" applyFont="1" applyFill="1" applyBorder="1" applyAlignment="1" applyProtection="1">
      <alignment horizontal="left" vertical="top"/>
      <protection locked="0" hidden="1"/>
    </xf>
    <xf numFmtId="49" fontId="17" fillId="2" borderId="40" xfId="0" applyNumberFormat="1" applyFont="1" applyFill="1" applyBorder="1" applyAlignment="1" applyProtection="1">
      <alignment horizontal="left" vertical="top"/>
      <protection locked="0" hidden="1"/>
    </xf>
    <xf numFmtId="49" fontId="17" fillId="2" borderId="41" xfId="0" applyNumberFormat="1" applyFont="1" applyFill="1" applyBorder="1" applyAlignment="1" applyProtection="1">
      <alignment horizontal="left" vertical="top"/>
      <protection locked="0" hidden="1"/>
    </xf>
    <xf numFmtId="49" fontId="17" fillId="2" borderId="9" xfId="0" applyNumberFormat="1" applyFont="1" applyFill="1" applyBorder="1" applyAlignment="1" applyProtection="1">
      <alignment horizontal="left" vertical="top" shrinkToFit="1"/>
      <protection locked="0" hidden="1"/>
    </xf>
    <xf numFmtId="49" fontId="17" fillId="2" borderId="11" xfId="0" applyNumberFormat="1" applyFont="1" applyFill="1" applyBorder="1" applyAlignment="1" applyProtection="1">
      <alignment horizontal="left" vertical="top" shrinkToFit="1"/>
      <protection locked="0" hidden="1"/>
    </xf>
    <xf numFmtId="49" fontId="17" fillId="2" borderId="14" xfId="0" applyNumberFormat="1" applyFont="1" applyFill="1" applyBorder="1" applyAlignment="1" applyProtection="1">
      <alignment horizontal="left" vertical="top" shrinkToFit="1"/>
      <protection locked="0" hidden="1"/>
    </xf>
    <xf numFmtId="49" fontId="17" fillId="2" borderId="22" xfId="0" applyNumberFormat="1" applyFont="1" applyFill="1" applyBorder="1" applyAlignment="1" applyProtection="1">
      <alignment horizontal="left" vertical="top" shrinkToFit="1"/>
      <protection locked="0" hidden="1"/>
    </xf>
    <xf numFmtId="49" fontId="17" fillId="2" borderId="38" xfId="0" applyNumberFormat="1" applyFont="1" applyFill="1" applyBorder="1" applyAlignment="1" applyProtection="1">
      <alignment horizontal="left" vertical="top" shrinkToFit="1"/>
      <protection locked="0" hidden="1"/>
    </xf>
    <xf numFmtId="49" fontId="17" fillId="2" borderId="40" xfId="0" applyNumberFormat="1" applyFont="1" applyFill="1" applyBorder="1" applyAlignment="1" applyProtection="1">
      <alignment horizontal="left" vertical="top" shrinkToFit="1"/>
      <protection locked="0" hidden="1"/>
    </xf>
    <xf numFmtId="49" fontId="17" fillId="2" borderId="11" xfId="0" applyNumberFormat="1" applyFont="1" applyFill="1" applyBorder="1" applyAlignment="1" applyProtection="1">
      <alignment horizontal="left" vertical="center" shrinkToFit="1"/>
      <protection locked="0" hidden="1"/>
    </xf>
    <xf numFmtId="49" fontId="17" fillId="2" borderId="14" xfId="0" applyNumberFormat="1" applyFont="1" applyFill="1" applyBorder="1" applyAlignment="1" applyProtection="1">
      <alignment horizontal="left" vertical="center" shrinkToFit="1"/>
      <protection locked="0" hidden="1"/>
    </xf>
    <xf numFmtId="49" fontId="17" fillId="2" borderId="31" xfId="0" applyNumberFormat="1" applyFont="1" applyFill="1" applyBorder="1" applyAlignment="1" applyProtection="1">
      <alignment horizontal="left" vertical="top" shrinkToFit="1"/>
      <protection locked="0" hidden="1"/>
    </xf>
    <xf numFmtId="49" fontId="17" fillId="2" borderId="43" xfId="0" applyNumberFormat="1" applyFont="1" applyFill="1" applyBorder="1" applyAlignment="1" applyProtection="1">
      <alignment horizontal="left" vertical="top" shrinkToFit="1"/>
      <protection locked="0" hidden="1"/>
    </xf>
    <xf numFmtId="49" fontId="17" fillId="2" borderId="41" xfId="0" applyNumberFormat="1" applyFont="1" applyFill="1" applyBorder="1" applyAlignment="1" applyProtection="1">
      <alignment horizontal="left" vertical="top" shrinkToFit="1"/>
      <protection locked="0" hidden="1"/>
    </xf>
    <xf numFmtId="0" fontId="17" fillId="2" borderId="1" xfId="0" applyFont="1" applyFill="1" applyBorder="1" applyAlignment="1" applyProtection="1">
      <alignment horizontal="center" vertical="center" wrapText="1"/>
      <protection locked="0" hidden="1"/>
    </xf>
    <xf numFmtId="164" fontId="17" fillId="2" borderId="1" xfId="0" applyNumberFormat="1" applyFont="1" applyFill="1" applyBorder="1" applyAlignment="1" applyProtection="1">
      <alignment horizontal="center" vertical="center" wrapText="1"/>
      <protection locked="0" hidden="1"/>
    </xf>
    <xf numFmtId="0" fontId="17" fillId="2" borderId="0" xfId="0" applyFont="1" applyFill="1" applyAlignment="1" applyProtection="1">
      <alignment horizontal="center" vertical="center" wrapText="1"/>
      <protection locked="0" hidden="1"/>
    </xf>
    <xf numFmtId="0" fontId="15" fillId="2" borderId="1" xfId="0" applyFont="1" applyFill="1" applyBorder="1" applyAlignment="1" applyProtection="1">
      <alignment horizontal="center" vertical="center" wrapText="1"/>
      <protection locked="0" hidden="1"/>
    </xf>
    <xf numFmtId="0" fontId="15" fillId="8" borderId="1" xfId="0" quotePrefix="1" applyFont="1" applyFill="1" applyBorder="1" applyAlignment="1" applyProtection="1">
      <alignment horizontal="center" vertical="center" wrapText="1"/>
      <protection locked="0" hidden="1"/>
    </xf>
    <xf numFmtId="0" fontId="28" fillId="0" borderId="0" xfId="0" applyFont="1" applyAlignment="1">
      <alignment horizontal="right"/>
    </xf>
    <xf numFmtId="0" fontId="1" fillId="0" borderId="55"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54" xfId="0" applyFont="1" applyBorder="1" applyAlignment="1">
      <alignment horizontal="center" vertical="center" wrapText="1"/>
    </xf>
    <xf numFmtId="0" fontId="1" fillId="0" borderId="57" xfId="0" applyFont="1" applyBorder="1" applyAlignment="1">
      <alignment horizontal="center" vertical="center" wrapText="1"/>
    </xf>
    <xf numFmtId="0" fontId="17" fillId="0" borderId="1" xfId="1" applyFont="1" applyBorder="1" applyAlignment="1">
      <alignment horizontal="center" vertical="center" wrapText="1"/>
    </xf>
    <xf numFmtId="2" fontId="23" fillId="0" borderId="1" xfId="1" applyNumberFormat="1" applyFont="1" applyFill="1" applyBorder="1" applyAlignment="1">
      <alignment horizontal="center" vertical="center" wrapText="1"/>
    </xf>
    <xf numFmtId="0" fontId="16" fillId="0" borderId="1" xfId="0" applyFont="1" applyBorder="1" applyAlignment="1">
      <alignment horizontal="center" vertical="center" wrapText="1"/>
    </xf>
    <xf numFmtId="0" fontId="20" fillId="0" borderId="18" xfId="0" applyFont="1" applyBorder="1" applyAlignment="1">
      <alignment horizontal="center" wrapText="1"/>
    </xf>
    <xf numFmtId="0" fontId="20" fillId="0" borderId="20" xfId="0" applyFont="1" applyBorder="1" applyAlignment="1">
      <alignment horizontal="center" wrapText="1"/>
    </xf>
    <xf numFmtId="0" fontId="20" fillId="0" borderId="21" xfId="0" applyFont="1" applyBorder="1" applyAlignment="1">
      <alignment horizontal="center" wrapText="1"/>
    </xf>
    <xf numFmtId="0" fontId="20" fillId="0" borderId="23" xfId="0" applyFont="1" applyBorder="1" applyAlignment="1">
      <alignment horizontal="center" wrapText="1"/>
    </xf>
    <xf numFmtId="0" fontId="20" fillId="0" borderId="8" xfId="0" applyFont="1" applyBorder="1" applyAlignment="1">
      <alignment horizontal="center" wrapText="1"/>
    </xf>
    <xf numFmtId="0" fontId="20" fillId="0" borderId="16" xfId="0" applyFont="1" applyBorder="1" applyAlignment="1">
      <alignment horizontal="center" wrapText="1"/>
    </xf>
    <xf numFmtId="0" fontId="20" fillId="0" borderId="26" xfId="0" applyFont="1" applyBorder="1" applyAlignment="1">
      <alignment horizontal="center" vertical="center" wrapText="1"/>
    </xf>
    <xf numFmtId="0" fontId="20" fillId="0" borderId="27" xfId="0" applyFont="1" applyBorder="1" applyAlignment="1">
      <alignment horizontal="center" vertical="center" wrapText="1"/>
    </xf>
    <xf numFmtId="0" fontId="17" fillId="0" borderId="2" xfId="1" applyFont="1" applyBorder="1" applyAlignment="1">
      <alignment horizontal="center" vertical="center" wrapText="1"/>
    </xf>
    <xf numFmtId="0" fontId="17" fillId="0" borderId="3" xfId="1" applyFont="1" applyBorder="1" applyAlignment="1">
      <alignment horizontal="center" vertical="center" wrapText="1"/>
    </xf>
    <xf numFmtId="0" fontId="17" fillId="0" borderId="1" xfId="1"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4" xfId="0" applyFont="1" applyBorder="1" applyAlignment="1">
      <alignment horizontal="center" vertical="center" wrapText="1"/>
    </xf>
    <xf numFmtId="0" fontId="17" fillId="0" borderId="5" xfId="1" applyFont="1" applyBorder="1" applyAlignment="1">
      <alignment horizontal="center" vertical="center" wrapText="1"/>
    </xf>
    <xf numFmtId="0" fontId="17" fillId="0" borderId="6" xfId="1" applyFont="1" applyBorder="1" applyAlignment="1">
      <alignment horizontal="center" vertical="center" wrapText="1"/>
    </xf>
    <xf numFmtId="0" fontId="17" fillId="0" borderId="4" xfId="1"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2" applyFont="1" applyBorder="1" applyAlignment="1">
      <alignment horizontal="center" vertical="center" wrapText="1"/>
    </xf>
  </cellXfs>
  <cellStyles count="3">
    <cellStyle name="Hyperlink" xfId="2" builtinId="8"/>
    <cellStyle name="Normal" xfId="0" builtinId="0"/>
    <cellStyle name="Обычный 2" xfId="1"/>
  </cellStyles>
  <dxfs count="4">
    <dxf>
      <font>
        <color theme="0" tint="-0.14996795556505021"/>
      </font>
    </dxf>
    <dxf>
      <font>
        <color theme="0" tint="-0.24994659260841701"/>
      </font>
    </dxf>
    <dxf>
      <font>
        <color theme="0" tint="-0.24994659260841701"/>
      </font>
    </dxf>
    <dxf>
      <font>
        <color theme="0" tint="-0.1499679555650502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E9491C8-41CA-4692-A204-3A20CDF6D768}">
  <we:reference id="wa104381504" version="1.0.0.0" store="en-US"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rumexpert.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0"/>
  <sheetViews>
    <sheetView tabSelected="1" zoomScaleNormal="100" workbookViewId="0">
      <selection activeCell="E3" sqref="E3"/>
    </sheetView>
  </sheetViews>
  <sheetFormatPr defaultRowHeight="12.75" x14ac:dyDescent="0.2"/>
  <cols>
    <col min="1" max="1" width="50" style="3" customWidth="1"/>
    <col min="2" max="2" width="48.5703125" style="7" customWidth="1"/>
    <col min="3" max="3" width="3.42578125" style="3" customWidth="1"/>
    <col min="4" max="4" width="16" style="3" customWidth="1"/>
    <col min="5" max="5" width="15.42578125" style="39" customWidth="1"/>
    <col min="6" max="6" width="2.5703125" style="3" customWidth="1"/>
    <col min="7" max="7" width="14" style="391" hidden="1" customWidth="1"/>
    <col min="8" max="8" width="13.42578125" style="3" hidden="1" customWidth="1"/>
    <col min="9" max="9" width="9.140625" style="3" hidden="1" customWidth="1"/>
    <col min="10" max="10" width="16.85546875" style="3" hidden="1" customWidth="1"/>
    <col min="11" max="11" width="9.140625" style="3"/>
    <col min="12" max="12" width="10.42578125" style="3" bestFit="1" customWidth="1"/>
    <col min="13" max="16384" width="9.140625" style="3"/>
  </cols>
  <sheetData>
    <row r="1" spans="1:12" s="19" customFormat="1" x14ac:dyDescent="0.2">
      <c r="A1" s="67" t="s">
        <v>584</v>
      </c>
      <c r="B1" s="314" t="s">
        <v>585</v>
      </c>
      <c r="E1" s="67"/>
      <c r="G1" s="389" t="s">
        <v>600</v>
      </c>
      <c r="H1" s="67" t="s">
        <v>601</v>
      </c>
      <c r="I1" s="19" t="s">
        <v>602</v>
      </c>
      <c r="J1" s="19" t="s">
        <v>642</v>
      </c>
    </row>
    <row r="2" spans="1:12" x14ac:dyDescent="0.2">
      <c r="A2" s="1" t="s">
        <v>113</v>
      </c>
      <c r="B2" s="383" t="s">
        <v>561</v>
      </c>
      <c r="D2" s="368" t="s">
        <v>603</v>
      </c>
      <c r="E2" s="388" t="s">
        <v>680</v>
      </c>
      <c r="G2" s="390" t="s">
        <v>677</v>
      </c>
      <c r="H2" s="39" t="s">
        <v>604</v>
      </c>
      <c r="I2" s="39">
        <v>0</v>
      </c>
      <c r="J2" s="39" t="s">
        <v>643</v>
      </c>
      <c r="L2" s="359"/>
    </row>
    <row r="3" spans="1:12" x14ac:dyDescent="0.2">
      <c r="A3" s="1" t="s">
        <v>114</v>
      </c>
      <c r="B3" s="383" t="s">
        <v>636</v>
      </c>
      <c r="D3" s="368" t="str">
        <f>IF(E2="Другая", "Новая застройка:", "")</f>
        <v/>
      </c>
      <c r="E3" s="392"/>
      <c r="G3" s="390" t="s">
        <v>678</v>
      </c>
      <c r="H3" s="39" t="s">
        <v>605</v>
      </c>
      <c r="I3" s="39">
        <v>1</v>
      </c>
      <c r="J3" s="39" t="s">
        <v>644</v>
      </c>
    </row>
    <row r="4" spans="1:12" x14ac:dyDescent="0.2">
      <c r="A4" s="1" t="s">
        <v>115</v>
      </c>
      <c r="B4" s="383" t="str">
        <f>B3</f>
        <v>07.10.2021</v>
      </c>
      <c r="D4" s="368" t="s">
        <v>642</v>
      </c>
      <c r="E4" s="388" t="s">
        <v>643</v>
      </c>
      <c r="G4" s="390" t="s">
        <v>679</v>
      </c>
      <c r="I4" s="39">
        <v>2</v>
      </c>
    </row>
    <row r="5" spans="1:12" x14ac:dyDescent="0.2">
      <c r="A5" s="1" t="s">
        <v>116</v>
      </c>
      <c r="B5" s="384">
        <f ca="1">TODAY()+1</f>
        <v>44628</v>
      </c>
      <c r="D5" s="368" t="s">
        <v>606</v>
      </c>
      <c r="E5" s="388" t="s">
        <v>604</v>
      </c>
      <c r="G5" s="390" t="s">
        <v>680</v>
      </c>
      <c r="I5" s="39">
        <v>3</v>
      </c>
    </row>
    <row r="6" spans="1:12" ht="15" x14ac:dyDescent="0.2">
      <c r="A6" s="1" t="s">
        <v>607</v>
      </c>
      <c r="B6" s="385" t="s">
        <v>608</v>
      </c>
      <c r="D6" s="368" t="s">
        <v>602</v>
      </c>
      <c r="E6" s="388">
        <v>1</v>
      </c>
      <c r="G6" s="390" t="s">
        <v>681</v>
      </c>
    </row>
    <row r="7" spans="1:12" ht="78" customHeight="1" x14ac:dyDescent="0.2">
      <c r="A7" s="1" t="s">
        <v>609</v>
      </c>
      <c r="B7" s="385" t="s">
        <v>610</v>
      </c>
      <c r="G7" s="390"/>
    </row>
    <row r="8" spans="1:12" ht="15" x14ac:dyDescent="0.25">
      <c r="A8" s="372"/>
      <c r="B8" s="373"/>
      <c r="D8" s="171"/>
      <c r="E8" s="272" t="s">
        <v>174</v>
      </c>
      <c r="G8" s="390"/>
    </row>
    <row r="9" spans="1:12" ht="15" x14ac:dyDescent="0.25">
      <c r="A9" s="1" t="s">
        <v>112</v>
      </c>
      <c r="B9" s="386" t="s">
        <v>611</v>
      </c>
      <c r="E9" s="370" t="s">
        <v>171</v>
      </c>
      <c r="F9" s="173"/>
      <c r="G9" s="390"/>
    </row>
    <row r="10" spans="1:12" ht="15" x14ac:dyDescent="0.25">
      <c r="A10" s="1" t="s">
        <v>612</v>
      </c>
      <c r="B10" s="386" t="s">
        <v>613</v>
      </c>
      <c r="E10" s="371" t="s">
        <v>645</v>
      </c>
      <c r="F10" s="305"/>
      <c r="G10" s="390"/>
    </row>
    <row r="11" spans="1:12" ht="15" x14ac:dyDescent="0.25">
      <c r="A11" s="372"/>
      <c r="B11" s="376"/>
      <c r="E11" s="371" t="s">
        <v>646</v>
      </c>
      <c r="F11" s="366"/>
      <c r="G11" s="390"/>
    </row>
    <row r="12" spans="1:12" ht="15" x14ac:dyDescent="0.25">
      <c r="A12" s="1" t="s">
        <v>117</v>
      </c>
      <c r="B12" s="387" t="s">
        <v>658</v>
      </c>
      <c r="E12" s="370" t="s">
        <v>172</v>
      </c>
      <c r="F12" s="174"/>
      <c r="G12" s="390"/>
    </row>
    <row r="13" spans="1:12" ht="15" x14ac:dyDescent="0.25">
      <c r="A13" s="1" t="s">
        <v>118</v>
      </c>
      <c r="B13" s="387" t="s">
        <v>659</v>
      </c>
      <c r="E13" s="370" t="s">
        <v>173</v>
      </c>
      <c r="F13" s="175"/>
      <c r="G13" s="390"/>
    </row>
    <row r="14" spans="1:12" ht="15" x14ac:dyDescent="0.25">
      <c r="A14" s="1" t="s">
        <v>119</v>
      </c>
      <c r="B14" s="360">
        <f>Тепловизор!H2</f>
        <v>22.4</v>
      </c>
      <c r="E14" s="370" t="s">
        <v>541</v>
      </c>
      <c r="F14" s="268"/>
      <c r="G14" s="390"/>
    </row>
    <row r="15" spans="1:12" x14ac:dyDescent="0.2">
      <c r="A15" s="1" t="s">
        <v>120</v>
      </c>
      <c r="B15" s="360">
        <f>Тепловизор!H3</f>
        <v>27.2</v>
      </c>
      <c r="G15" s="390"/>
    </row>
    <row r="16" spans="1:12" x14ac:dyDescent="0.2">
      <c r="A16" s="2" t="s">
        <v>121</v>
      </c>
      <c r="B16" s="360">
        <f>Тепловизор!H4</f>
        <v>55</v>
      </c>
      <c r="G16" s="390"/>
    </row>
    <row r="17" spans="1:7" x14ac:dyDescent="0.2">
      <c r="A17" s="2" t="s">
        <v>544</v>
      </c>
      <c r="B17" s="360" t="str">
        <f>Тепловизор!H5</f>
        <v>-</v>
      </c>
      <c r="G17" s="390"/>
    </row>
    <row r="18" spans="1:7" x14ac:dyDescent="0.2">
      <c r="A18" s="374"/>
      <c r="B18" s="375"/>
      <c r="G18" s="390"/>
    </row>
    <row r="19" spans="1:7" x14ac:dyDescent="0.2">
      <c r="A19" s="4" t="s">
        <v>140</v>
      </c>
      <c r="B19" s="47">
        <f>ROUND((Расчеты!J77+Окна!H15+Потолок!I4), 0)</f>
        <v>782150</v>
      </c>
      <c r="G19" s="390"/>
    </row>
    <row r="20" spans="1:7" x14ac:dyDescent="0.2">
      <c r="B20" s="5"/>
      <c r="G20" s="390"/>
    </row>
    <row r="21" spans="1:7" x14ac:dyDescent="0.2">
      <c r="B21" s="5"/>
      <c r="G21" s="390"/>
    </row>
    <row r="22" spans="1:7" x14ac:dyDescent="0.2">
      <c r="B22" s="5"/>
      <c r="G22" s="390"/>
    </row>
    <row r="23" spans="1:7" x14ac:dyDescent="0.2">
      <c r="B23" s="5"/>
      <c r="G23" s="390"/>
    </row>
    <row r="24" spans="1:7" x14ac:dyDescent="0.2">
      <c r="B24" s="5"/>
      <c r="G24" s="390"/>
    </row>
    <row r="25" spans="1:7" x14ac:dyDescent="0.2">
      <c r="B25" s="5"/>
      <c r="G25" s="390"/>
    </row>
    <row r="26" spans="1:7" x14ac:dyDescent="0.2">
      <c r="B26" s="5"/>
      <c r="G26" s="390"/>
    </row>
    <row r="27" spans="1:7" x14ac:dyDescent="0.2">
      <c r="B27" s="5"/>
      <c r="G27" s="390"/>
    </row>
    <row r="28" spans="1:7" x14ac:dyDescent="0.2">
      <c r="B28" s="5"/>
    </row>
    <row r="29" spans="1:7" x14ac:dyDescent="0.2">
      <c r="B29" s="5"/>
    </row>
    <row r="30" spans="1:7" x14ac:dyDescent="0.2">
      <c r="B30" s="5"/>
    </row>
    <row r="31" spans="1:7" x14ac:dyDescent="0.2">
      <c r="B31" s="5"/>
    </row>
    <row r="32" spans="1:7" x14ac:dyDescent="0.2">
      <c r="B32" s="5"/>
    </row>
    <row r="33" spans="2:2" x14ac:dyDescent="0.2">
      <c r="B33" s="5"/>
    </row>
    <row r="34" spans="2:2" x14ac:dyDescent="0.2">
      <c r="B34" s="5"/>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row r="41" spans="2:2" x14ac:dyDescent="0.2">
      <c r="B41" s="5"/>
    </row>
    <row r="42" spans="2:2" x14ac:dyDescent="0.2">
      <c r="B42" s="5"/>
    </row>
    <row r="43" spans="2:2" x14ac:dyDescent="0.2">
      <c r="B43" s="5"/>
    </row>
    <row r="44" spans="2:2" x14ac:dyDescent="0.2">
      <c r="B44" s="5"/>
    </row>
    <row r="45" spans="2:2" x14ac:dyDescent="0.2">
      <c r="B45" s="5"/>
    </row>
    <row r="46" spans="2:2" x14ac:dyDescent="0.2">
      <c r="B46" s="5"/>
    </row>
    <row r="47" spans="2:2" x14ac:dyDescent="0.2">
      <c r="B47" s="5"/>
    </row>
    <row r="48" spans="2:2" x14ac:dyDescent="0.2">
      <c r="B48" s="5"/>
    </row>
    <row r="49" spans="2:2" x14ac:dyDescent="0.2">
      <c r="B49" s="5"/>
    </row>
    <row r="50" spans="2:2" x14ac:dyDescent="0.2">
      <c r="B50" s="5"/>
    </row>
  </sheetData>
  <conditionalFormatting sqref="B10">
    <cfRule type="expression" dxfId="3" priority="5">
      <formula>$E$5=$H$2</formula>
    </cfRule>
  </conditionalFormatting>
  <conditionalFormatting sqref="B7 B10">
    <cfRule type="expression" dxfId="2" priority="4">
      <formula>$E$5=$H$2</formula>
    </cfRule>
  </conditionalFormatting>
  <conditionalFormatting sqref="B6 B9">
    <cfRule type="expression" dxfId="1" priority="3">
      <formula>$E$5=$H$3</formula>
    </cfRule>
  </conditionalFormatting>
  <conditionalFormatting sqref="B2:B7 B9:B10">
    <cfRule type="expression" dxfId="0" priority="1">
      <formula>$E$4=$J$2</formula>
    </cfRule>
  </conditionalFormatting>
  <dataValidations count="13">
    <dataValidation type="list" allowBlank="1" showInputMessage="1" showErrorMessage="1" sqref="E6">
      <formula1>$I$2:$I$5</formula1>
    </dataValidation>
    <dataValidation type="list" allowBlank="1" showInputMessage="1" showErrorMessage="1" sqref="E5">
      <formula1>$H$2:$H$3</formula1>
    </dataValidation>
    <dataValidation type="list" allowBlank="1" showInputMessage="1" showErrorMessage="1" sqref="E4">
      <formula1>$J$2:$J$3</formula1>
    </dataValidation>
    <dataValidation type="custom" allowBlank="1" showInputMessage="1" showErrorMessage="1" error="Поменяйте форму заключения или наличие Данных договора" sqref="B7">
      <formula1>AND(E5=H3, E4=J3)</formula1>
    </dataValidation>
    <dataValidation type="custom" allowBlank="1" showInputMessage="1" showErrorMessage="1" error="Поменяйте форму заключения или наличие Данных договора" sqref="B10">
      <formula1>AND(E5=H3, E4=J3)</formula1>
    </dataValidation>
    <dataValidation type="custom" allowBlank="1" showInputMessage="1" showErrorMessage="1" error="Поменяйте форму заключения или наличие Данных договора" sqref="B6">
      <formula1>AND(E5=H2, E4=J3)</formula1>
    </dataValidation>
    <dataValidation type="custom" allowBlank="1" showInputMessage="1" showErrorMessage="1" error="Поменяйте форму заключения или наличие Данных договора" sqref="B9">
      <formula1>AND(E5=H2, E4=J3)</formula1>
    </dataValidation>
    <dataValidation type="custom" allowBlank="1" showInputMessage="1" showErrorMessage="1" sqref="B19">
      <formula1>E4=J3</formula1>
    </dataValidation>
    <dataValidation type="custom" allowBlank="1" showInputMessage="1" showErrorMessage="1" error="Поменяйте наличие Данных договора" sqref="B5">
      <formula1>E4=J3</formula1>
    </dataValidation>
    <dataValidation type="custom" allowBlank="1" showInputMessage="1" showErrorMessage="1" error="Поменяйте наличие Данных договора" sqref="B4">
      <formula1>E4=J3</formula1>
    </dataValidation>
    <dataValidation type="custom" allowBlank="1" showInputMessage="1" showErrorMessage="1" error="Поменяйте наличие Данных договора" sqref="B3">
      <formula1>E4=J3</formula1>
    </dataValidation>
    <dataValidation type="custom" allowBlank="1" showInputMessage="1" showErrorMessage="1" error="Поменяйте наличие Данных договора" sqref="B2">
      <formula1>E4=J3</formula1>
    </dataValidation>
    <dataValidation type="list" allowBlank="1" showInputMessage="1" showErrorMessage="1" sqref="E2">
      <formula1>$G$2:$G$27</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opLeftCell="B136" workbookViewId="0">
      <selection activeCell="E111" sqref="E111"/>
    </sheetView>
  </sheetViews>
  <sheetFormatPr defaultRowHeight="15" x14ac:dyDescent="0.25"/>
  <cols>
    <col min="1" max="1" width="15.85546875" customWidth="1"/>
    <col min="2" max="2" width="7.42578125" customWidth="1"/>
    <col min="3" max="3" width="45.28515625" customWidth="1"/>
    <col min="4" max="4" width="70.140625" style="277" customWidth="1"/>
    <col min="5" max="5" width="6.85546875" style="322" customWidth="1"/>
  </cols>
  <sheetData>
    <row r="1" spans="1:5" ht="15.75" thickBot="1" x14ac:dyDescent="0.3">
      <c r="A1" s="197"/>
      <c r="B1" s="197"/>
      <c r="C1" s="197" t="s">
        <v>614</v>
      </c>
      <c r="D1" s="315" t="s">
        <v>414</v>
      </c>
      <c r="E1" s="317"/>
    </row>
    <row r="2" spans="1:5" x14ac:dyDescent="0.25">
      <c r="A2" s="234" t="s">
        <v>416</v>
      </c>
      <c r="B2" s="235">
        <v>110</v>
      </c>
      <c r="C2" s="202" t="s">
        <v>417</v>
      </c>
      <c r="D2" s="393"/>
      <c r="E2" s="318"/>
    </row>
    <row r="3" spans="1:5" x14ac:dyDescent="0.25">
      <c r="A3" s="218"/>
      <c r="B3" s="236">
        <v>111</v>
      </c>
      <c r="C3" s="203" t="s">
        <v>418</v>
      </c>
      <c r="D3" s="394"/>
      <c r="E3" s="318"/>
    </row>
    <row r="4" spans="1:5" x14ac:dyDescent="0.25">
      <c r="A4" s="218"/>
      <c r="B4" s="236">
        <v>112</v>
      </c>
      <c r="C4" s="203" t="s">
        <v>419</v>
      </c>
      <c r="D4" s="394"/>
      <c r="E4" s="318"/>
    </row>
    <row r="5" spans="1:5" x14ac:dyDescent="0.25">
      <c r="A5" s="218"/>
      <c r="B5" s="236">
        <v>113</v>
      </c>
      <c r="C5" s="203" t="s">
        <v>420</v>
      </c>
      <c r="D5" s="394"/>
      <c r="E5" s="318"/>
    </row>
    <row r="6" spans="1:5" x14ac:dyDescent="0.25">
      <c r="A6" s="218"/>
      <c r="B6" s="236">
        <v>114</v>
      </c>
      <c r="C6" s="203" t="s">
        <v>421</v>
      </c>
      <c r="D6" s="394"/>
      <c r="E6" s="318"/>
    </row>
    <row r="7" spans="1:5" x14ac:dyDescent="0.25">
      <c r="A7" s="218"/>
      <c r="B7" s="236">
        <v>115</v>
      </c>
      <c r="C7" s="203" t="s">
        <v>422</v>
      </c>
      <c r="D7" s="394"/>
      <c r="E7" s="318"/>
    </row>
    <row r="8" spans="1:5" x14ac:dyDescent="0.25">
      <c r="A8" s="218"/>
      <c r="B8" s="236">
        <v>116</v>
      </c>
      <c r="C8" s="203" t="s">
        <v>423</v>
      </c>
      <c r="D8" s="394"/>
      <c r="E8" s="318"/>
    </row>
    <row r="9" spans="1:5" x14ac:dyDescent="0.25">
      <c r="A9" s="218"/>
      <c r="B9" s="236">
        <v>117</v>
      </c>
      <c r="C9" s="203" t="s">
        <v>424</v>
      </c>
      <c r="D9" s="394"/>
      <c r="E9" s="318"/>
    </row>
    <row r="10" spans="1:5" ht="15.75" thickBot="1" x14ac:dyDescent="0.3">
      <c r="A10" s="237"/>
      <c r="B10" s="238">
        <v>118</v>
      </c>
      <c r="C10" s="204" t="s">
        <v>425</v>
      </c>
      <c r="D10" s="395"/>
      <c r="E10" s="318"/>
    </row>
    <row r="11" spans="1:5" x14ac:dyDescent="0.25">
      <c r="A11" s="239" t="s">
        <v>426</v>
      </c>
      <c r="B11" s="240">
        <v>120</v>
      </c>
      <c r="C11" s="205" t="s">
        <v>427</v>
      </c>
      <c r="D11" s="396"/>
      <c r="E11" s="318"/>
    </row>
    <row r="12" spans="1:5" x14ac:dyDescent="0.25">
      <c r="A12" s="239"/>
      <c r="B12" s="236">
        <v>121</v>
      </c>
      <c r="C12" s="205" t="s">
        <v>418</v>
      </c>
      <c r="D12" s="396"/>
      <c r="E12" s="318"/>
    </row>
    <row r="13" spans="1:5" x14ac:dyDescent="0.25">
      <c r="A13" s="218"/>
      <c r="B13" s="236">
        <v>122</v>
      </c>
      <c r="C13" s="203" t="s">
        <v>421</v>
      </c>
      <c r="D13" s="394" t="s">
        <v>660</v>
      </c>
      <c r="E13" s="318"/>
    </row>
    <row r="14" spans="1:5" x14ac:dyDescent="0.25">
      <c r="A14" s="218"/>
      <c r="B14" s="236">
        <v>123</v>
      </c>
      <c r="C14" s="203" t="s">
        <v>423</v>
      </c>
      <c r="D14" s="394"/>
      <c r="E14" s="318"/>
    </row>
    <row r="15" spans="1:5" x14ac:dyDescent="0.25">
      <c r="A15" s="218"/>
      <c r="B15" s="236">
        <v>124</v>
      </c>
      <c r="C15" s="203" t="s">
        <v>424</v>
      </c>
      <c r="D15" s="394"/>
      <c r="E15" s="318"/>
    </row>
    <row r="16" spans="1:5" ht="15.75" thickBot="1" x14ac:dyDescent="0.3">
      <c r="A16" s="219"/>
      <c r="B16" s="241">
        <v>125</v>
      </c>
      <c r="C16" s="206" t="s">
        <v>428</v>
      </c>
      <c r="D16" s="397"/>
      <c r="E16" s="318"/>
    </row>
    <row r="17" spans="1:5" x14ac:dyDescent="0.25">
      <c r="A17" s="242" t="s">
        <v>429</v>
      </c>
      <c r="B17" s="243">
        <v>130</v>
      </c>
      <c r="C17" s="202" t="s">
        <v>417</v>
      </c>
      <c r="D17" s="393"/>
      <c r="E17" s="318"/>
    </row>
    <row r="18" spans="1:5" ht="15.75" thickBot="1" x14ac:dyDescent="0.3">
      <c r="A18" s="237"/>
      <c r="B18" s="238">
        <v>131</v>
      </c>
      <c r="C18" s="204" t="s">
        <v>418</v>
      </c>
      <c r="D18" s="395"/>
      <c r="E18" s="318"/>
    </row>
    <row r="19" spans="1:5" x14ac:dyDescent="0.25">
      <c r="A19" s="239" t="s">
        <v>430</v>
      </c>
      <c r="B19" s="240">
        <v>140</v>
      </c>
      <c r="C19" s="205" t="s">
        <v>417</v>
      </c>
      <c r="D19" s="396"/>
      <c r="E19" s="318"/>
    </row>
    <row r="20" spans="1:5" ht="15.75" thickBot="1" x14ac:dyDescent="0.3">
      <c r="A20" s="219"/>
      <c r="B20" s="241">
        <v>141</v>
      </c>
      <c r="C20" s="206" t="s">
        <v>418</v>
      </c>
      <c r="D20" s="397"/>
      <c r="E20" s="318"/>
    </row>
    <row r="21" spans="1:5" x14ac:dyDescent="0.25">
      <c r="A21" s="242" t="s">
        <v>431</v>
      </c>
      <c r="B21" s="243">
        <v>150</v>
      </c>
      <c r="C21" s="202" t="s">
        <v>418</v>
      </c>
      <c r="D21" s="393" t="s">
        <v>661</v>
      </c>
      <c r="E21" s="318"/>
    </row>
    <row r="22" spans="1:5" x14ac:dyDescent="0.25">
      <c r="A22" s="218"/>
      <c r="B22" s="236">
        <v>151</v>
      </c>
      <c r="C22" s="203" t="s">
        <v>432</v>
      </c>
      <c r="D22" s="394"/>
      <c r="E22" s="318"/>
    </row>
    <row r="23" spans="1:5" ht="15.75" thickBot="1" x14ac:dyDescent="0.3">
      <c r="A23" s="244"/>
      <c r="B23" s="238">
        <v>152</v>
      </c>
      <c r="C23" s="207" t="s">
        <v>433</v>
      </c>
      <c r="D23" s="398"/>
      <c r="E23" s="318"/>
    </row>
    <row r="24" spans="1:5" x14ac:dyDescent="0.25">
      <c r="A24" s="217" t="s">
        <v>434</v>
      </c>
      <c r="B24" s="240">
        <v>160</v>
      </c>
      <c r="C24" s="208" t="s">
        <v>435</v>
      </c>
      <c r="D24" s="399"/>
      <c r="E24" s="318"/>
    </row>
    <row r="25" spans="1:5" x14ac:dyDescent="0.25">
      <c r="A25" s="218"/>
      <c r="B25" s="236">
        <v>161</v>
      </c>
      <c r="C25" s="203" t="s">
        <v>436</v>
      </c>
      <c r="D25" s="394"/>
      <c r="E25" s="318"/>
    </row>
    <row r="26" spans="1:5" x14ac:dyDescent="0.25">
      <c r="A26" s="218"/>
      <c r="B26" s="236">
        <v>162</v>
      </c>
      <c r="C26" s="203" t="s">
        <v>437</v>
      </c>
      <c r="D26" s="394"/>
      <c r="E26" s="318"/>
    </row>
    <row r="27" spans="1:5" x14ac:dyDescent="0.25">
      <c r="A27" s="218"/>
      <c r="B27" s="236">
        <v>163</v>
      </c>
      <c r="C27" s="203" t="s">
        <v>438</v>
      </c>
      <c r="D27" s="394"/>
      <c r="E27" s="318"/>
    </row>
    <row r="28" spans="1:5" x14ac:dyDescent="0.25">
      <c r="A28" s="218"/>
      <c r="B28" s="236">
        <v>164</v>
      </c>
      <c r="C28" s="203" t="s">
        <v>439</v>
      </c>
      <c r="D28" s="394"/>
      <c r="E28" s="318"/>
    </row>
    <row r="29" spans="1:5" x14ac:dyDescent="0.25">
      <c r="A29" s="218"/>
      <c r="B29" s="236">
        <v>165</v>
      </c>
      <c r="C29" s="203" t="s">
        <v>440</v>
      </c>
      <c r="D29" s="394"/>
      <c r="E29" s="318"/>
    </row>
    <row r="30" spans="1:5" ht="15.75" thickBot="1" x14ac:dyDescent="0.3">
      <c r="A30" s="219"/>
      <c r="B30" s="241">
        <v>166</v>
      </c>
      <c r="C30" s="206" t="s">
        <v>441</v>
      </c>
      <c r="D30" s="397"/>
      <c r="E30" s="318"/>
    </row>
    <row r="31" spans="1:5" x14ac:dyDescent="0.25">
      <c r="A31" s="221" t="s">
        <v>442</v>
      </c>
      <c r="B31" s="243">
        <v>210</v>
      </c>
      <c r="C31" s="198" t="s">
        <v>443</v>
      </c>
      <c r="D31" s="400" t="s">
        <v>662</v>
      </c>
      <c r="E31" s="319"/>
    </row>
    <row r="32" spans="1:5" x14ac:dyDescent="0.25">
      <c r="A32" s="218"/>
      <c r="B32" s="245">
        <v>211</v>
      </c>
      <c r="C32" s="200" t="s">
        <v>444</v>
      </c>
      <c r="D32" s="401"/>
      <c r="E32" s="319"/>
    </row>
    <row r="33" spans="1:5" ht="15.75" thickBot="1" x14ac:dyDescent="0.3">
      <c r="A33" s="237"/>
      <c r="B33" s="238">
        <v>212</v>
      </c>
      <c r="C33" s="201" t="s">
        <v>445</v>
      </c>
      <c r="D33" s="402" t="s">
        <v>663</v>
      </c>
      <c r="E33" s="319"/>
    </row>
    <row r="34" spans="1:5" x14ac:dyDescent="0.25">
      <c r="A34" s="220" t="s">
        <v>446</v>
      </c>
      <c r="B34" s="240">
        <v>220</v>
      </c>
      <c r="C34" s="199" t="s">
        <v>418</v>
      </c>
      <c r="D34" s="403"/>
      <c r="E34" s="319"/>
    </row>
    <row r="35" spans="1:5" x14ac:dyDescent="0.25">
      <c r="A35" s="218"/>
      <c r="B35" s="245">
        <v>221</v>
      </c>
      <c r="C35" s="200" t="s">
        <v>447</v>
      </c>
      <c r="D35" s="401"/>
      <c r="E35" s="319"/>
    </row>
    <row r="36" spans="1:5" ht="15.75" thickBot="1" x14ac:dyDescent="0.3">
      <c r="A36" s="219"/>
      <c r="B36" s="241">
        <v>222</v>
      </c>
      <c r="C36" s="209" t="s">
        <v>445</v>
      </c>
      <c r="D36" s="404"/>
      <c r="E36" s="319"/>
    </row>
    <row r="37" spans="1:5" x14ac:dyDescent="0.25">
      <c r="A37" s="221" t="s">
        <v>448</v>
      </c>
      <c r="B37" s="243">
        <v>230</v>
      </c>
      <c r="C37" s="198" t="s">
        <v>418</v>
      </c>
      <c r="D37" s="400"/>
      <c r="E37" s="319"/>
    </row>
    <row r="38" spans="1:5" x14ac:dyDescent="0.25">
      <c r="A38" s="218"/>
      <c r="B38" s="245">
        <v>231</v>
      </c>
      <c r="C38" s="200" t="s">
        <v>445</v>
      </c>
      <c r="D38" s="401" t="s">
        <v>664</v>
      </c>
      <c r="E38" s="319"/>
    </row>
    <row r="39" spans="1:5" x14ac:dyDescent="0.25">
      <c r="A39" s="219"/>
      <c r="B39" s="236">
        <v>232</v>
      </c>
      <c r="C39" s="209" t="s">
        <v>449</v>
      </c>
      <c r="D39" s="404"/>
      <c r="E39" s="319"/>
    </row>
    <row r="40" spans="1:5" ht="15.75" thickBot="1" x14ac:dyDescent="0.3">
      <c r="A40" s="237"/>
      <c r="B40" s="238">
        <v>233</v>
      </c>
      <c r="C40" s="201" t="s">
        <v>450</v>
      </c>
      <c r="D40" s="402"/>
      <c r="E40" s="319"/>
    </row>
    <row r="41" spans="1:5" x14ac:dyDescent="0.25">
      <c r="A41" s="220" t="s">
        <v>451</v>
      </c>
      <c r="B41" s="240">
        <v>310</v>
      </c>
      <c r="C41" s="199" t="s">
        <v>418</v>
      </c>
      <c r="D41" s="403"/>
      <c r="E41" s="319"/>
    </row>
    <row r="42" spans="1:5" x14ac:dyDescent="0.25">
      <c r="A42" s="220"/>
      <c r="B42" s="236">
        <v>311</v>
      </c>
      <c r="C42" s="199" t="s">
        <v>452</v>
      </c>
      <c r="D42" s="403"/>
      <c r="E42" s="319"/>
    </row>
    <row r="43" spans="1:5" x14ac:dyDescent="0.25">
      <c r="A43" s="218"/>
      <c r="B43" s="236">
        <v>312</v>
      </c>
      <c r="C43" s="200" t="s">
        <v>453</v>
      </c>
      <c r="D43" s="401"/>
      <c r="E43" s="319"/>
    </row>
    <row r="44" spans="1:5" x14ac:dyDescent="0.25">
      <c r="A44" s="218"/>
      <c r="B44" s="236">
        <v>313</v>
      </c>
      <c r="C44" s="200" t="s">
        <v>454</v>
      </c>
      <c r="D44" s="401"/>
      <c r="E44" s="319"/>
    </row>
    <row r="45" spans="1:5" x14ac:dyDescent="0.25">
      <c r="A45" s="218"/>
      <c r="B45" s="236">
        <v>314</v>
      </c>
      <c r="C45" s="200" t="s">
        <v>455</v>
      </c>
      <c r="D45" s="401"/>
      <c r="E45" s="319"/>
    </row>
    <row r="46" spans="1:5" ht="15.75" thickBot="1" x14ac:dyDescent="0.3">
      <c r="A46" s="219"/>
      <c r="B46" s="241">
        <v>315</v>
      </c>
      <c r="C46" s="209" t="s">
        <v>456</v>
      </c>
      <c r="D46" s="404"/>
      <c r="E46" s="319"/>
    </row>
    <row r="47" spans="1:5" x14ac:dyDescent="0.25">
      <c r="A47" s="221" t="s">
        <v>457</v>
      </c>
      <c r="B47" s="243">
        <v>320</v>
      </c>
      <c r="C47" s="198" t="s">
        <v>458</v>
      </c>
      <c r="D47" s="400"/>
      <c r="E47" s="319"/>
    </row>
    <row r="48" spans="1:5" x14ac:dyDescent="0.25">
      <c r="A48" s="218"/>
      <c r="B48" s="236">
        <v>321</v>
      </c>
      <c r="C48" s="200" t="s">
        <v>427</v>
      </c>
      <c r="D48" s="401"/>
      <c r="E48" s="319"/>
    </row>
    <row r="49" spans="1:5" ht="15.75" thickBot="1" x14ac:dyDescent="0.3">
      <c r="A49" s="237"/>
      <c r="B49" s="238">
        <v>322</v>
      </c>
      <c r="C49" s="201" t="s">
        <v>459</v>
      </c>
      <c r="D49" s="402"/>
      <c r="E49" s="319"/>
    </row>
    <row r="50" spans="1:5" x14ac:dyDescent="0.25">
      <c r="A50" s="220" t="s">
        <v>460</v>
      </c>
      <c r="B50" s="240">
        <v>330</v>
      </c>
      <c r="C50" s="199" t="s">
        <v>418</v>
      </c>
      <c r="D50" s="403" t="s">
        <v>665</v>
      </c>
      <c r="E50" s="319"/>
    </row>
    <row r="51" spans="1:5" ht="15.75" thickBot="1" x14ac:dyDescent="0.3">
      <c r="A51" s="219"/>
      <c r="B51" s="241">
        <v>331</v>
      </c>
      <c r="C51" s="209" t="s">
        <v>461</v>
      </c>
      <c r="D51" s="404" t="s">
        <v>666</v>
      </c>
      <c r="E51" s="319"/>
    </row>
    <row r="52" spans="1:5" x14ac:dyDescent="0.25">
      <c r="A52" s="242" t="s">
        <v>462</v>
      </c>
      <c r="B52" s="243">
        <v>340</v>
      </c>
      <c r="C52" s="210" t="s">
        <v>418</v>
      </c>
      <c r="D52" s="393"/>
      <c r="E52" s="318"/>
    </row>
    <row r="53" spans="1:5" x14ac:dyDescent="0.25">
      <c r="A53" s="246"/>
      <c r="B53" s="247">
        <v>341</v>
      </c>
      <c r="C53" s="199" t="s">
        <v>458</v>
      </c>
      <c r="D53" s="403"/>
      <c r="E53" s="319"/>
    </row>
    <row r="54" spans="1:5" ht="15.75" thickBot="1" x14ac:dyDescent="0.3">
      <c r="A54" s="244"/>
      <c r="B54" s="238">
        <v>342</v>
      </c>
      <c r="C54" s="211" t="s">
        <v>459</v>
      </c>
      <c r="D54" s="405"/>
      <c r="E54" s="320">
        <f>COUNTIF(D2:D54,"&lt;&gt;")</f>
        <v>7</v>
      </c>
    </row>
    <row r="55" spans="1:5" x14ac:dyDescent="0.25">
      <c r="A55" s="220" t="s">
        <v>463</v>
      </c>
      <c r="B55" s="240">
        <v>410</v>
      </c>
      <c r="C55" s="199" t="s">
        <v>452</v>
      </c>
      <c r="D55" s="403"/>
      <c r="E55" s="319"/>
    </row>
    <row r="56" spans="1:5" x14ac:dyDescent="0.25">
      <c r="A56" s="218"/>
      <c r="B56" s="222">
        <v>411</v>
      </c>
      <c r="C56" s="200" t="s">
        <v>418</v>
      </c>
      <c r="D56" s="401"/>
      <c r="E56" s="319"/>
    </row>
    <row r="57" spans="1:5" x14ac:dyDescent="0.25">
      <c r="A57" s="218"/>
      <c r="B57" s="248">
        <v>412</v>
      </c>
      <c r="C57" s="200" t="s">
        <v>464</v>
      </c>
      <c r="D57" s="401"/>
      <c r="E57" s="319"/>
    </row>
    <row r="58" spans="1:5" x14ac:dyDescent="0.25">
      <c r="A58" s="218"/>
      <c r="B58" s="222">
        <v>413</v>
      </c>
      <c r="C58" s="200" t="s">
        <v>465</v>
      </c>
      <c r="D58" s="401"/>
      <c r="E58" s="319"/>
    </row>
    <row r="59" spans="1:5" x14ac:dyDescent="0.25">
      <c r="A59" s="218"/>
      <c r="B59" s="248">
        <v>414</v>
      </c>
      <c r="C59" s="200" t="s">
        <v>466</v>
      </c>
      <c r="D59" s="401" t="s">
        <v>667</v>
      </c>
      <c r="E59" s="319"/>
    </row>
    <row r="60" spans="1:5" x14ac:dyDescent="0.25">
      <c r="A60" s="218"/>
      <c r="B60" s="222">
        <v>415</v>
      </c>
      <c r="C60" s="200" t="s">
        <v>467</v>
      </c>
      <c r="D60" s="401"/>
      <c r="E60" s="319"/>
    </row>
    <row r="61" spans="1:5" ht="15.75" thickBot="1" x14ac:dyDescent="0.3">
      <c r="A61" s="219"/>
      <c r="B61" s="249">
        <v>416</v>
      </c>
      <c r="C61" s="209" t="s">
        <v>468</v>
      </c>
      <c r="D61" s="404"/>
      <c r="E61" s="319"/>
    </row>
    <row r="62" spans="1:5" x14ac:dyDescent="0.25">
      <c r="A62" s="221" t="s">
        <v>469</v>
      </c>
      <c r="B62" s="243">
        <v>420</v>
      </c>
      <c r="C62" s="198" t="s">
        <v>452</v>
      </c>
      <c r="D62" s="400"/>
      <c r="E62" s="319"/>
    </row>
    <row r="63" spans="1:5" x14ac:dyDescent="0.25">
      <c r="A63" s="218"/>
      <c r="B63" s="222">
        <v>421</v>
      </c>
      <c r="C63" s="200" t="s">
        <v>418</v>
      </c>
      <c r="D63" s="401"/>
      <c r="E63" s="319"/>
    </row>
    <row r="64" spans="1:5" x14ac:dyDescent="0.25">
      <c r="A64" s="218"/>
      <c r="B64" s="248">
        <v>422</v>
      </c>
      <c r="C64" s="212" t="s">
        <v>470</v>
      </c>
      <c r="D64" s="406"/>
      <c r="E64" s="321"/>
    </row>
    <row r="65" spans="1:5" ht="15.75" thickBot="1" x14ac:dyDescent="0.3">
      <c r="A65" s="237"/>
      <c r="B65" s="223">
        <v>423</v>
      </c>
      <c r="C65" s="213" t="s">
        <v>458</v>
      </c>
      <c r="D65" s="407"/>
      <c r="E65" s="321"/>
    </row>
    <row r="66" spans="1:5" x14ac:dyDescent="0.25">
      <c r="A66" s="220" t="s">
        <v>471</v>
      </c>
      <c r="B66" s="240">
        <v>430</v>
      </c>
      <c r="C66" s="199" t="s">
        <v>452</v>
      </c>
      <c r="D66" s="403"/>
      <c r="E66" s="319"/>
    </row>
    <row r="67" spans="1:5" x14ac:dyDescent="0.25">
      <c r="A67" s="218"/>
      <c r="B67" s="222">
        <v>431</v>
      </c>
      <c r="C67" s="200" t="s">
        <v>418</v>
      </c>
      <c r="D67" s="401"/>
      <c r="E67" s="319"/>
    </row>
    <row r="68" spans="1:5" x14ac:dyDescent="0.25">
      <c r="A68" s="218"/>
      <c r="B68" s="222">
        <v>432</v>
      </c>
      <c r="C68" s="200" t="s">
        <v>472</v>
      </c>
      <c r="D68" s="401"/>
      <c r="E68" s="319"/>
    </row>
    <row r="69" spans="1:5" ht="15.75" thickBot="1" x14ac:dyDescent="0.3">
      <c r="A69" s="219"/>
      <c r="B69" s="249">
        <v>433</v>
      </c>
      <c r="C69" s="209" t="s">
        <v>473</v>
      </c>
      <c r="D69" s="404"/>
      <c r="E69" s="319"/>
    </row>
    <row r="70" spans="1:5" x14ac:dyDescent="0.25">
      <c r="A70" s="221" t="s">
        <v>448</v>
      </c>
      <c r="B70" s="243">
        <v>510</v>
      </c>
      <c r="C70" s="198" t="s">
        <v>452</v>
      </c>
      <c r="D70" s="400"/>
      <c r="E70" s="319"/>
    </row>
    <row r="71" spans="1:5" x14ac:dyDescent="0.25">
      <c r="A71" s="218"/>
      <c r="B71" s="236">
        <v>511</v>
      </c>
      <c r="C71" s="200" t="s">
        <v>418</v>
      </c>
      <c r="D71" s="401"/>
      <c r="E71" s="319"/>
    </row>
    <row r="72" spans="1:5" x14ac:dyDescent="0.25">
      <c r="A72" s="218"/>
      <c r="B72" s="236">
        <v>512</v>
      </c>
      <c r="C72" s="200" t="s">
        <v>474</v>
      </c>
      <c r="D72" s="401" t="s">
        <v>668</v>
      </c>
      <c r="E72" s="319"/>
    </row>
    <row r="73" spans="1:5" x14ac:dyDescent="0.25">
      <c r="A73" s="218"/>
      <c r="B73" s="236">
        <v>513</v>
      </c>
      <c r="C73" s="200" t="s">
        <v>475</v>
      </c>
      <c r="D73" s="401"/>
      <c r="E73" s="319"/>
    </row>
    <row r="74" spans="1:5" x14ac:dyDescent="0.25">
      <c r="A74" s="218"/>
      <c r="B74" s="236">
        <v>514</v>
      </c>
      <c r="C74" s="200" t="s">
        <v>476</v>
      </c>
      <c r="D74" s="401"/>
      <c r="E74" s="319"/>
    </row>
    <row r="75" spans="1:5" x14ac:dyDescent="0.25">
      <c r="A75" s="218"/>
      <c r="B75" s="236">
        <v>515</v>
      </c>
      <c r="C75" s="200" t="s">
        <v>465</v>
      </c>
      <c r="D75" s="401" t="s">
        <v>669</v>
      </c>
      <c r="E75" s="319"/>
    </row>
    <row r="76" spans="1:5" x14ac:dyDescent="0.25">
      <c r="A76" s="218"/>
      <c r="B76" s="236">
        <v>516</v>
      </c>
      <c r="C76" s="200" t="s">
        <v>449</v>
      </c>
      <c r="D76" s="401"/>
      <c r="E76" s="319"/>
    </row>
    <row r="77" spans="1:5" ht="15.75" thickBot="1" x14ac:dyDescent="0.3">
      <c r="A77" s="224"/>
      <c r="B77" s="241">
        <v>517</v>
      </c>
      <c r="C77" s="209" t="s">
        <v>477</v>
      </c>
      <c r="D77" s="404"/>
      <c r="E77" s="319"/>
    </row>
    <row r="78" spans="1:5" x14ac:dyDescent="0.25">
      <c r="A78" s="221" t="s">
        <v>478</v>
      </c>
      <c r="B78" s="243">
        <v>610</v>
      </c>
      <c r="C78" s="198" t="s">
        <v>452</v>
      </c>
      <c r="D78" s="400"/>
      <c r="E78" s="319"/>
    </row>
    <row r="79" spans="1:5" x14ac:dyDescent="0.25">
      <c r="A79" s="218"/>
      <c r="B79" s="236">
        <v>611</v>
      </c>
      <c r="C79" s="200" t="s">
        <v>418</v>
      </c>
      <c r="D79" s="401" t="s">
        <v>670</v>
      </c>
      <c r="E79" s="319"/>
    </row>
    <row r="80" spans="1:5" ht="15.75" thickBot="1" x14ac:dyDescent="0.3">
      <c r="A80" s="237"/>
      <c r="B80" s="238">
        <v>612</v>
      </c>
      <c r="C80" s="201" t="s">
        <v>479</v>
      </c>
      <c r="D80" s="402"/>
      <c r="E80" s="319"/>
    </row>
    <row r="81" spans="1:5" x14ac:dyDescent="0.25">
      <c r="A81" s="220" t="s">
        <v>480</v>
      </c>
      <c r="B81" s="240">
        <v>620</v>
      </c>
      <c r="C81" s="199" t="s">
        <v>452</v>
      </c>
      <c r="D81" s="403"/>
      <c r="E81" s="319"/>
    </row>
    <row r="82" spans="1:5" x14ac:dyDescent="0.25">
      <c r="A82" s="218"/>
      <c r="B82" s="236">
        <v>621</v>
      </c>
      <c r="C82" s="200" t="s">
        <v>418</v>
      </c>
      <c r="D82" s="401" t="s">
        <v>671</v>
      </c>
      <c r="E82" s="319"/>
    </row>
    <row r="83" spans="1:5" x14ac:dyDescent="0.25">
      <c r="A83" s="218"/>
      <c r="B83" s="236">
        <v>622</v>
      </c>
      <c r="C83" s="200" t="s">
        <v>481</v>
      </c>
      <c r="D83" s="401" t="s">
        <v>672</v>
      </c>
      <c r="E83" s="319"/>
    </row>
    <row r="84" spans="1:5" x14ac:dyDescent="0.25">
      <c r="A84" s="218"/>
      <c r="B84" s="236">
        <v>623</v>
      </c>
      <c r="C84" s="200" t="s">
        <v>482</v>
      </c>
      <c r="D84" s="401"/>
      <c r="E84" s="319"/>
    </row>
    <row r="85" spans="1:5" x14ac:dyDescent="0.25">
      <c r="A85" s="218"/>
      <c r="B85" s="236">
        <v>624</v>
      </c>
      <c r="C85" s="200" t="s">
        <v>483</v>
      </c>
      <c r="D85" s="401" t="s">
        <v>673</v>
      </c>
      <c r="E85" s="319"/>
    </row>
    <row r="86" spans="1:5" ht="15.75" thickBot="1" x14ac:dyDescent="0.3">
      <c r="A86" s="219"/>
      <c r="B86" s="241">
        <v>625</v>
      </c>
      <c r="C86" s="209" t="s">
        <v>476</v>
      </c>
      <c r="D86" s="404" t="s">
        <v>674</v>
      </c>
      <c r="E86" s="319"/>
    </row>
    <row r="87" spans="1:5" x14ac:dyDescent="0.25">
      <c r="A87" s="221" t="s">
        <v>484</v>
      </c>
      <c r="B87" s="243">
        <v>630</v>
      </c>
      <c r="C87" s="198" t="s">
        <v>452</v>
      </c>
      <c r="D87" s="400"/>
      <c r="E87" s="319"/>
    </row>
    <row r="88" spans="1:5" x14ac:dyDescent="0.25">
      <c r="A88" s="218"/>
      <c r="B88" s="236">
        <v>631</v>
      </c>
      <c r="C88" s="200" t="s">
        <v>418</v>
      </c>
      <c r="D88" s="401"/>
      <c r="E88" s="319"/>
    </row>
    <row r="89" spans="1:5" x14ac:dyDescent="0.25">
      <c r="A89" s="218"/>
      <c r="B89" s="236">
        <v>632</v>
      </c>
      <c r="C89" s="200" t="s">
        <v>485</v>
      </c>
      <c r="D89" s="401"/>
      <c r="E89" s="319"/>
    </row>
    <row r="90" spans="1:5" ht="15.75" thickBot="1" x14ac:dyDescent="0.3">
      <c r="A90" s="237"/>
      <c r="B90" s="238">
        <v>633</v>
      </c>
      <c r="C90" s="201" t="s">
        <v>483</v>
      </c>
      <c r="D90" s="402"/>
      <c r="E90" s="319"/>
    </row>
    <row r="91" spans="1:5" x14ac:dyDescent="0.25">
      <c r="A91" s="220" t="s">
        <v>434</v>
      </c>
      <c r="B91" s="240">
        <v>640</v>
      </c>
      <c r="C91" s="199" t="s">
        <v>486</v>
      </c>
      <c r="D91" s="403"/>
      <c r="E91" s="319"/>
    </row>
    <row r="92" spans="1:5" x14ac:dyDescent="0.25">
      <c r="A92" s="218"/>
      <c r="B92" s="236">
        <v>641</v>
      </c>
      <c r="C92" s="200" t="s">
        <v>487</v>
      </c>
      <c r="D92" s="401"/>
      <c r="E92" s="319"/>
    </row>
    <row r="93" spans="1:5" x14ac:dyDescent="0.25">
      <c r="A93" s="218"/>
      <c r="B93" s="236">
        <v>642</v>
      </c>
      <c r="C93" s="200" t="s">
        <v>488</v>
      </c>
      <c r="D93" s="401"/>
      <c r="E93" s="319"/>
    </row>
    <row r="94" spans="1:5" ht="15.75" thickBot="1" x14ac:dyDescent="0.3">
      <c r="A94" s="219"/>
      <c r="B94" s="241">
        <v>643</v>
      </c>
      <c r="C94" s="209" t="s">
        <v>489</v>
      </c>
      <c r="D94" s="404"/>
      <c r="E94" s="319"/>
    </row>
    <row r="95" spans="1:5" x14ac:dyDescent="0.25">
      <c r="A95" s="221" t="s">
        <v>478</v>
      </c>
      <c r="B95" s="243">
        <v>710</v>
      </c>
      <c r="C95" s="198" t="s">
        <v>417</v>
      </c>
      <c r="D95" s="400"/>
      <c r="E95" s="319"/>
    </row>
    <row r="96" spans="1:5" x14ac:dyDescent="0.25">
      <c r="A96" s="218"/>
      <c r="B96" s="236">
        <v>711</v>
      </c>
      <c r="C96" s="200" t="s">
        <v>418</v>
      </c>
      <c r="D96" s="401" t="s">
        <v>675</v>
      </c>
      <c r="E96" s="319"/>
    </row>
    <row r="97" spans="1:5" x14ac:dyDescent="0.25">
      <c r="A97" s="219"/>
      <c r="B97" s="236">
        <v>712</v>
      </c>
      <c r="C97" s="209" t="s">
        <v>490</v>
      </c>
      <c r="D97" s="404"/>
      <c r="E97" s="319"/>
    </row>
    <row r="98" spans="1:5" ht="15.75" thickBot="1" x14ac:dyDescent="0.3">
      <c r="A98" s="237"/>
      <c r="B98" s="238">
        <v>713</v>
      </c>
      <c r="C98" s="201" t="s">
        <v>479</v>
      </c>
      <c r="D98" s="402"/>
      <c r="E98" s="319"/>
    </row>
    <row r="99" spans="1:5" x14ac:dyDescent="0.25">
      <c r="A99" s="220" t="s">
        <v>480</v>
      </c>
      <c r="B99" s="240">
        <v>720</v>
      </c>
      <c r="C99" s="199" t="s">
        <v>417</v>
      </c>
      <c r="D99" s="403"/>
      <c r="E99" s="319"/>
    </row>
    <row r="100" spans="1:5" x14ac:dyDescent="0.25">
      <c r="A100" s="218"/>
      <c r="B100" s="236">
        <v>721</v>
      </c>
      <c r="C100" s="200" t="s">
        <v>418</v>
      </c>
      <c r="D100" s="401"/>
      <c r="E100" s="319"/>
    </row>
    <row r="101" spans="1:5" x14ac:dyDescent="0.25">
      <c r="A101" s="218"/>
      <c r="B101" s="240">
        <v>722</v>
      </c>
      <c r="C101" s="200" t="s">
        <v>491</v>
      </c>
      <c r="D101" s="401"/>
      <c r="E101" s="319"/>
    </row>
    <row r="102" spans="1:5" x14ac:dyDescent="0.25">
      <c r="A102" s="218"/>
      <c r="B102" s="240">
        <v>723</v>
      </c>
      <c r="C102" s="214" t="s">
        <v>492</v>
      </c>
      <c r="D102" s="408"/>
      <c r="E102" s="319"/>
    </row>
    <row r="103" spans="1:5" x14ac:dyDescent="0.25">
      <c r="A103" s="218"/>
      <c r="B103" s="236">
        <v>724</v>
      </c>
      <c r="C103" s="214" t="s">
        <v>339</v>
      </c>
      <c r="D103" s="408"/>
      <c r="E103" s="319"/>
    </row>
    <row r="104" spans="1:5" x14ac:dyDescent="0.25">
      <c r="A104" s="218"/>
      <c r="B104" s="240">
        <v>725</v>
      </c>
      <c r="C104" s="214" t="s">
        <v>493</v>
      </c>
      <c r="D104" s="408"/>
      <c r="E104" s="319"/>
    </row>
    <row r="105" spans="1:5" ht="15.75" thickBot="1" x14ac:dyDescent="0.3">
      <c r="A105" s="219"/>
      <c r="B105" s="236">
        <v>726</v>
      </c>
      <c r="C105" s="209" t="s">
        <v>476</v>
      </c>
      <c r="D105" s="404" t="s">
        <v>676</v>
      </c>
      <c r="E105" s="319"/>
    </row>
    <row r="106" spans="1:5" x14ac:dyDescent="0.25">
      <c r="A106" s="221" t="s">
        <v>484</v>
      </c>
      <c r="B106" s="243">
        <v>730</v>
      </c>
      <c r="C106" s="198" t="s">
        <v>417</v>
      </c>
      <c r="D106" s="400"/>
      <c r="E106" s="319"/>
    </row>
    <row r="107" spans="1:5" x14ac:dyDescent="0.25">
      <c r="A107" s="218"/>
      <c r="B107" s="236">
        <v>731</v>
      </c>
      <c r="C107" s="214" t="s">
        <v>418</v>
      </c>
      <c r="D107" s="408"/>
      <c r="E107" s="319"/>
    </row>
    <row r="108" spans="1:5" x14ac:dyDescent="0.25">
      <c r="A108" s="225"/>
      <c r="B108" s="236">
        <v>732</v>
      </c>
      <c r="C108" s="214" t="s">
        <v>485</v>
      </c>
      <c r="D108" s="408"/>
      <c r="E108" s="319"/>
    </row>
    <row r="109" spans="1:5" ht="15.75" thickBot="1" x14ac:dyDescent="0.3">
      <c r="A109" s="226"/>
      <c r="B109" s="238">
        <v>733</v>
      </c>
      <c r="C109" s="201" t="s">
        <v>483</v>
      </c>
      <c r="D109" s="402"/>
      <c r="E109" s="319"/>
    </row>
    <row r="110" spans="1:5" x14ac:dyDescent="0.25">
      <c r="A110" s="224" t="s">
        <v>434</v>
      </c>
      <c r="B110" s="240">
        <v>740</v>
      </c>
      <c r="C110" s="199" t="s">
        <v>486</v>
      </c>
      <c r="D110" s="403"/>
      <c r="E110" s="319"/>
    </row>
    <row r="111" spans="1:5" ht="15.75" thickBot="1" x14ac:dyDescent="0.3">
      <c r="A111" s="227"/>
      <c r="B111" s="240">
        <v>741</v>
      </c>
      <c r="C111" s="211" t="s">
        <v>494</v>
      </c>
      <c r="D111" s="405"/>
      <c r="E111" s="320">
        <f>COUNTIF(D55:D111, "&lt;&gt;")</f>
        <v>10</v>
      </c>
    </row>
    <row r="112" spans="1:5" x14ac:dyDescent="0.25">
      <c r="A112" s="228" t="s">
        <v>495</v>
      </c>
      <c r="B112" s="229">
        <v>810</v>
      </c>
      <c r="C112" s="198" t="s">
        <v>417</v>
      </c>
      <c r="D112" s="400"/>
      <c r="E112" s="319"/>
    </row>
    <row r="113" spans="1:5" x14ac:dyDescent="0.25">
      <c r="A113" s="246"/>
      <c r="B113" s="248">
        <v>811</v>
      </c>
      <c r="C113" s="200" t="s">
        <v>418</v>
      </c>
      <c r="D113" s="401"/>
      <c r="E113" s="319"/>
    </row>
    <row r="114" spans="1:5" x14ac:dyDescent="0.25">
      <c r="A114" s="246"/>
      <c r="B114" s="222">
        <v>812</v>
      </c>
      <c r="C114" s="200" t="s">
        <v>496</v>
      </c>
      <c r="D114" s="401"/>
      <c r="E114" s="319"/>
    </row>
    <row r="115" spans="1:5" x14ac:dyDescent="0.25">
      <c r="A115" s="246"/>
      <c r="B115" s="248">
        <v>813</v>
      </c>
      <c r="C115" s="200" t="s">
        <v>476</v>
      </c>
      <c r="D115" s="401"/>
      <c r="E115" s="319"/>
    </row>
    <row r="116" spans="1:5" x14ac:dyDescent="0.25">
      <c r="A116" s="246"/>
      <c r="B116" s="222">
        <v>814</v>
      </c>
      <c r="C116" s="200" t="s">
        <v>444</v>
      </c>
      <c r="D116" s="401"/>
      <c r="E116" s="319"/>
    </row>
    <row r="117" spans="1:5" ht="15.75" thickBot="1" x14ac:dyDescent="0.3">
      <c r="A117" s="250"/>
      <c r="B117" s="248">
        <v>815</v>
      </c>
      <c r="C117" s="201" t="s">
        <v>497</v>
      </c>
      <c r="D117" s="402"/>
      <c r="E117" s="319"/>
    </row>
    <row r="118" spans="1:5" x14ac:dyDescent="0.25">
      <c r="A118" s="228" t="s">
        <v>434</v>
      </c>
      <c r="B118" s="243">
        <v>820</v>
      </c>
      <c r="C118" s="198" t="s">
        <v>488</v>
      </c>
      <c r="D118" s="400"/>
      <c r="E118" s="319"/>
    </row>
    <row r="119" spans="1:5" x14ac:dyDescent="0.25">
      <c r="A119" s="246"/>
      <c r="B119" s="236">
        <v>821</v>
      </c>
      <c r="C119" s="200" t="s">
        <v>498</v>
      </c>
      <c r="D119" s="401"/>
      <c r="E119" s="319"/>
    </row>
    <row r="120" spans="1:5" x14ac:dyDescent="0.25">
      <c r="A120" s="246"/>
      <c r="B120" s="236">
        <v>822</v>
      </c>
      <c r="C120" s="200" t="s">
        <v>489</v>
      </c>
      <c r="D120" s="401"/>
      <c r="E120" s="319"/>
    </row>
    <row r="121" spans="1:5" x14ac:dyDescent="0.25">
      <c r="A121" s="246"/>
      <c r="B121" s="236">
        <v>823</v>
      </c>
      <c r="C121" s="200" t="s">
        <v>499</v>
      </c>
      <c r="D121" s="401"/>
      <c r="E121" s="319"/>
    </row>
    <row r="122" spans="1:5" ht="15.75" thickBot="1" x14ac:dyDescent="0.3">
      <c r="A122" s="230"/>
      <c r="B122" s="240">
        <v>824</v>
      </c>
      <c r="C122" s="211" t="s">
        <v>500</v>
      </c>
      <c r="D122" s="405"/>
      <c r="E122" s="319"/>
    </row>
    <row r="123" spans="1:5" x14ac:dyDescent="0.25">
      <c r="A123" s="228" t="s">
        <v>501</v>
      </c>
      <c r="B123" s="243">
        <v>910</v>
      </c>
      <c r="C123" s="198" t="s">
        <v>452</v>
      </c>
      <c r="D123" s="400"/>
      <c r="E123" s="319"/>
    </row>
    <row r="124" spans="1:5" x14ac:dyDescent="0.25">
      <c r="A124" s="246"/>
      <c r="B124" s="241">
        <v>911</v>
      </c>
      <c r="C124" s="200" t="s">
        <v>502</v>
      </c>
      <c r="D124" s="401"/>
      <c r="E124" s="319"/>
    </row>
    <row r="125" spans="1:5" x14ac:dyDescent="0.25">
      <c r="A125" s="246"/>
      <c r="B125" s="236">
        <v>912</v>
      </c>
      <c r="C125" s="200" t="s">
        <v>503</v>
      </c>
      <c r="D125" s="401"/>
      <c r="E125" s="319"/>
    </row>
    <row r="126" spans="1:5" x14ac:dyDescent="0.25">
      <c r="A126" s="246"/>
      <c r="B126" s="236">
        <v>913</v>
      </c>
      <c r="C126" s="200" t="s">
        <v>504</v>
      </c>
      <c r="D126" s="401"/>
      <c r="E126" s="319"/>
    </row>
    <row r="127" spans="1:5" x14ac:dyDescent="0.25">
      <c r="A127" s="246"/>
      <c r="B127" s="240">
        <v>914</v>
      </c>
      <c r="C127" s="200" t="s">
        <v>505</v>
      </c>
      <c r="D127" s="401"/>
      <c r="E127" s="319"/>
    </row>
    <row r="128" spans="1:5" ht="15.75" thickBot="1" x14ac:dyDescent="0.3">
      <c r="A128" s="246"/>
      <c r="B128" s="241">
        <v>915</v>
      </c>
      <c r="C128" s="200" t="s">
        <v>506</v>
      </c>
      <c r="D128" s="401"/>
      <c r="E128" s="319"/>
    </row>
    <row r="129" spans="1:5" x14ac:dyDescent="0.25">
      <c r="A129" s="228" t="s">
        <v>507</v>
      </c>
      <c r="B129" s="243">
        <v>920</v>
      </c>
      <c r="C129" s="198" t="s">
        <v>502</v>
      </c>
      <c r="D129" s="400"/>
      <c r="E129" s="319"/>
    </row>
    <row r="130" spans="1:5" x14ac:dyDescent="0.25">
      <c r="A130" s="246"/>
      <c r="B130" s="241">
        <v>921</v>
      </c>
      <c r="C130" s="200" t="s">
        <v>505</v>
      </c>
      <c r="D130" s="401"/>
      <c r="E130" s="319"/>
    </row>
    <row r="131" spans="1:5" x14ac:dyDescent="0.25">
      <c r="A131" s="246"/>
      <c r="B131" s="236">
        <v>922</v>
      </c>
      <c r="C131" s="200" t="s">
        <v>506</v>
      </c>
      <c r="D131" s="401"/>
      <c r="E131" s="319"/>
    </row>
    <row r="132" spans="1:5" x14ac:dyDescent="0.25">
      <c r="A132" s="246"/>
      <c r="B132" s="236">
        <v>923</v>
      </c>
      <c r="C132" s="200" t="s">
        <v>508</v>
      </c>
      <c r="D132" s="401"/>
      <c r="E132" s="319"/>
    </row>
    <row r="133" spans="1:5" x14ac:dyDescent="0.25">
      <c r="A133" s="246"/>
      <c r="B133" s="236">
        <v>924</v>
      </c>
      <c r="C133" s="200" t="s">
        <v>509</v>
      </c>
      <c r="D133" s="401"/>
      <c r="E133" s="319"/>
    </row>
    <row r="134" spans="1:5" ht="15.75" thickBot="1" x14ac:dyDescent="0.3">
      <c r="A134" s="250"/>
      <c r="B134" s="236">
        <v>925</v>
      </c>
      <c r="C134" s="201" t="s">
        <v>510</v>
      </c>
      <c r="D134" s="402"/>
      <c r="E134" s="319"/>
    </row>
    <row r="135" spans="1:5" x14ac:dyDescent="0.25">
      <c r="A135" s="228" t="s">
        <v>511</v>
      </c>
      <c r="B135" s="243">
        <v>930</v>
      </c>
      <c r="C135" s="198" t="s">
        <v>502</v>
      </c>
      <c r="D135" s="400"/>
      <c r="E135" s="319"/>
    </row>
    <row r="136" spans="1:5" x14ac:dyDescent="0.25">
      <c r="A136" s="246"/>
      <c r="B136" s="236">
        <v>931</v>
      </c>
      <c r="C136" s="200" t="s">
        <v>476</v>
      </c>
      <c r="D136" s="401"/>
      <c r="E136" s="319"/>
    </row>
    <row r="137" spans="1:5" ht="15.75" thickBot="1" x14ac:dyDescent="0.3">
      <c r="A137" s="246"/>
      <c r="B137" s="236">
        <v>932</v>
      </c>
      <c r="C137" s="200" t="s">
        <v>508</v>
      </c>
      <c r="D137" s="401"/>
      <c r="E137" s="319"/>
    </row>
    <row r="138" spans="1:5" x14ac:dyDescent="0.25">
      <c r="A138" s="231" t="s">
        <v>512</v>
      </c>
      <c r="B138" s="235">
        <v>940</v>
      </c>
      <c r="C138" s="215" t="s">
        <v>513</v>
      </c>
      <c r="D138" s="409"/>
      <c r="E138" s="319"/>
    </row>
    <row r="139" spans="1:5" x14ac:dyDescent="0.25">
      <c r="A139" s="232"/>
      <c r="B139" s="236">
        <v>941</v>
      </c>
      <c r="C139" s="200" t="s">
        <v>514</v>
      </c>
      <c r="D139" s="401"/>
      <c r="E139" s="319"/>
    </row>
    <row r="140" spans="1:5" x14ac:dyDescent="0.25">
      <c r="A140" s="232"/>
      <c r="B140" s="236">
        <v>942</v>
      </c>
      <c r="C140" s="200" t="s">
        <v>515</v>
      </c>
      <c r="D140" s="401"/>
      <c r="E140" s="319"/>
    </row>
    <row r="141" spans="1:5" x14ac:dyDescent="0.25">
      <c r="A141" s="232"/>
      <c r="B141" s="236">
        <v>943</v>
      </c>
      <c r="C141" s="200" t="s">
        <v>516</v>
      </c>
      <c r="D141" s="401"/>
      <c r="E141" s="319"/>
    </row>
    <row r="142" spans="1:5" ht="15.75" thickBot="1" x14ac:dyDescent="0.3">
      <c r="A142" s="227"/>
      <c r="B142" s="238">
        <v>944</v>
      </c>
      <c r="C142" s="201" t="s">
        <v>517</v>
      </c>
      <c r="D142" s="402"/>
      <c r="E142" s="319"/>
    </row>
    <row r="143" spans="1:5" x14ac:dyDescent="0.25">
      <c r="A143" s="228" t="s">
        <v>434</v>
      </c>
      <c r="B143" s="243">
        <v>950</v>
      </c>
      <c r="C143" s="198" t="s">
        <v>518</v>
      </c>
      <c r="D143" s="400"/>
      <c r="E143" s="319"/>
    </row>
    <row r="144" spans="1:5" x14ac:dyDescent="0.25">
      <c r="A144" s="246"/>
      <c r="B144" s="236">
        <v>951</v>
      </c>
      <c r="C144" s="200" t="s">
        <v>519</v>
      </c>
      <c r="D144" s="401"/>
      <c r="E144" s="319"/>
    </row>
    <row r="145" spans="1:5" ht="15.75" thickBot="1" x14ac:dyDescent="0.3">
      <c r="A145" s="250"/>
      <c r="B145" s="238">
        <v>952</v>
      </c>
      <c r="C145" s="201" t="s">
        <v>520</v>
      </c>
      <c r="D145" s="402"/>
      <c r="E145" s="319"/>
    </row>
    <row r="146" spans="1:5" x14ac:dyDescent="0.25">
      <c r="A146" s="220" t="s">
        <v>521</v>
      </c>
      <c r="B146" s="251">
        <v>1010</v>
      </c>
      <c r="C146" s="216" t="s">
        <v>522</v>
      </c>
      <c r="D146" s="410"/>
      <c r="E146" s="319"/>
    </row>
    <row r="147" spans="1:5" x14ac:dyDescent="0.25">
      <c r="A147" s="218"/>
      <c r="B147" s="248">
        <v>1011</v>
      </c>
      <c r="C147" s="200" t="s">
        <v>523</v>
      </c>
      <c r="D147" s="401"/>
      <c r="E147" s="319"/>
    </row>
    <row r="148" spans="1:5" ht="15.75" thickBot="1" x14ac:dyDescent="0.3">
      <c r="A148" s="237"/>
      <c r="B148" s="252">
        <v>1012</v>
      </c>
      <c r="C148" s="211" t="s">
        <v>476</v>
      </c>
      <c r="D148" s="405"/>
      <c r="E148" s="319"/>
    </row>
    <row r="149" spans="1:5" x14ac:dyDescent="0.25">
      <c r="A149" s="233" t="s">
        <v>524</v>
      </c>
      <c r="B149" s="251">
        <v>1020</v>
      </c>
      <c r="C149" s="199" t="s">
        <v>522</v>
      </c>
      <c r="D149" s="403"/>
      <c r="E149" s="319"/>
    </row>
    <row r="150" spans="1:5" ht="15.75" thickBot="1" x14ac:dyDescent="0.3">
      <c r="A150" s="253"/>
      <c r="B150" s="254">
        <v>1021</v>
      </c>
      <c r="C150" s="209" t="s">
        <v>444</v>
      </c>
      <c r="D150" s="404"/>
      <c r="E150" s="319"/>
    </row>
    <row r="151" spans="1:5" x14ac:dyDescent="0.25">
      <c r="A151" s="228" t="s">
        <v>525</v>
      </c>
      <c r="B151" s="255">
        <v>1030</v>
      </c>
      <c r="C151" s="198" t="s">
        <v>526</v>
      </c>
      <c r="D151" s="400"/>
      <c r="E151" s="319"/>
    </row>
    <row r="152" spans="1:5" x14ac:dyDescent="0.25">
      <c r="A152" s="233"/>
      <c r="B152" s="254">
        <v>1031</v>
      </c>
      <c r="C152" s="199" t="s">
        <v>527</v>
      </c>
      <c r="D152" s="403"/>
      <c r="E152" s="319"/>
    </row>
    <row r="153" spans="1:5" x14ac:dyDescent="0.25">
      <c r="A153" s="246"/>
      <c r="B153" s="248">
        <v>1032</v>
      </c>
      <c r="C153" s="200" t="s">
        <v>528</v>
      </c>
      <c r="D153" s="401"/>
      <c r="E153" s="319"/>
    </row>
    <row r="154" spans="1:5" x14ac:dyDescent="0.25">
      <c r="A154" s="246"/>
      <c r="B154" s="248">
        <v>1033</v>
      </c>
      <c r="C154" s="200" t="s">
        <v>529</v>
      </c>
      <c r="D154" s="401"/>
      <c r="E154" s="319"/>
    </row>
    <row r="155" spans="1:5" x14ac:dyDescent="0.25">
      <c r="A155" s="246"/>
      <c r="B155" s="251">
        <v>1034</v>
      </c>
      <c r="C155" s="200" t="s">
        <v>530</v>
      </c>
      <c r="D155" s="401"/>
      <c r="E155" s="319"/>
    </row>
    <row r="156" spans="1:5" ht="15.75" thickBot="1" x14ac:dyDescent="0.3">
      <c r="A156" s="253"/>
      <c r="B156" s="251">
        <v>1035</v>
      </c>
      <c r="C156" s="209" t="s">
        <v>531</v>
      </c>
      <c r="D156" s="404"/>
      <c r="E156" s="319"/>
    </row>
    <row r="157" spans="1:5" x14ac:dyDescent="0.25">
      <c r="A157" s="256" t="s">
        <v>532</v>
      </c>
      <c r="B157" s="229">
        <v>1110</v>
      </c>
      <c r="C157" s="198" t="s">
        <v>444</v>
      </c>
      <c r="D157" s="400"/>
      <c r="E157" s="319"/>
    </row>
    <row r="158" spans="1:5" x14ac:dyDescent="0.25">
      <c r="A158" s="246"/>
      <c r="B158" s="236">
        <v>1111</v>
      </c>
      <c r="C158" s="200" t="s">
        <v>533</v>
      </c>
      <c r="D158" s="401"/>
      <c r="E158" s="319"/>
    </row>
    <row r="159" spans="1:5" x14ac:dyDescent="0.25">
      <c r="A159" s="246"/>
      <c r="B159" s="222">
        <v>1112</v>
      </c>
      <c r="C159" s="200" t="s">
        <v>534</v>
      </c>
      <c r="D159" s="401"/>
      <c r="E159" s="319"/>
    </row>
    <row r="160" spans="1:5" x14ac:dyDescent="0.25">
      <c r="A160" s="233"/>
      <c r="B160" s="240">
        <v>1113</v>
      </c>
      <c r="C160" s="199" t="s">
        <v>535</v>
      </c>
      <c r="D160" s="403"/>
      <c r="E160" s="319"/>
    </row>
    <row r="161" spans="1:5" ht="15.75" thickBot="1" x14ac:dyDescent="0.3">
      <c r="A161" s="250"/>
      <c r="B161" s="223">
        <v>1114</v>
      </c>
      <c r="C161" s="201" t="s">
        <v>536</v>
      </c>
      <c r="D161" s="402"/>
      <c r="E161" s="320">
        <f>COUNTIF(D112:D161, "&lt;&gt;")</f>
        <v>0</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31"/>
  <sheetViews>
    <sheetView zoomScaleNormal="100" workbookViewId="0">
      <selection activeCell="G12" sqref="G12"/>
    </sheetView>
  </sheetViews>
  <sheetFormatPr defaultRowHeight="12.75" x14ac:dyDescent="0.25"/>
  <cols>
    <col min="1" max="1" width="5.28515625" style="6" customWidth="1"/>
    <col min="2" max="2" width="15.7109375" style="6" customWidth="1"/>
    <col min="3" max="3" width="29.140625" style="6" customWidth="1"/>
    <col min="4" max="4" width="17.42578125" style="6" customWidth="1"/>
    <col min="5" max="5" width="16.42578125" style="6" customWidth="1"/>
    <col min="6" max="6" width="7.85546875" style="6" customWidth="1"/>
    <col min="7" max="7" width="24.140625" style="6" customWidth="1"/>
    <col min="8" max="9" width="7.85546875" style="6" customWidth="1"/>
    <col min="10" max="16384" width="9.140625" style="6"/>
  </cols>
  <sheetData>
    <row r="1" spans="1:8" ht="51" x14ac:dyDescent="0.25">
      <c r="A1" s="258" t="s">
        <v>0</v>
      </c>
      <c r="B1" s="258" t="s">
        <v>141</v>
      </c>
      <c r="C1" s="258" t="s">
        <v>142</v>
      </c>
      <c r="D1" s="258" t="s">
        <v>143</v>
      </c>
      <c r="E1" s="258" t="s">
        <v>144</v>
      </c>
    </row>
    <row r="2" spans="1:8" x14ac:dyDescent="0.25">
      <c r="A2" s="257">
        <v>1</v>
      </c>
      <c r="B2" s="411">
        <v>13</v>
      </c>
      <c r="C2" s="412">
        <v>7.9</v>
      </c>
      <c r="D2" s="262">
        <f>H2</f>
        <v>22.4</v>
      </c>
      <c r="E2" s="262">
        <f>D2-C2</f>
        <v>14.499999999999998</v>
      </c>
      <c r="G2" s="1" t="s">
        <v>119</v>
      </c>
      <c r="H2" s="414">
        <v>22.4</v>
      </c>
    </row>
    <row r="3" spans="1:8" x14ac:dyDescent="0.25">
      <c r="A3" s="258">
        <v>2</v>
      </c>
      <c r="B3" s="411">
        <v>14</v>
      </c>
      <c r="C3" s="412">
        <v>17.600000000000001</v>
      </c>
      <c r="D3" s="262">
        <f>$D$2</f>
        <v>22.4</v>
      </c>
      <c r="E3" s="262">
        <f t="shared" ref="E3:E16" si="0">D3-C3</f>
        <v>4.7999999999999972</v>
      </c>
      <c r="G3" s="1" t="s">
        <v>120</v>
      </c>
      <c r="H3" s="414">
        <v>27.2</v>
      </c>
    </row>
    <row r="4" spans="1:8" x14ac:dyDescent="0.25">
      <c r="A4" s="257">
        <v>3</v>
      </c>
      <c r="B4" s="411">
        <v>29</v>
      </c>
      <c r="C4" s="412">
        <v>16.399999999999999</v>
      </c>
      <c r="D4" s="262">
        <f t="shared" ref="D4:D31" si="1">$D$2</f>
        <v>22.4</v>
      </c>
      <c r="E4" s="262">
        <f t="shared" si="0"/>
        <v>6</v>
      </c>
      <c r="G4" s="2" t="s">
        <v>121</v>
      </c>
      <c r="H4" s="414">
        <v>55</v>
      </c>
    </row>
    <row r="5" spans="1:8" x14ac:dyDescent="0.25">
      <c r="A5" s="258">
        <v>4</v>
      </c>
      <c r="B5" s="411">
        <v>30</v>
      </c>
      <c r="C5" s="412">
        <v>14.7</v>
      </c>
      <c r="D5" s="262">
        <f t="shared" si="1"/>
        <v>22.4</v>
      </c>
      <c r="E5" s="262">
        <f t="shared" si="0"/>
        <v>7.6999999999999993</v>
      </c>
      <c r="G5" s="369" t="s">
        <v>544</v>
      </c>
      <c r="H5" s="415" t="s">
        <v>647</v>
      </c>
    </row>
    <row r="6" spans="1:8" x14ac:dyDescent="0.25">
      <c r="A6" s="257">
        <v>5</v>
      </c>
      <c r="B6" s="411">
        <v>50</v>
      </c>
      <c r="C6" s="412">
        <v>14.5</v>
      </c>
      <c r="D6" s="262">
        <f t="shared" si="1"/>
        <v>22.4</v>
      </c>
      <c r="E6" s="262">
        <f t="shared" si="0"/>
        <v>7.8999999999999986</v>
      </c>
    </row>
    <row r="7" spans="1:8" x14ac:dyDescent="0.25">
      <c r="A7" s="258">
        <v>6</v>
      </c>
      <c r="B7" s="411">
        <v>51</v>
      </c>
      <c r="C7" s="412">
        <v>12.2</v>
      </c>
      <c r="D7" s="262">
        <f t="shared" si="1"/>
        <v>22.4</v>
      </c>
      <c r="E7" s="262">
        <f t="shared" si="0"/>
        <v>10.199999999999999</v>
      </c>
    </row>
    <row r="8" spans="1:8" x14ac:dyDescent="0.25">
      <c r="A8" s="257">
        <v>7</v>
      </c>
      <c r="B8" s="411">
        <v>53</v>
      </c>
      <c r="C8" s="412">
        <v>15.9</v>
      </c>
      <c r="D8" s="262">
        <f t="shared" si="1"/>
        <v>22.4</v>
      </c>
      <c r="E8" s="262">
        <f t="shared" si="0"/>
        <v>6.4999999999999982</v>
      </c>
    </row>
    <row r="9" spans="1:8" x14ac:dyDescent="0.25">
      <c r="A9" s="258">
        <v>8</v>
      </c>
      <c r="B9" s="411">
        <v>54</v>
      </c>
      <c r="C9" s="412">
        <v>13</v>
      </c>
      <c r="D9" s="262">
        <f t="shared" si="1"/>
        <v>22.4</v>
      </c>
      <c r="E9" s="262">
        <f t="shared" si="0"/>
        <v>9.3999999999999986</v>
      </c>
    </row>
    <row r="10" spans="1:8" x14ac:dyDescent="0.25">
      <c r="A10" s="257">
        <v>9</v>
      </c>
      <c r="B10" s="411"/>
      <c r="C10" s="412"/>
      <c r="D10" s="262">
        <f t="shared" si="1"/>
        <v>22.4</v>
      </c>
      <c r="E10" s="262">
        <f t="shared" si="0"/>
        <v>22.4</v>
      </c>
    </row>
    <row r="11" spans="1:8" x14ac:dyDescent="0.25">
      <c r="A11" s="258">
        <v>10</v>
      </c>
      <c r="B11" s="411"/>
      <c r="C11" s="412"/>
      <c r="D11" s="262">
        <f t="shared" si="1"/>
        <v>22.4</v>
      </c>
      <c r="E11" s="262">
        <f t="shared" si="0"/>
        <v>22.4</v>
      </c>
    </row>
    <row r="12" spans="1:8" x14ac:dyDescent="0.25">
      <c r="A12" s="257">
        <v>11</v>
      </c>
      <c r="B12" s="411"/>
      <c r="C12" s="412"/>
      <c r="D12" s="262">
        <f t="shared" si="1"/>
        <v>22.4</v>
      </c>
      <c r="E12" s="262">
        <f t="shared" si="0"/>
        <v>22.4</v>
      </c>
    </row>
    <row r="13" spans="1:8" x14ac:dyDescent="0.25">
      <c r="A13" s="258">
        <v>12</v>
      </c>
      <c r="B13" s="411"/>
      <c r="C13" s="412"/>
      <c r="D13" s="262">
        <f t="shared" si="1"/>
        <v>22.4</v>
      </c>
      <c r="E13" s="262">
        <f t="shared" si="0"/>
        <v>22.4</v>
      </c>
    </row>
    <row r="14" spans="1:8" x14ac:dyDescent="0.25">
      <c r="A14" s="257">
        <v>13</v>
      </c>
      <c r="B14" s="411"/>
      <c r="C14" s="412"/>
      <c r="D14" s="262">
        <f t="shared" si="1"/>
        <v>22.4</v>
      </c>
      <c r="E14" s="262">
        <f t="shared" si="0"/>
        <v>22.4</v>
      </c>
    </row>
    <row r="15" spans="1:8" x14ac:dyDescent="0.25">
      <c r="A15" s="258">
        <v>14</v>
      </c>
      <c r="B15" s="411"/>
      <c r="C15" s="412"/>
      <c r="D15" s="262">
        <f t="shared" si="1"/>
        <v>22.4</v>
      </c>
      <c r="E15" s="262">
        <f t="shared" si="0"/>
        <v>22.4</v>
      </c>
    </row>
    <row r="16" spans="1:8" x14ac:dyDescent="0.25">
      <c r="A16" s="257">
        <v>15</v>
      </c>
      <c r="B16" s="413"/>
      <c r="C16" s="412"/>
      <c r="D16" s="262">
        <f t="shared" si="1"/>
        <v>22.4</v>
      </c>
      <c r="E16" s="262">
        <f t="shared" si="0"/>
        <v>22.4</v>
      </c>
    </row>
    <row r="17" spans="1:5" x14ac:dyDescent="0.25">
      <c r="A17" s="258">
        <v>16</v>
      </c>
      <c r="B17" s="411"/>
      <c r="C17" s="412"/>
      <c r="D17" s="262">
        <f t="shared" si="1"/>
        <v>22.4</v>
      </c>
      <c r="E17" s="262">
        <f t="shared" ref="E17:E20" si="2">D17-C17</f>
        <v>22.4</v>
      </c>
    </row>
    <row r="18" spans="1:5" x14ac:dyDescent="0.25">
      <c r="A18" s="257">
        <v>17</v>
      </c>
      <c r="B18" s="411"/>
      <c r="C18" s="412"/>
      <c r="D18" s="262">
        <f t="shared" si="1"/>
        <v>22.4</v>
      </c>
      <c r="E18" s="262">
        <f t="shared" si="2"/>
        <v>22.4</v>
      </c>
    </row>
    <row r="19" spans="1:5" x14ac:dyDescent="0.25">
      <c r="A19" s="258">
        <v>18</v>
      </c>
      <c r="B19" s="411"/>
      <c r="C19" s="412"/>
      <c r="D19" s="262">
        <f t="shared" si="1"/>
        <v>22.4</v>
      </c>
      <c r="E19" s="262">
        <f t="shared" si="2"/>
        <v>22.4</v>
      </c>
    </row>
    <row r="20" spans="1:5" x14ac:dyDescent="0.25">
      <c r="A20" s="257">
        <v>19</v>
      </c>
      <c r="B20" s="411"/>
      <c r="C20" s="412"/>
      <c r="D20" s="262">
        <f t="shared" si="1"/>
        <v>22.4</v>
      </c>
      <c r="E20" s="262">
        <f t="shared" si="2"/>
        <v>22.4</v>
      </c>
    </row>
    <row r="21" spans="1:5" x14ac:dyDescent="0.25">
      <c r="A21" s="258">
        <v>20</v>
      </c>
      <c r="B21" s="411"/>
      <c r="C21" s="412"/>
      <c r="D21" s="262">
        <f t="shared" si="1"/>
        <v>22.4</v>
      </c>
      <c r="E21" s="262">
        <f t="shared" ref="E21:E31" si="3">D21-C21</f>
        <v>22.4</v>
      </c>
    </row>
    <row r="22" spans="1:5" x14ac:dyDescent="0.25">
      <c r="A22" s="257">
        <v>21</v>
      </c>
      <c r="B22" s="411"/>
      <c r="C22" s="412"/>
      <c r="D22" s="262">
        <f t="shared" si="1"/>
        <v>22.4</v>
      </c>
      <c r="E22" s="262">
        <f t="shared" si="3"/>
        <v>22.4</v>
      </c>
    </row>
    <row r="23" spans="1:5" x14ac:dyDescent="0.25">
      <c r="A23" s="258">
        <v>22</v>
      </c>
      <c r="B23" s="411"/>
      <c r="C23" s="412"/>
      <c r="D23" s="262">
        <f t="shared" si="1"/>
        <v>22.4</v>
      </c>
      <c r="E23" s="262">
        <f t="shared" si="3"/>
        <v>22.4</v>
      </c>
    </row>
    <row r="24" spans="1:5" x14ac:dyDescent="0.25">
      <c r="A24" s="257">
        <v>23</v>
      </c>
      <c r="B24" s="411"/>
      <c r="C24" s="412"/>
      <c r="D24" s="262">
        <f t="shared" si="1"/>
        <v>22.4</v>
      </c>
      <c r="E24" s="262">
        <f t="shared" si="3"/>
        <v>22.4</v>
      </c>
    </row>
    <row r="25" spans="1:5" x14ac:dyDescent="0.25">
      <c r="A25" s="258">
        <v>24</v>
      </c>
      <c r="B25" s="411"/>
      <c r="C25" s="412"/>
      <c r="D25" s="262">
        <f t="shared" si="1"/>
        <v>22.4</v>
      </c>
      <c r="E25" s="262">
        <f t="shared" si="3"/>
        <v>22.4</v>
      </c>
    </row>
    <row r="26" spans="1:5" x14ac:dyDescent="0.25">
      <c r="A26" s="257">
        <v>25</v>
      </c>
      <c r="B26" s="411"/>
      <c r="C26" s="412"/>
      <c r="D26" s="262">
        <f t="shared" si="1"/>
        <v>22.4</v>
      </c>
      <c r="E26" s="262">
        <f t="shared" si="3"/>
        <v>22.4</v>
      </c>
    </row>
    <row r="27" spans="1:5" x14ac:dyDescent="0.25">
      <c r="A27" s="258">
        <v>26</v>
      </c>
      <c r="B27" s="411"/>
      <c r="C27" s="412"/>
      <c r="D27" s="262">
        <f t="shared" si="1"/>
        <v>22.4</v>
      </c>
      <c r="E27" s="262">
        <f t="shared" si="3"/>
        <v>22.4</v>
      </c>
    </row>
    <row r="28" spans="1:5" x14ac:dyDescent="0.25">
      <c r="A28" s="257">
        <v>27</v>
      </c>
      <c r="B28" s="411"/>
      <c r="C28" s="412"/>
      <c r="D28" s="262">
        <f t="shared" si="1"/>
        <v>22.4</v>
      </c>
      <c r="E28" s="262">
        <f t="shared" si="3"/>
        <v>22.4</v>
      </c>
    </row>
    <row r="29" spans="1:5" x14ac:dyDescent="0.25">
      <c r="A29" s="258">
        <v>28</v>
      </c>
      <c r="B29" s="411"/>
      <c r="C29" s="412"/>
      <c r="D29" s="262">
        <f t="shared" si="1"/>
        <v>22.4</v>
      </c>
      <c r="E29" s="262">
        <f t="shared" si="3"/>
        <v>22.4</v>
      </c>
    </row>
    <row r="30" spans="1:5" x14ac:dyDescent="0.25">
      <c r="A30" s="257">
        <v>29</v>
      </c>
      <c r="B30" s="411"/>
      <c r="C30" s="412"/>
      <c r="D30" s="262">
        <f t="shared" si="1"/>
        <v>22.4</v>
      </c>
      <c r="E30" s="262">
        <f t="shared" si="3"/>
        <v>22.4</v>
      </c>
    </row>
    <row r="31" spans="1:5" x14ac:dyDescent="0.25">
      <c r="A31" s="258">
        <v>30</v>
      </c>
      <c r="B31" s="411"/>
      <c r="C31" s="412"/>
      <c r="D31" s="262">
        <f t="shared" si="1"/>
        <v>22.4</v>
      </c>
      <c r="E31" s="262">
        <f t="shared" si="3"/>
        <v>22.4</v>
      </c>
    </row>
  </sheetData>
  <autoFilter ref="C1:C3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workbookViewId="0">
      <pane ySplit="1" topLeftCell="A2" activePane="bottomLeft" state="frozen"/>
      <selection pane="bottomLeft" activeCell="J3" sqref="J3"/>
    </sheetView>
  </sheetViews>
  <sheetFormatPr defaultRowHeight="12.75" x14ac:dyDescent="0.25"/>
  <cols>
    <col min="1" max="1" width="4.7109375" style="6" customWidth="1"/>
    <col min="2" max="2" width="21" style="38" customWidth="1"/>
    <col min="3" max="3" width="16.28515625" style="6" customWidth="1"/>
    <col min="4" max="4" width="57.85546875" style="38" customWidth="1"/>
    <col min="5" max="5" width="9.140625" style="38"/>
    <col min="6" max="6" width="7.7109375" style="323" customWidth="1"/>
    <col min="7" max="7" width="9.140625" style="6"/>
    <col min="8" max="9" width="16" style="6" hidden="1" customWidth="1"/>
    <col min="10" max="16384" width="9.140625" style="38"/>
  </cols>
  <sheetData>
    <row r="1" spans="1:10" ht="25.5" x14ac:dyDescent="0.25">
      <c r="A1" s="259" t="s">
        <v>0</v>
      </c>
      <c r="B1" s="259" t="s">
        <v>413</v>
      </c>
      <c r="C1" s="259" t="s">
        <v>414</v>
      </c>
      <c r="D1" s="259" t="s">
        <v>415</v>
      </c>
      <c r="F1" s="323" t="s">
        <v>615</v>
      </c>
      <c r="G1" s="6" t="s">
        <v>537</v>
      </c>
      <c r="H1" s="6" t="s">
        <v>538</v>
      </c>
      <c r="I1" s="6" t="s">
        <v>539</v>
      </c>
    </row>
    <row r="2" spans="1:10" ht="12.75" customHeight="1" x14ac:dyDescent="0.25">
      <c r="A2" s="259"/>
      <c r="B2" s="423" t="s">
        <v>194</v>
      </c>
      <c r="C2" s="423"/>
      <c r="D2" s="423"/>
      <c r="F2" s="324"/>
      <c r="G2" s="6">
        <f ca="1">IF(OR(B2="", I2=0), 0, 1)</f>
        <v>1</v>
      </c>
      <c r="H2" s="6">
        <f t="array" ref="H2">MIN(IF(A3:A$173="",ROW(A3:A$173)))</f>
        <v>32</v>
      </c>
      <c r="I2" s="6">
        <f ca="1">IF(H2&lt;&gt;H1,COUNTA(C3:INDIRECT(ADDRESS(H2-1,3)))-COUNTBLANK(C3:INDIRECT(ADDRESS(H2-1,3))), "content")</f>
        <v>2</v>
      </c>
    </row>
    <row r="3" spans="1:10" s="260" customFormat="1" ht="38.25" x14ac:dyDescent="0.25">
      <c r="A3" s="259">
        <f>SUBTOTAL(3,$B$3:B3)</f>
        <v>1</v>
      </c>
      <c r="B3" s="1" t="s">
        <v>195</v>
      </c>
      <c r="C3" s="259" t="str">
        <f>IF('Вводные 1'!D2 ="", "", 'Вводные 1'!D2)</f>
        <v/>
      </c>
      <c r="D3" s="1" t="s">
        <v>196</v>
      </c>
      <c r="F3" s="323">
        <f>IF('Вводные 1'!B2 ="", "", 'Вводные 1'!B2)</f>
        <v>110</v>
      </c>
      <c r="G3" s="6">
        <f t="shared" ref="G3:G66" ca="1" si="0">IF(OR(C3="", I3=0), 0, 1)</f>
        <v>0</v>
      </c>
      <c r="H3" s="6">
        <f t="array" ref="H3">MIN(IF(A4:A$173="",ROW(A4:A$173)))</f>
        <v>32</v>
      </c>
      <c r="I3" s="6" t="str">
        <f ca="1">IF(H3&lt;&gt;H2,COUNTA(C4:INDIRECT(ADDRESS(H3-1,3)))-COUNTBLANK(C4:INDIRECT(ADDRESS(H3-1,3))), "content")</f>
        <v>content</v>
      </c>
      <c r="J3" s="38"/>
    </row>
    <row r="4" spans="1:10" ht="127.5" x14ac:dyDescent="0.25">
      <c r="A4" s="259">
        <f>SUBTOTAL(3,$B$3:B4)</f>
        <v>2</v>
      </c>
      <c r="B4" s="261" t="s">
        <v>197</v>
      </c>
      <c r="C4" s="259" t="str">
        <f>IF('Вводные 1'!D3 ="", "", 'Вводные 1'!D3)</f>
        <v/>
      </c>
      <c r="D4" s="261" t="s">
        <v>198</v>
      </c>
      <c r="F4" s="323">
        <f>IF('Вводные 1'!B3 ="", "", 'Вводные 1'!B3)</f>
        <v>111</v>
      </c>
      <c r="G4" s="6">
        <f t="shared" ca="1" si="0"/>
        <v>0</v>
      </c>
      <c r="H4" s="6">
        <f t="array" ref="H4">MIN(IF(A5:A$173="",ROW(A5:A$173)))</f>
        <v>32</v>
      </c>
      <c r="I4" s="6" t="str">
        <f ca="1">IF(H4&lt;&gt;H3,COUNTA(C5:INDIRECT(ADDRESS(H4-1,3)))-COUNTBLANK(C5:INDIRECT(ADDRESS(H4-1,3))), "content")</f>
        <v>content</v>
      </c>
    </row>
    <row r="5" spans="1:10" ht="127.5" x14ac:dyDescent="0.25">
      <c r="A5" s="259">
        <f>SUBTOTAL(3,$B$3:B5)</f>
        <v>3</v>
      </c>
      <c r="B5" s="261" t="s">
        <v>199</v>
      </c>
      <c r="C5" s="259" t="str">
        <f>IF('Вводные 1'!D4 ="", "", 'Вводные 1'!D4)</f>
        <v/>
      </c>
      <c r="D5" s="261" t="s">
        <v>198</v>
      </c>
      <c r="F5" s="323">
        <f>IF('Вводные 1'!B4 ="", "", 'Вводные 1'!B4)</f>
        <v>112</v>
      </c>
      <c r="G5" s="6">
        <f t="shared" ca="1" si="0"/>
        <v>0</v>
      </c>
      <c r="H5" s="6">
        <f t="array" ref="H5">MIN(IF(A6:A$173="",ROW(A6:A$173)))</f>
        <v>32</v>
      </c>
      <c r="I5" s="6" t="str">
        <f ca="1">IF(H5&lt;&gt;H4,COUNTA(C6:INDIRECT(ADDRESS(H5-1,3)))-COUNTBLANK(C6:INDIRECT(ADDRESS(H5-1,3))), "content")</f>
        <v>content</v>
      </c>
    </row>
    <row r="6" spans="1:10" ht="102" x14ac:dyDescent="0.25">
      <c r="A6" s="259">
        <f>SUBTOTAL(3,$B$3:B6)</f>
        <v>4</v>
      </c>
      <c r="B6" s="261" t="s">
        <v>200</v>
      </c>
      <c r="C6" s="259" t="str">
        <f>IF('Вводные 1'!D5 ="", "", 'Вводные 1'!D5)</f>
        <v/>
      </c>
      <c r="D6" s="261" t="s">
        <v>201</v>
      </c>
      <c r="F6" s="323">
        <f>IF('Вводные 1'!B5 ="", "", 'Вводные 1'!B5)</f>
        <v>113</v>
      </c>
      <c r="G6" s="6">
        <f t="shared" ca="1" si="0"/>
        <v>0</v>
      </c>
      <c r="H6" s="6">
        <f t="array" ref="H6">MIN(IF(A7:A$173="",ROW(A7:A$173)))</f>
        <v>32</v>
      </c>
      <c r="I6" s="6" t="str">
        <f ca="1">IF(H6&lt;&gt;H5,COUNTA(C7:INDIRECT(ADDRESS(H6-1,3)))-COUNTBLANK(C7:INDIRECT(ADDRESS(H6-1,3))), "content")</f>
        <v>content</v>
      </c>
    </row>
    <row r="7" spans="1:10" s="260" customFormat="1" ht="76.5" x14ac:dyDescent="0.25">
      <c r="A7" s="259">
        <f>SUBTOTAL(3,$B$3:B7)</f>
        <v>5</v>
      </c>
      <c r="B7" s="1" t="s">
        <v>202</v>
      </c>
      <c r="C7" s="259" t="str">
        <f>IF('Вводные 1'!D6 ="", "", 'Вводные 1'!D6)</f>
        <v/>
      </c>
      <c r="D7" s="1" t="s">
        <v>203</v>
      </c>
      <c r="F7" s="323">
        <f>IF('Вводные 1'!B6 ="", "", 'Вводные 1'!B6)</f>
        <v>114</v>
      </c>
      <c r="G7" s="6">
        <f t="shared" ca="1" si="0"/>
        <v>0</v>
      </c>
      <c r="H7" s="6">
        <f t="array" ref="H7">MIN(IF(A8:A$173="",ROW(A8:A$173)))</f>
        <v>32</v>
      </c>
      <c r="I7" s="6" t="str">
        <f ca="1">IF(H7&lt;&gt;H6,COUNTA(C8:INDIRECT(ADDRESS(H7-1,3)))-COUNTBLANK(C8:INDIRECT(ADDRESS(H7-1,3))), "content")</f>
        <v>content</v>
      </c>
      <c r="J7" s="38"/>
    </row>
    <row r="8" spans="1:10" s="260" customFormat="1" ht="51" x14ac:dyDescent="0.25">
      <c r="A8" s="259">
        <f>SUBTOTAL(3,$B$3:B8)</f>
        <v>6</v>
      </c>
      <c r="B8" s="1" t="s">
        <v>204</v>
      </c>
      <c r="C8" s="259" t="str">
        <f>IF('Вводные 1'!D7 ="", "", 'Вводные 1'!D7)</f>
        <v/>
      </c>
      <c r="D8" s="1" t="s">
        <v>205</v>
      </c>
      <c r="F8" s="323">
        <f>IF('Вводные 1'!B7 ="", "", 'Вводные 1'!B7)</f>
        <v>115</v>
      </c>
      <c r="G8" s="6">
        <f t="shared" ca="1" si="0"/>
        <v>0</v>
      </c>
      <c r="H8" s="6">
        <f t="array" ref="H8">MIN(IF(A9:A$173="",ROW(A9:A$173)))</f>
        <v>32</v>
      </c>
      <c r="I8" s="6" t="str">
        <f ca="1">IF(H8&lt;&gt;H7,COUNTA(C9:INDIRECT(ADDRESS(H8-1,3)))-COUNTBLANK(C9:INDIRECT(ADDRESS(H8-1,3))), "content")</f>
        <v>content</v>
      </c>
      <c r="J8" s="38"/>
    </row>
    <row r="9" spans="1:10" s="260" customFormat="1" ht="153" x14ac:dyDescent="0.25">
      <c r="A9" s="259">
        <f>SUBTOTAL(3,$B$3:B9)</f>
        <v>7</v>
      </c>
      <c r="B9" s="1" t="s">
        <v>206</v>
      </c>
      <c r="C9" s="259" t="str">
        <f>IF('Вводные 1'!D8 ="", "", 'Вводные 1'!D8)</f>
        <v/>
      </c>
      <c r="D9" s="1" t="s">
        <v>207</v>
      </c>
      <c r="F9" s="323">
        <f>IF('Вводные 1'!B8 ="", "", 'Вводные 1'!B8)</f>
        <v>116</v>
      </c>
      <c r="G9" s="6">
        <f t="shared" ca="1" si="0"/>
        <v>0</v>
      </c>
      <c r="H9" s="6">
        <f t="array" ref="H9">MIN(IF(A10:A$173="",ROW(A10:A$173)))</f>
        <v>32</v>
      </c>
      <c r="I9" s="6" t="str">
        <f ca="1">IF(H9&lt;&gt;H8,COUNTA(C10:INDIRECT(ADDRESS(H9-1,3)))-COUNTBLANK(C10:INDIRECT(ADDRESS(H9-1,3))), "content")</f>
        <v>content</v>
      </c>
      <c r="J9" s="38"/>
    </row>
    <row r="10" spans="1:10" s="260" customFormat="1" ht="153" x14ac:dyDescent="0.25">
      <c r="A10" s="259">
        <f>SUBTOTAL(3,$B$3:B10)</f>
        <v>8</v>
      </c>
      <c r="B10" s="1" t="s">
        <v>208</v>
      </c>
      <c r="C10" s="259" t="str">
        <f>IF('Вводные 1'!D9 ="", "", 'Вводные 1'!D9)</f>
        <v/>
      </c>
      <c r="D10" s="1" t="s">
        <v>207</v>
      </c>
      <c r="F10" s="323">
        <f>IF('Вводные 1'!B9 ="", "", 'Вводные 1'!B9)</f>
        <v>117</v>
      </c>
      <c r="G10" s="6">
        <f t="shared" ca="1" si="0"/>
        <v>0</v>
      </c>
      <c r="H10" s="6">
        <f t="array" ref="H10">MIN(IF(A11:A$173="",ROW(A11:A$173)))</f>
        <v>32</v>
      </c>
      <c r="I10" s="6" t="str">
        <f ca="1">IF(H10&lt;&gt;H9,COUNTA(C11:INDIRECT(ADDRESS(H10-1,3)))-COUNTBLANK(C11:INDIRECT(ADDRESS(H10-1,3))), "content")</f>
        <v>content</v>
      </c>
      <c r="J10" s="38"/>
    </row>
    <row r="11" spans="1:10" s="260" customFormat="1" ht="38.25" x14ac:dyDescent="0.25">
      <c r="A11" s="259">
        <f>SUBTOTAL(3,$B$3:B11)</f>
        <v>9</v>
      </c>
      <c r="B11" s="1" t="s">
        <v>209</v>
      </c>
      <c r="C11" s="259" t="str">
        <f>IF('Вводные 1'!D10 ="", "", 'Вводные 1'!D10)</f>
        <v/>
      </c>
      <c r="D11" s="1"/>
      <c r="F11" s="323">
        <f>IF('Вводные 1'!B10 ="", "", 'Вводные 1'!B10)</f>
        <v>118</v>
      </c>
      <c r="G11" s="6">
        <f t="shared" ca="1" si="0"/>
        <v>0</v>
      </c>
      <c r="H11" s="6">
        <f t="array" ref="H11">MIN(IF(A12:A$173="",ROW(A12:A$173)))</f>
        <v>32</v>
      </c>
      <c r="I11" s="6" t="str">
        <f ca="1">IF(H11&lt;&gt;H10,COUNTA(C12:INDIRECT(ADDRESS(H11-1,3)))-COUNTBLANK(C12:INDIRECT(ADDRESS(H11-1,3))), "content")</f>
        <v>content</v>
      </c>
      <c r="J11" s="38"/>
    </row>
    <row r="12" spans="1:10" s="260" customFormat="1" ht="38.25" x14ac:dyDescent="0.25">
      <c r="A12" s="259">
        <f>SUBTOTAL(3,$B$3:B12)</f>
        <v>10</v>
      </c>
      <c r="B12" s="1" t="s">
        <v>210</v>
      </c>
      <c r="C12" s="259" t="str">
        <f>IF('Вводные 1'!D11 ="", "", 'Вводные 1'!D11)</f>
        <v/>
      </c>
      <c r="D12" s="1"/>
      <c r="F12" s="323">
        <f>IF('Вводные 1'!B11 ="", "", 'Вводные 1'!B11)</f>
        <v>120</v>
      </c>
      <c r="G12" s="6">
        <f t="shared" ca="1" si="0"/>
        <v>0</v>
      </c>
      <c r="H12" s="6">
        <f t="array" ref="H12">MIN(IF(A13:A$173="",ROW(A13:A$173)))</f>
        <v>32</v>
      </c>
      <c r="I12" s="6" t="str">
        <f ca="1">IF(H12&lt;&gt;H11,COUNTA(C13:INDIRECT(ADDRESS(H12-1,3)))-COUNTBLANK(C13:INDIRECT(ADDRESS(H12-1,3))), "content")</f>
        <v>content</v>
      </c>
      <c r="J12" s="38"/>
    </row>
    <row r="13" spans="1:10" ht="114.75" x14ac:dyDescent="0.25">
      <c r="A13" s="259">
        <f>SUBTOTAL(3,$B$3:B13)</f>
        <v>11</v>
      </c>
      <c r="B13" s="261" t="s">
        <v>211</v>
      </c>
      <c r="C13" s="259" t="str">
        <f>IF('Вводные 1'!D12 ="", "", 'Вводные 1'!D12)</f>
        <v/>
      </c>
      <c r="D13" s="261" t="s">
        <v>212</v>
      </c>
      <c r="F13" s="323">
        <f>IF('Вводные 1'!B12 ="", "", 'Вводные 1'!B12)</f>
        <v>121</v>
      </c>
      <c r="G13" s="6">
        <f t="shared" ca="1" si="0"/>
        <v>0</v>
      </c>
      <c r="H13" s="6">
        <f t="array" ref="H13">MIN(IF(A14:A$173="",ROW(A14:A$173)))</f>
        <v>32</v>
      </c>
      <c r="I13" s="6" t="str">
        <f ca="1">IF(H13&lt;&gt;H12,COUNTA(C14:INDIRECT(ADDRESS(H13-1,3)))-COUNTBLANK(C14:INDIRECT(ADDRESS(H13-1,3))), "content")</f>
        <v>content</v>
      </c>
    </row>
    <row r="14" spans="1:10" s="260" customFormat="1" ht="63.75" x14ac:dyDescent="0.25">
      <c r="A14" s="259">
        <f>SUBTOTAL(3,$B$3:B14)</f>
        <v>12</v>
      </c>
      <c r="B14" s="1" t="s">
        <v>213</v>
      </c>
      <c r="C14" s="259" t="str">
        <f>IF('Вводные 1'!D13 ="", "", 'Вводные 1'!D13)</f>
        <v>48-49</v>
      </c>
      <c r="D14" s="1" t="s">
        <v>214</v>
      </c>
      <c r="F14" s="323">
        <f>IF('Вводные 1'!B13 ="", "", 'Вводные 1'!B13)</f>
        <v>122</v>
      </c>
      <c r="G14" s="6">
        <f t="shared" ca="1" si="0"/>
        <v>1</v>
      </c>
      <c r="H14" s="6">
        <f t="array" ref="H14">MIN(IF(A15:A$173="",ROW(A15:A$173)))</f>
        <v>32</v>
      </c>
      <c r="I14" s="6" t="str">
        <f ca="1">IF(H14&lt;&gt;H13,COUNTA(C15:INDIRECT(ADDRESS(H14-1,3)))-COUNTBLANK(C15:INDIRECT(ADDRESS(H14-1,3))), "content")</f>
        <v>content</v>
      </c>
      <c r="J14" s="38"/>
    </row>
    <row r="15" spans="1:10" ht="76.5" x14ac:dyDescent="0.25">
      <c r="A15" s="259">
        <f>SUBTOTAL(3,$B$3:B15)</f>
        <v>13</v>
      </c>
      <c r="B15" s="261" t="s">
        <v>215</v>
      </c>
      <c r="C15" s="259" t="str">
        <f>IF('Вводные 1'!D14 ="", "", 'Вводные 1'!D14)</f>
        <v/>
      </c>
      <c r="D15" s="261" t="s">
        <v>216</v>
      </c>
      <c r="F15" s="323">
        <f>IF('Вводные 1'!B14 ="", "", 'Вводные 1'!B14)</f>
        <v>123</v>
      </c>
      <c r="G15" s="6">
        <f t="shared" ca="1" si="0"/>
        <v>0</v>
      </c>
      <c r="H15" s="6">
        <f t="array" ref="H15">MIN(IF(A16:A$173="",ROW(A16:A$173)))</f>
        <v>32</v>
      </c>
      <c r="I15" s="6" t="str">
        <f ca="1">IF(H15&lt;&gt;H14,COUNTA(C16:INDIRECT(ADDRESS(H15-1,3)))-COUNTBLANK(C16:INDIRECT(ADDRESS(H15-1,3))), "content")</f>
        <v>content</v>
      </c>
    </row>
    <row r="16" spans="1:10" s="260" customFormat="1" ht="76.5" x14ac:dyDescent="0.25">
      <c r="A16" s="259">
        <f>SUBTOTAL(3,$B$3:B16)</f>
        <v>14</v>
      </c>
      <c r="B16" s="1" t="s">
        <v>217</v>
      </c>
      <c r="C16" s="259" t="str">
        <f>IF('Вводные 1'!D15 ="", "", 'Вводные 1'!D15)</f>
        <v/>
      </c>
      <c r="D16" s="1" t="s">
        <v>216</v>
      </c>
      <c r="F16" s="323">
        <f>IF('Вводные 1'!B15 ="", "", 'Вводные 1'!B15)</f>
        <v>124</v>
      </c>
      <c r="G16" s="6">
        <f t="shared" ca="1" si="0"/>
        <v>0</v>
      </c>
      <c r="H16" s="6">
        <f t="array" ref="H16">MIN(IF(A17:A$173="",ROW(A17:A$173)))</f>
        <v>32</v>
      </c>
      <c r="I16" s="6" t="str">
        <f ca="1">IF(H16&lt;&gt;H15,COUNTA(C17:INDIRECT(ADDRESS(H16-1,3)))-COUNTBLANK(C17:INDIRECT(ADDRESS(H16-1,3))), "content")</f>
        <v>content</v>
      </c>
      <c r="J16" s="38"/>
    </row>
    <row r="17" spans="1:10" s="260" customFormat="1" ht="76.5" x14ac:dyDescent="0.25">
      <c r="A17" s="259">
        <f>SUBTOTAL(3,$B$3:B17)</f>
        <v>15</v>
      </c>
      <c r="B17" s="1" t="s">
        <v>218</v>
      </c>
      <c r="C17" s="259" t="str">
        <f>IF('Вводные 1'!D16 ="", "", 'Вводные 1'!D16)</f>
        <v/>
      </c>
      <c r="D17" s="1" t="s">
        <v>219</v>
      </c>
      <c r="F17" s="323">
        <f>IF('Вводные 1'!B16 ="", "", 'Вводные 1'!B16)</f>
        <v>125</v>
      </c>
      <c r="G17" s="6">
        <f t="shared" ca="1" si="0"/>
        <v>0</v>
      </c>
      <c r="H17" s="6">
        <f t="array" ref="H17">MIN(IF(A18:A$173="",ROW(A18:A$173)))</f>
        <v>32</v>
      </c>
      <c r="I17" s="6" t="str">
        <f ca="1">IF(H17&lt;&gt;H16,COUNTA(C18:INDIRECT(ADDRESS(H17-1,3)))-COUNTBLANK(C18:INDIRECT(ADDRESS(H17-1,3))), "content")</f>
        <v>content</v>
      </c>
      <c r="J17" s="38"/>
    </row>
    <row r="18" spans="1:10" s="260" customFormat="1" ht="76.5" x14ac:dyDescent="0.25">
      <c r="A18" s="259">
        <f>SUBTOTAL(3,$B$3:B18)</f>
        <v>16</v>
      </c>
      <c r="B18" s="1" t="s">
        <v>220</v>
      </c>
      <c r="C18" s="259" t="str">
        <f>IF('Вводные 1'!D17 ="", "", 'Вводные 1'!D17)</f>
        <v/>
      </c>
      <c r="D18" s="1" t="s">
        <v>221</v>
      </c>
      <c r="F18" s="323">
        <f>IF('Вводные 1'!B17 ="", "", 'Вводные 1'!B17)</f>
        <v>130</v>
      </c>
      <c r="G18" s="6">
        <f t="shared" ca="1" si="0"/>
        <v>0</v>
      </c>
      <c r="H18" s="6">
        <f t="array" ref="H18">MIN(IF(A19:A$173="",ROW(A19:A$173)))</f>
        <v>32</v>
      </c>
      <c r="I18" s="6" t="str">
        <f ca="1">IF(H18&lt;&gt;H17,COUNTA(C19:INDIRECT(ADDRESS(H18-1,3)))-COUNTBLANK(C19:INDIRECT(ADDRESS(H18-1,3))), "content")</f>
        <v>content</v>
      </c>
      <c r="J18" s="38"/>
    </row>
    <row r="19" spans="1:10" s="260" customFormat="1" ht="76.5" x14ac:dyDescent="0.25">
      <c r="A19" s="259">
        <f>SUBTOTAL(3,$B$3:B19)</f>
        <v>17</v>
      </c>
      <c r="B19" s="1" t="s">
        <v>222</v>
      </c>
      <c r="C19" s="259" t="str">
        <f>IF('Вводные 1'!D18 ="", "", 'Вводные 1'!D18)</f>
        <v/>
      </c>
      <c r="D19" s="1" t="s">
        <v>221</v>
      </c>
      <c r="F19" s="323">
        <f>IF('Вводные 1'!B18 ="", "", 'Вводные 1'!B18)</f>
        <v>131</v>
      </c>
      <c r="G19" s="6">
        <f t="shared" ca="1" si="0"/>
        <v>0</v>
      </c>
      <c r="H19" s="6">
        <f t="array" ref="H19">MIN(IF(A20:A$173="",ROW(A20:A$173)))</f>
        <v>32</v>
      </c>
      <c r="I19" s="6" t="str">
        <f ca="1">IF(H19&lt;&gt;H18,COUNTA(C20:INDIRECT(ADDRESS(H19-1,3)))-COUNTBLANK(C20:INDIRECT(ADDRESS(H19-1,3))), "content")</f>
        <v>content</v>
      </c>
      <c r="J19" s="38"/>
    </row>
    <row r="20" spans="1:10" s="260" customFormat="1" ht="51" x14ac:dyDescent="0.25">
      <c r="A20" s="259">
        <f>SUBTOTAL(3,$B$3:B20)</f>
        <v>18</v>
      </c>
      <c r="B20" s="1" t="s">
        <v>223</v>
      </c>
      <c r="C20" s="259" t="str">
        <f>IF('Вводные 1'!D19 ="", "", 'Вводные 1'!D19)</f>
        <v/>
      </c>
      <c r="D20" s="1" t="s">
        <v>224</v>
      </c>
      <c r="F20" s="323">
        <f>IF('Вводные 1'!B19 ="", "", 'Вводные 1'!B19)</f>
        <v>140</v>
      </c>
      <c r="G20" s="6">
        <f t="shared" ca="1" si="0"/>
        <v>0</v>
      </c>
      <c r="H20" s="6">
        <f t="array" ref="H20">MIN(IF(A21:A$173="",ROW(A21:A$173)))</f>
        <v>32</v>
      </c>
      <c r="I20" s="6" t="str">
        <f ca="1">IF(H20&lt;&gt;H19,COUNTA(C21:INDIRECT(ADDRESS(H20-1,3)))-COUNTBLANK(C21:INDIRECT(ADDRESS(H20-1,3))), "content")</f>
        <v>content</v>
      </c>
      <c r="J20" s="38"/>
    </row>
    <row r="21" spans="1:10" s="260" customFormat="1" ht="51" x14ac:dyDescent="0.25">
      <c r="A21" s="259">
        <f>SUBTOTAL(3,$B$3:B21)</f>
        <v>19</v>
      </c>
      <c r="B21" s="1" t="s">
        <v>225</v>
      </c>
      <c r="C21" s="259" t="str">
        <f>IF('Вводные 1'!D20 ="", "", 'Вводные 1'!D20)</f>
        <v/>
      </c>
      <c r="D21" s="1" t="s">
        <v>226</v>
      </c>
      <c r="F21" s="323">
        <f>IF('Вводные 1'!B20 ="", "", 'Вводные 1'!B20)</f>
        <v>141</v>
      </c>
      <c r="G21" s="6">
        <f t="shared" ca="1" si="0"/>
        <v>0</v>
      </c>
      <c r="H21" s="6">
        <f t="array" ref="H21">MIN(IF(A22:A$173="",ROW(A22:A$173)))</f>
        <v>32</v>
      </c>
      <c r="I21" s="6" t="str">
        <f ca="1">IF(H21&lt;&gt;H20,COUNTA(C22:INDIRECT(ADDRESS(H21-1,3)))-COUNTBLANK(C22:INDIRECT(ADDRESS(H21-1,3))), "content")</f>
        <v>content</v>
      </c>
      <c r="J21" s="38"/>
    </row>
    <row r="22" spans="1:10" ht="178.5" x14ac:dyDescent="0.25">
      <c r="A22" s="259">
        <f>SUBTOTAL(3,$B$3:B22)</f>
        <v>20</v>
      </c>
      <c r="B22" s="261" t="s">
        <v>542</v>
      </c>
      <c r="C22" s="259" t="str">
        <f>IF('Вводные 1'!D21 ="", "", 'Вводные 1'!D21)</f>
        <v>11-12+27-28+46-47+56-57</v>
      </c>
      <c r="D22" s="261" t="s">
        <v>227</v>
      </c>
      <c r="F22" s="323">
        <f>IF('Вводные 1'!B21 ="", "", 'Вводные 1'!B21)</f>
        <v>150</v>
      </c>
      <c r="G22" s="6">
        <f t="shared" ca="1" si="0"/>
        <v>1</v>
      </c>
      <c r="H22" s="6">
        <f t="array" ref="H22">MIN(IF(A23:A$173="",ROW(A23:A$173)))</f>
        <v>32</v>
      </c>
      <c r="I22" s="6" t="str">
        <f ca="1">IF(H22&lt;&gt;H21,COUNTA(C23:INDIRECT(ADDRESS(H22-1,3)))-COUNTBLANK(C23:INDIRECT(ADDRESS(H22-1,3))), "content")</f>
        <v>content</v>
      </c>
    </row>
    <row r="23" spans="1:10" s="260" customFormat="1" ht="178.5" x14ac:dyDescent="0.25">
      <c r="A23" s="259">
        <f>SUBTOTAL(3,$B$3:B23)</f>
        <v>21</v>
      </c>
      <c r="B23" s="1" t="s">
        <v>228</v>
      </c>
      <c r="C23" s="259" t="str">
        <f>IF('Вводные 1'!D22 ="", "", 'Вводные 1'!D22)</f>
        <v/>
      </c>
      <c r="D23" s="1" t="s">
        <v>227</v>
      </c>
      <c r="F23" s="323">
        <f>IF('Вводные 1'!B22 ="", "", 'Вводные 1'!B22)</f>
        <v>151</v>
      </c>
      <c r="G23" s="6">
        <f t="shared" ca="1" si="0"/>
        <v>0</v>
      </c>
      <c r="H23" s="6">
        <f t="array" ref="H23">MIN(IF(A24:A$173="",ROW(A24:A$173)))</f>
        <v>32</v>
      </c>
      <c r="I23" s="6" t="str">
        <f ca="1">IF(H23&lt;&gt;H22,COUNTA(C24:INDIRECT(ADDRESS(H23-1,3)))-COUNTBLANK(C24:INDIRECT(ADDRESS(H23-1,3))), "content")</f>
        <v>content</v>
      </c>
      <c r="J23" s="38"/>
    </row>
    <row r="24" spans="1:10" ht="153" x14ac:dyDescent="0.25">
      <c r="A24" s="259">
        <f>SUBTOTAL(3,$B$3:B24)</f>
        <v>22</v>
      </c>
      <c r="B24" s="261" t="s">
        <v>229</v>
      </c>
      <c r="C24" s="259" t="str">
        <f>IF('Вводные 1'!D23 ="", "", 'Вводные 1'!D23)</f>
        <v/>
      </c>
      <c r="D24" s="261" t="s">
        <v>230</v>
      </c>
      <c r="F24" s="323">
        <f>IF('Вводные 1'!B23 ="", "", 'Вводные 1'!B23)</f>
        <v>152</v>
      </c>
      <c r="G24" s="6">
        <f t="shared" ca="1" si="0"/>
        <v>0</v>
      </c>
      <c r="H24" s="6">
        <f t="array" ref="H24">MIN(IF(A25:A$173="",ROW(A25:A$173)))</f>
        <v>32</v>
      </c>
      <c r="I24" s="6" t="str">
        <f ca="1">IF(H24&lt;&gt;H23,COUNTA(C25:INDIRECT(ADDRESS(H24-1,3)))-COUNTBLANK(C25:INDIRECT(ADDRESS(H24-1,3))), "content")</f>
        <v>content</v>
      </c>
    </row>
    <row r="25" spans="1:10" s="260" customFormat="1" ht="153" x14ac:dyDescent="0.25">
      <c r="A25" s="259">
        <f>SUBTOTAL(3,$B$3:B25)</f>
        <v>23</v>
      </c>
      <c r="B25" s="1" t="s">
        <v>231</v>
      </c>
      <c r="C25" s="259" t="str">
        <f>IF('Вводные 1'!D24 ="", "", 'Вводные 1'!D24)</f>
        <v/>
      </c>
      <c r="D25" s="1" t="s">
        <v>232</v>
      </c>
      <c r="F25" s="323">
        <f>IF('Вводные 1'!B24 ="", "", 'Вводные 1'!B24)</f>
        <v>160</v>
      </c>
      <c r="G25" s="6">
        <f t="shared" ca="1" si="0"/>
        <v>0</v>
      </c>
      <c r="H25" s="6">
        <f t="array" ref="H25">MIN(IF(A26:A$173="",ROW(A26:A$173)))</f>
        <v>32</v>
      </c>
      <c r="I25" s="6" t="str">
        <f ca="1">IF(H25&lt;&gt;H24,COUNTA(C26:INDIRECT(ADDRESS(H25-1,3)))-COUNTBLANK(C26:INDIRECT(ADDRESS(H25-1,3))), "content")</f>
        <v>content</v>
      </c>
      <c r="J25" s="38"/>
    </row>
    <row r="26" spans="1:10" s="260" customFormat="1" ht="38.25" x14ac:dyDescent="0.25">
      <c r="A26" s="259">
        <f>SUBTOTAL(3,$B$3:B26)</f>
        <v>24</v>
      </c>
      <c r="B26" s="1" t="s">
        <v>233</v>
      </c>
      <c r="C26" s="259" t="str">
        <f>IF('Вводные 1'!D25 ="", "", 'Вводные 1'!D25)</f>
        <v/>
      </c>
      <c r="D26" s="1"/>
      <c r="F26" s="323">
        <f>IF('Вводные 1'!B25 ="", "", 'Вводные 1'!B25)</f>
        <v>161</v>
      </c>
      <c r="G26" s="6">
        <f t="shared" ca="1" si="0"/>
        <v>0</v>
      </c>
      <c r="H26" s="6">
        <f t="array" ref="H26">MIN(IF(A27:A$173="",ROW(A27:A$173)))</f>
        <v>32</v>
      </c>
      <c r="I26" s="6" t="str">
        <f ca="1">IF(H26&lt;&gt;H25,COUNTA(C27:INDIRECT(ADDRESS(H26-1,3)))-COUNTBLANK(C27:INDIRECT(ADDRESS(H26-1,3))), "content")</f>
        <v>content</v>
      </c>
      <c r="J26" s="38"/>
    </row>
    <row r="27" spans="1:10" s="260" customFormat="1" ht="25.5" x14ac:dyDescent="0.25">
      <c r="A27" s="259">
        <f>SUBTOTAL(3,$B$3:B27)</f>
        <v>25</v>
      </c>
      <c r="B27" s="1" t="s">
        <v>234</v>
      </c>
      <c r="C27" s="259" t="str">
        <f>IF('Вводные 1'!D26 ="", "", 'Вводные 1'!D26)</f>
        <v/>
      </c>
      <c r="D27" s="1"/>
      <c r="F27" s="323">
        <f>IF('Вводные 1'!B26 ="", "", 'Вводные 1'!B26)</f>
        <v>162</v>
      </c>
      <c r="G27" s="6">
        <f t="shared" ca="1" si="0"/>
        <v>0</v>
      </c>
      <c r="H27" s="6">
        <f t="array" ref="H27">MIN(IF(A28:A$173="",ROW(A28:A$173)))</f>
        <v>32</v>
      </c>
      <c r="I27" s="6" t="str">
        <f ca="1">IF(H27&lt;&gt;H26,COUNTA(C28:INDIRECT(ADDRESS(H27-1,3)))-COUNTBLANK(C28:INDIRECT(ADDRESS(H27-1,3))), "content")</f>
        <v>content</v>
      </c>
      <c r="J27" s="38"/>
    </row>
    <row r="28" spans="1:10" s="260" customFormat="1" ht="25.5" x14ac:dyDescent="0.25">
      <c r="A28" s="259">
        <f>SUBTOTAL(3,$B$3:B28)</f>
        <v>26</v>
      </c>
      <c r="B28" s="1" t="s">
        <v>235</v>
      </c>
      <c r="C28" s="259" t="str">
        <f>IF('Вводные 1'!D27 ="", "", 'Вводные 1'!D27)</f>
        <v/>
      </c>
      <c r="D28" s="1"/>
      <c r="F28" s="323">
        <f>IF('Вводные 1'!B27 ="", "", 'Вводные 1'!B27)</f>
        <v>163</v>
      </c>
      <c r="G28" s="6">
        <f t="shared" ca="1" si="0"/>
        <v>0</v>
      </c>
      <c r="H28" s="6">
        <f t="array" ref="H28">MIN(IF(A29:A$173="",ROW(A29:A$173)))</f>
        <v>32</v>
      </c>
      <c r="I28" s="6" t="str">
        <f ca="1">IF(H28&lt;&gt;H27,COUNTA(C29:INDIRECT(ADDRESS(H28-1,3)))-COUNTBLANK(C29:INDIRECT(ADDRESS(H28-1,3))), "content")</f>
        <v>content</v>
      </c>
      <c r="J28" s="38"/>
    </row>
    <row r="29" spans="1:10" ht="51" x14ac:dyDescent="0.25">
      <c r="A29" s="259">
        <f>SUBTOTAL(3,$B$3:B29)</f>
        <v>27</v>
      </c>
      <c r="B29" s="261" t="s">
        <v>236</v>
      </c>
      <c r="C29" s="259" t="str">
        <f>IF('Вводные 1'!D28 ="", "", 'Вводные 1'!D28)</f>
        <v/>
      </c>
      <c r="D29" s="261"/>
      <c r="F29" s="323">
        <f>IF('Вводные 1'!B28 ="", "", 'Вводные 1'!B28)</f>
        <v>164</v>
      </c>
      <c r="G29" s="6">
        <f t="shared" ca="1" si="0"/>
        <v>0</v>
      </c>
      <c r="H29" s="6">
        <f t="array" ref="H29">MIN(IF(A30:A$173="",ROW(A30:A$173)))</f>
        <v>32</v>
      </c>
      <c r="I29" s="6" t="str">
        <f ca="1">IF(H29&lt;&gt;H28,COUNTA(C30:INDIRECT(ADDRESS(H29-1,3)))-COUNTBLANK(C30:INDIRECT(ADDRESS(H29-1,3))), "content")</f>
        <v>content</v>
      </c>
    </row>
    <row r="30" spans="1:10" s="260" customFormat="1" ht="38.25" x14ac:dyDescent="0.25">
      <c r="A30" s="259">
        <f>SUBTOTAL(3,$B$3:B30)</f>
        <v>28</v>
      </c>
      <c r="B30" s="1" t="s">
        <v>237</v>
      </c>
      <c r="C30" s="259" t="str">
        <f>IF('Вводные 1'!D29 ="", "", 'Вводные 1'!D29)</f>
        <v/>
      </c>
      <c r="D30" s="1"/>
      <c r="F30" s="323">
        <f>IF('Вводные 1'!B29 ="", "", 'Вводные 1'!B29)</f>
        <v>165</v>
      </c>
      <c r="G30" s="6">
        <f t="shared" ca="1" si="0"/>
        <v>0</v>
      </c>
      <c r="H30" s="6">
        <f t="array" ref="H30">MIN(IF(A31:A$173="",ROW(A31:A$173)))</f>
        <v>32</v>
      </c>
      <c r="I30" s="6" t="str">
        <f ca="1">IF(H30&lt;&gt;H29,COUNTA(C31:INDIRECT(ADDRESS(H30-1,3)))-COUNTBLANK(C31:INDIRECT(ADDRESS(H30-1,3))), "content")</f>
        <v>content</v>
      </c>
      <c r="J30" s="38"/>
    </row>
    <row r="31" spans="1:10" ht="38.25" x14ac:dyDescent="0.25">
      <c r="A31" s="259">
        <f>SUBTOTAL(3,$B$3:B31)</f>
        <v>29</v>
      </c>
      <c r="B31" s="261" t="s">
        <v>238</v>
      </c>
      <c r="C31" s="259" t="str">
        <f>IF('Вводные 1'!D30 ="", "", 'Вводные 1'!D30)</f>
        <v/>
      </c>
      <c r="D31" s="261"/>
      <c r="F31" s="323">
        <f>IF('Вводные 1'!B30 ="", "", 'Вводные 1'!B30)</f>
        <v>166</v>
      </c>
      <c r="G31" s="6">
        <f t="shared" ca="1" si="0"/>
        <v>0</v>
      </c>
      <c r="H31" s="6">
        <f t="array" ref="H31">MIN(IF(A32:A$173="",ROW(A32:A$173)))</f>
        <v>32</v>
      </c>
      <c r="I31" s="6" t="str">
        <f ca="1">IF(H31&lt;&gt;H30,COUNTA(C32:INDIRECT(ADDRESS(H31-1,3)))-COUNTBLANK(C32:INDIRECT(ADDRESS(H31-1,3))), "content")</f>
        <v>content</v>
      </c>
    </row>
    <row r="32" spans="1:10" ht="12.75" customHeight="1" x14ac:dyDescent="0.25">
      <c r="A32" s="259"/>
      <c r="B32" s="423" t="s">
        <v>239</v>
      </c>
      <c r="C32" s="423"/>
      <c r="D32" s="423"/>
      <c r="F32" s="324"/>
      <c r="G32" s="6">
        <f ca="1">IF(OR(B32="", I32=0), 0, 1)</f>
        <v>1</v>
      </c>
      <c r="H32" s="6">
        <f t="array" ref="H32">MIN(IF(A33:A$173="",ROW(A33:A$173)))</f>
        <v>43</v>
      </c>
      <c r="I32" s="6">
        <f ca="1">IF(H32&lt;&gt;H31,COUNTA(C33:INDIRECT(ADDRESS(H32-1,3)))-COUNTBLANK(C33:INDIRECT(ADDRESS(H32-1,3))), "content")</f>
        <v>3</v>
      </c>
    </row>
    <row r="33" spans="1:10" ht="114.75" x14ac:dyDescent="0.25">
      <c r="A33" s="259">
        <f>SUBTOTAL(3,$B$33:B33)</f>
        <v>1</v>
      </c>
      <c r="B33" s="261" t="s">
        <v>240</v>
      </c>
      <c r="C33" s="259" t="str">
        <f>IF('Вводные 1'!D31 ="", "", 'Вводные 1'!D31)</f>
        <v>92-95</v>
      </c>
      <c r="D33" s="261" t="s">
        <v>241</v>
      </c>
      <c r="F33" s="323">
        <f>IF('Вводные 1'!B31 ="", "", 'Вводные 1'!B31)</f>
        <v>210</v>
      </c>
      <c r="G33" s="6">
        <f t="shared" ca="1" si="0"/>
        <v>1</v>
      </c>
      <c r="H33" s="6">
        <f t="array" ref="H33">MIN(IF(A34:A$173="",ROW(A34:A$173)))</f>
        <v>43</v>
      </c>
      <c r="I33" s="6" t="str">
        <f ca="1">IF(H33&lt;&gt;H32,COUNTA(C34:INDIRECT(ADDRESS(H33-1,3)))-COUNTBLANK(C34:INDIRECT(ADDRESS(H33-1,3))), "content")</f>
        <v>content</v>
      </c>
    </row>
    <row r="34" spans="1:10" s="260" customFormat="1" ht="25.5" x14ac:dyDescent="0.25">
      <c r="A34" s="259">
        <f>SUBTOTAL(3,$B$33:B34)</f>
        <v>2</v>
      </c>
      <c r="B34" s="1" t="s">
        <v>242</v>
      </c>
      <c r="C34" s="259" t="str">
        <f>IF('Вводные 1'!D32 ="", "", 'Вводные 1'!D32)</f>
        <v/>
      </c>
      <c r="D34" s="1"/>
      <c r="F34" s="323">
        <f>IF('Вводные 1'!B32 ="", "", 'Вводные 1'!B32)</f>
        <v>211</v>
      </c>
      <c r="G34" s="6">
        <f t="shared" ca="1" si="0"/>
        <v>0</v>
      </c>
      <c r="H34" s="6">
        <f t="array" ref="H34">MIN(IF(A35:A$173="",ROW(A35:A$173)))</f>
        <v>43</v>
      </c>
      <c r="I34" s="6" t="str">
        <f ca="1">IF(H34&lt;&gt;H33,COUNTA(C35:INDIRECT(ADDRESS(H34-1,3)))-COUNTBLANK(C35:INDIRECT(ADDRESS(H34-1,3))), "content")</f>
        <v>content</v>
      </c>
      <c r="J34" s="38"/>
    </row>
    <row r="35" spans="1:10" ht="102" x14ac:dyDescent="0.25">
      <c r="A35" s="259">
        <f>SUBTOTAL(3,$B$33:B35)</f>
        <v>3</v>
      </c>
      <c r="B35" s="261" t="s">
        <v>243</v>
      </c>
      <c r="C35" s="259" t="str">
        <f>IF('Вводные 1'!D33 ="", "", 'Вводные 1'!D33)</f>
        <v>15-18/4/+33-38/3.5-4.5/+63-70/3.5-5.5/+100-113/3.5-11/</v>
      </c>
      <c r="D35" s="261" t="s">
        <v>244</v>
      </c>
      <c r="F35" s="323">
        <f>IF('Вводные 1'!B33 ="", "", 'Вводные 1'!B33)</f>
        <v>212</v>
      </c>
      <c r="G35" s="6">
        <f t="shared" ca="1" si="0"/>
        <v>1</v>
      </c>
      <c r="H35" s="6">
        <f t="array" ref="H35">MIN(IF(A36:A$173="",ROW(A36:A$173)))</f>
        <v>43</v>
      </c>
      <c r="I35" s="6" t="str">
        <f ca="1">IF(H35&lt;&gt;H34,COUNTA(C36:INDIRECT(ADDRESS(H35-1,3)))-COUNTBLANK(C36:INDIRECT(ADDRESS(H35-1,3))), "content")</f>
        <v>content</v>
      </c>
    </row>
    <row r="36" spans="1:10" s="260" customFormat="1" ht="63.75" x14ac:dyDescent="0.25">
      <c r="A36" s="259">
        <f>SUBTOTAL(3,$B$33:B36)</f>
        <v>4</v>
      </c>
      <c r="B36" s="1" t="s">
        <v>245</v>
      </c>
      <c r="C36" s="259" t="str">
        <f>IF('Вводные 1'!D34 ="", "", 'Вводные 1'!D34)</f>
        <v/>
      </c>
      <c r="D36" s="1" t="s">
        <v>246</v>
      </c>
      <c r="F36" s="323">
        <f>IF('Вводные 1'!B34 ="", "", 'Вводные 1'!B34)</f>
        <v>220</v>
      </c>
      <c r="G36" s="6">
        <f t="shared" ca="1" si="0"/>
        <v>0</v>
      </c>
      <c r="H36" s="6">
        <f t="array" ref="H36">MIN(IF(A37:A$173="",ROW(A37:A$173)))</f>
        <v>43</v>
      </c>
      <c r="I36" s="6" t="str">
        <f ca="1">IF(H36&lt;&gt;H35,COUNTA(C37:INDIRECT(ADDRESS(H36-1,3)))-COUNTBLANK(C37:INDIRECT(ADDRESS(H36-1,3))), "content")</f>
        <v>content</v>
      </c>
      <c r="J36" s="38"/>
    </row>
    <row r="37" spans="1:10" s="260" customFormat="1" ht="38.25" x14ac:dyDescent="0.25">
      <c r="A37" s="259">
        <f>SUBTOTAL(3,$B$33:B37)</f>
        <v>5</v>
      </c>
      <c r="B37" s="1" t="s">
        <v>247</v>
      </c>
      <c r="C37" s="259" t="str">
        <f>IF('Вводные 1'!D35 ="", "", 'Вводные 1'!D35)</f>
        <v/>
      </c>
      <c r="D37" s="1"/>
      <c r="F37" s="323">
        <f>IF('Вводные 1'!B35 ="", "", 'Вводные 1'!B35)</f>
        <v>221</v>
      </c>
      <c r="G37" s="6">
        <f t="shared" ca="1" si="0"/>
        <v>0</v>
      </c>
      <c r="H37" s="6">
        <f t="array" ref="H37">MIN(IF(A38:A$173="",ROW(A38:A$173)))</f>
        <v>43</v>
      </c>
      <c r="I37" s="6" t="str">
        <f ca="1">IF(H37&lt;&gt;H36,COUNTA(C38:INDIRECT(ADDRESS(H37-1,3)))-COUNTBLANK(C38:INDIRECT(ADDRESS(H37-1,3))), "content")</f>
        <v>content</v>
      </c>
      <c r="J37" s="38"/>
    </row>
    <row r="38" spans="1:10" s="260" customFormat="1" ht="102" x14ac:dyDescent="0.25">
      <c r="A38" s="259">
        <f>SUBTOTAL(3,$B$33:B38)</f>
        <v>6</v>
      </c>
      <c r="B38" s="1" t="s">
        <v>248</v>
      </c>
      <c r="C38" s="259" t="str">
        <f>IF('Вводные 1'!D36 ="", "", 'Вводные 1'!D36)</f>
        <v/>
      </c>
      <c r="D38" s="1" t="s">
        <v>244</v>
      </c>
      <c r="F38" s="323">
        <f>IF('Вводные 1'!B36 ="", "", 'Вводные 1'!B36)</f>
        <v>222</v>
      </c>
      <c r="G38" s="6">
        <f t="shared" ca="1" si="0"/>
        <v>0</v>
      </c>
      <c r="H38" s="6">
        <f t="array" ref="H38">MIN(IF(A39:A$173="",ROW(A39:A$173)))</f>
        <v>43</v>
      </c>
      <c r="I38" s="6" t="str">
        <f ca="1">IF(H38&lt;&gt;H37,COUNTA(C39:INDIRECT(ADDRESS(H38-1,3)))-COUNTBLANK(C39:INDIRECT(ADDRESS(H38-1,3))), "content")</f>
        <v>content</v>
      </c>
      <c r="J38" s="38"/>
    </row>
    <row r="39" spans="1:10" ht="63.75" x14ac:dyDescent="0.25">
      <c r="A39" s="259">
        <f>SUBTOTAL(3,$B$33:B39)</f>
        <v>7</v>
      </c>
      <c r="B39" s="261" t="s">
        <v>249</v>
      </c>
      <c r="C39" s="259" t="str">
        <f>IF('Вводные 1'!D37 ="", "", 'Вводные 1'!D37)</f>
        <v/>
      </c>
      <c r="D39" s="261" t="s">
        <v>250</v>
      </c>
      <c r="F39" s="323">
        <f>IF('Вводные 1'!B37 ="", "", 'Вводные 1'!B37)</f>
        <v>230</v>
      </c>
      <c r="G39" s="6">
        <f t="shared" ca="1" si="0"/>
        <v>0</v>
      </c>
      <c r="H39" s="6">
        <f t="array" ref="H39">MIN(IF(A40:A$173="",ROW(A40:A$173)))</f>
        <v>43</v>
      </c>
      <c r="I39" s="6" t="str">
        <f ca="1">IF(H39&lt;&gt;H38,COUNTA(C40:INDIRECT(ADDRESS(H39-1,3)))-COUNTBLANK(C40:INDIRECT(ADDRESS(H39-1,3))), "content")</f>
        <v>content</v>
      </c>
    </row>
    <row r="40" spans="1:10" ht="51" x14ac:dyDescent="0.25">
      <c r="A40" s="259">
        <f>SUBTOTAL(3,$B$33:B40)</f>
        <v>8</v>
      </c>
      <c r="B40" s="261" t="s">
        <v>251</v>
      </c>
      <c r="C40" s="259" t="str">
        <f>IF('Вводные 1'!D38 ="", "", 'Вводные 1'!D38)</f>
        <v>121-128/3.5/</v>
      </c>
      <c r="D40" s="261" t="s">
        <v>252</v>
      </c>
      <c r="F40" s="323">
        <f>IF('Вводные 1'!B38 ="", "", 'Вводные 1'!B38)</f>
        <v>231</v>
      </c>
      <c r="G40" s="6">
        <f t="shared" ca="1" si="0"/>
        <v>1</v>
      </c>
      <c r="H40" s="6">
        <f t="array" ref="H40">MIN(IF(A41:A$173="",ROW(A41:A$173)))</f>
        <v>43</v>
      </c>
      <c r="I40" s="6" t="str">
        <f ca="1">IF(H40&lt;&gt;H39,COUNTA(C41:INDIRECT(ADDRESS(H40-1,3)))-COUNTBLANK(C41:INDIRECT(ADDRESS(H40-1,3))), "content")</f>
        <v>content</v>
      </c>
    </row>
    <row r="41" spans="1:10" ht="140.25" x14ac:dyDescent="0.25">
      <c r="A41" s="259">
        <f>SUBTOTAL(3,$B$33:B41)</f>
        <v>9</v>
      </c>
      <c r="B41" s="261" t="s">
        <v>253</v>
      </c>
      <c r="C41" s="259" t="str">
        <f>IF('Вводные 1'!D39 ="", "", 'Вводные 1'!D39)</f>
        <v/>
      </c>
      <c r="D41" s="261" t="s">
        <v>254</v>
      </c>
      <c r="F41" s="323">
        <f>IF('Вводные 1'!B39 ="", "", 'Вводные 1'!B39)</f>
        <v>232</v>
      </c>
      <c r="G41" s="6">
        <f t="shared" ca="1" si="0"/>
        <v>0</v>
      </c>
      <c r="H41" s="6">
        <f t="array" ref="H41">MIN(IF(A42:A$173="",ROW(A42:A$173)))</f>
        <v>43</v>
      </c>
      <c r="I41" s="6" t="str">
        <f ca="1">IF(H41&lt;&gt;H40,COUNTA(C42:INDIRECT(ADDRESS(H41-1,3)))-COUNTBLANK(C42:INDIRECT(ADDRESS(H41-1,3))), "content")</f>
        <v>content</v>
      </c>
    </row>
    <row r="42" spans="1:10" s="260" customFormat="1" ht="38.25" x14ac:dyDescent="0.25">
      <c r="A42" s="259">
        <f>SUBTOTAL(3,$B$33:B42)</f>
        <v>10</v>
      </c>
      <c r="B42" s="1" t="s">
        <v>255</v>
      </c>
      <c r="C42" s="259" t="str">
        <f>IF('Вводные 1'!D40 ="", "", 'Вводные 1'!D40)</f>
        <v/>
      </c>
      <c r="D42" s="1"/>
      <c r="F42" s="323">
        <f>IF('Вводные 1'!B40 ="", "", 'Вводные 1'!B40)</f>
        <v>233</v>
      </c>
      <c r="G42" s="6">
        <f t="shared" ca="1" si="0"/>
        <v>0</v>
      </c>
      <c r="H42" s="6">
        <f t="array" ref="H42">MIN(IF(A43:A$173="",ROW(A43:A$173)))</f>
        <v>43</v>
      </c>
      <c r="I42" s="6" t="str">
        <f ca="1">IF(H42&lt;&gt;H41,COUNTA(C43:INDIRECT(ADDRESS(H42-1,3)))-COUNTBLANK(C43:INDIRECT(ADDRESS(H42-1,3))), "content")</f>
        <v>content</v>
      </c>
      <c r="J42" s="38"/>
    </row>
    <row r="43" spans="1:10" ht="12.75" customHeight="1" x14ac:dyDescent="0.25">
      <c r="A43" s="259"/>
      <c r="B43" s="423" t="s">
        <v>553</v>
      </c>
      <c r="C43" s="423"/>
      <c r="D43" s="423"/>
      <c r="F43" s="324"/>
      <c r="G43" s="6">
        <f ca="1">IF(OR(B43="", I43=0), 0, 1)</f>
        <v>1</v>
      </c>
      <c r="H43" s="6">
        <f t="array" ref="H43">MIN(IF(A44:A$173="",ROW(A44:A$173)))</f>
        <v>58</v>
      </c>
      <c r="I43" s="6">
        <f ca="1">IF(H43&lt;&gt;H42,COUNTA(C44:INDIRECT(ADDRESS(H43-1,3)))-COUNTBLANK(C44:INDIRECT(ADDRESS(H43-1,3))), "content")</f>
        <v>2</v>
      </c>
    </row>
    <row r="44" spans="1:10" s="260" customFormat="1" ht="25.5" x14ac:dyDescent="0.25">
      <c r="A44" s="259">
        <f>SUBTOTAL(3,$B$44:B44)</f>
        <v>1</v>
      </c>
      <c r="B44" s="1" t="s">
        <v>256</v>
      </c>
      <c r="C44" s="259" t="str">
        <f>IF('Вводные 1'!D41 ="", "", 'Вводные 1'!D41)</f>
        <v/>
      </c>
      <c r="D44" s="1"/>
      <c r="F44" s="323">
        <f>IF('Вводные 1'!B41 ="", "", 'Вводные 1'!B41)</f>
        <v>310</v>
      </c>
      <c r="G44" s="6">
        <f t="shared" ca="1" si="0"/>
        <v>0</v>
      </c>
      <c r="H44" s="6">
        <f t="array" ref="H44">MIN(IF(A45:A$173="",ROW(A45:A$173)))</f>
        <v>58</v>
      </c>
      <c r="I44" s="6" t="str">
        <f ca="1">IF(H44&lt;&gt;H43,COUNTA(C45:INDIRECT(ADDRESS(H44-1,3)))-COUNTBLANK(C45:INDIRECT(ADDRESS(H44-1,3))), "content")</f>
        <v>content</v>
      </c>
      <c r="J44" s="38"/>
    </row>
    <row r="45" spans="1:10" s="260" customFormat="1" ht="38.25" x14ac:dyDescent="0.25">
      <c r="A45" s="259">
        <f>SUBTOTAL(3,$B$44:B45)</f>
        <v>2</v>
      </c>
      <c r="B45" s="1" t="s">
        <v>257</v>
      </c>
      <c r="C45" s="259" t="str">
        <f>IF('Вводные 1'!D42 ="", "", 'Вводные 1'!D42)</f>
        <v/>
      </c>
      <c r="D45" s="1"/>
      <c r="F45" s="323">
        <f>IF('Вводные 1'!B42 ="", "", 'Вводные 1'!B42)</f>
        <v>311</v>
      </c>
      <c r="G45" s="6">
        <f t="shared" ca="1" si="0"/>
        <v>0</v>
      </c>
      <c r="H45" s="6">
        <f t="array" ref="H45">MIN(IF(A46:A$173="",ROW(A46:A$173)))</f>
        <v>58</v>
      </c>
      <c r="I45" s="6" t="str">
        <f ca="1">IF(H45&lt;&gt;H44,COUNTA(C46:INDIRECT(ADDRESS(H45-1,3)))-COUNTBLANK(C46:INDIRECT(ADDRESS(H45-1,3))), "content")</f>
        <v>content</v>
      </c>
      <c r="J45" s="38"/>
    </row>
    <row r="46" spans="1:10" s="260" customFormat="1" ht="51" x14ac:dyDescent="0.25">
      <c r="A46" s="259">
        <f>SUBTOTAL(3,$B$44:B46)</f>
        <v>3</v>
      </c>
      <c r="B46" s="1" t="s">
        <v>258</v>
      </c>
      <c r="C46" s="259" t="str">
        <f>IF('Вводные 1'!D43 ="", "", 'Вводные 1'!D43)</f>
        <v/>
      </c>
      <c r="D46" s="1"/>
      <c r="F46" s="323">
        <f>IF('Вводные 1'!B43 ="", "", 'Вводные 1'!B43)</f>
        <v>312</v>
      </c>
      <c r="G46" s="6">
        <f t="shared" ca="1" si="0"/>
        <v>0</v>
      </c>
      <c r="H46" s="6">
        <f t="array" ref="H46">MIN(IF(A47:A$173="",ROW(A47:A$173)))</f>
        <v>58</v>
      </c>
      <c r="I46" s="6" t="str">
        <f ca="1">IF(H46&lt;&gt;H45,COUNTA(C47:INDIRECT(ADDRESS(H46-1,3)))-COUNTBLANK(C47:INDIRECT(ADDRESS(H46-1,3))), "content")</f>
        <v>content</v>
      </c>
      <c r="J46" s="38"/>
    </row>
    <row r="47" spans="1:10" s="260" customFormat="1" ht="25.5" x14ac:dyDescent="0.25">
      <c r="A47" s="259">
        <f>SUBTOTAL(3,$B$44:B47)</f>
        <v>4</v>
      </c>
      <c r="B47" s="1" t="s">
        <v>259</v>
      </c>
      <c r="C47" s="259" t="str">
        <f>IF('Вводные 1'!D44 ="", "", 'Вводные 1'!D44)</f>
        <v/>
      </c>
      <c r="D47" s="1"/>
      <c r="F47" s="323">
        <f>IF('Вводные 1'!B44 ="", "", 'Вводные 1'!B44)</f>
        <v>313</v>
      </c>
      <c r="G47" s="6">
        <f t="shared" ca="1" si="0"/>
        <v>0</v>
      </c>
      <c r="H47" s="6">
        <f t="array" ref="H47">MIN(IF(A48:A$173="",ROW(A48:A$173)))</f>
        <v>58</v>
      </c>
      <c r="I47" s="6" t="str">
        <f ca="1">IF(H47&lt;&gt;H46,COUNTA(C48:INDIRECT(ADDRESS(H47-1,3)))-COUNTBLANK(C48:INDIRECT(ADDRESS(H47-1,3))), "content")</f>
        <v>content</v>
      </c>
      <c r="J47" s="38"/>
    </row>
    <row r="48" spans="1:10" s="260" customFormat="1" ht="38.25" x14ac:dyDescent="0.25">
      <c r="A48" s="259">
        <f>SUBTOTAL(3,$B$44:B48)</f>
        <v>5</v>
      </c>
      <c r="B48" s="1" t="s">
        <v>260</v>
      </c>
      <c r="C48" s="259" t="str">
        <f>IF('Вводные 1'!D45 ="", "", 'Вводные 1'!D45)</f>
        <v/>
      </c>
      <c r="D48" s="1"/>
      <c r="F48" s="323">
        <f>IF('Вводные 1'!B45 ="", "", 'Вводные 1'!B45)</f>
        <v>314</v>
      </c>
      <c r="G48" s="6">
        <f t="shared" ca="1" si="0"/>
        <v>0</v>
      </c>
      <c r="H48" s="6">
        <f t="array" ref="H48">MIN(IF(A49:A$173="",ROW(A49:A$173)))</f>
        <v>58</v>
      </c>
      <c r="I48" s="6" t="str">
        <f ca="1">IF(H48&lt;&gt;H47,COUNTA(C49:INDIRECT(ADDRESS(H48-1,3)))-COUNTBLANK(C49:INDIRECT(ADDRESS(H48-1,3))), "content")</f>
        <v>content</v>
      </c>
      <c r="J48" s="38"/>
    </row>
    <row r="49" spans="1:10" s="260" customFormat="1" ht="15" x14ac:dyDescent="0.25">
      <c r="A49" s="259">
        <f>SUBTOTAL(3,$B$44:B49)</f>
        <v>6</v>
      </c>
      <c r="B49" s="1" t="s">
        <v>261</v>
      </c>
      <c r="C49" s="259" t="str">
        <f>IF('Вводные 1'!D46 ="", "", 'Вводные 1'!D46)</f>
        <v/>
      </c>
      <c r="D49" s="1"/>
      <c r="F49" s="323">
        <f>IF('Вводные 1'!B46 ="", "", 'Вводные 1'!B46)</f>
        <v>315</v>
      </c>
      <c r="G49" s="6">
        <f t="shared" ca="1" si="0"/>
        <v>0</v>
      </c>
      <c r="H49" s="6">
        <f t="array" ref="H49">MIN(IF(A50:A$173="",ROW(A50:A$173)))</f>
        <v>58</v>
      </c>
      <c r="I49" s="6" t="str">
        <f ca="1">IF(H49&lt;&gt;H48,COUNTA(C50:INDIRECT(ADDRESS(H49-1,3)))-COUNTBLANK(C50:INDIRECT(ADDRESS(H49-1,3))), "content")</f>
        <v>content</v>
      </c>
      <c r="J49" s="38"/>
    </row>
    <row r="50" spans="1:10" ht="102" x14ac:dyDescent="0.25">
      <c r="A50" s="259">
        <f>SUBTOTAL(3,$B$44:B50)</f>
        <v>7</v>
      </c>
      <c r="B50" s="261" t="s">
        <v>262</v>
      </c>
      <c r="C50" s="259" t="str">
        <f>IF('Вводные 1'!D47 ="", "", 'Вводные 1'!D47)</f>
        <v/>
      </c>
      <c r="D50" s="261"/>
      <c r="F50" s="323">
        <f>IF('Вводные 1'!B47 ="", "", 'Вводные 1'!B47)</f>
        <v>320</v>
      </c>
      <c r="G50" s="6">
        <f t="shared" ca="1" si="0"/>
        <v>0</v>
      </c>
      <c r="H50" s="6">
        <f t="array" ref="H50">MIN(IF(A51:A$173="",ROW(A51:A$173)))</f>
        <v>58</v>
      </c>
      <c r="I50" s="6" t="str">
        <f ca="1">IF(H50&lt;&gt;H49,COUNTA(C51:INDIRECT(ADDRESS(H50-1,3)))-COUNTBLANK(C51:INDIRECT(ADDRESS(H50-1,3))), "content")</f>
        <v>content</v>
      </c>
    </row>
    <row r="51" spans="1:10" s="260" customFormat="1" ht="25.5" x14ac:dyDescent="0.25">
      <c r="A51" s="259">
        <f>SUBTOTAL(3,$B$44:B51)</f>
        <v>8</v>
      </c>
      <c r="B51" s="1" t="s">
        <v>263</v>
      </c>
      <c r="C51" s="259" t="str">
        <f>IF('Вводные 1'!D48 ="", "", 'Вводные 1'!D48)</f>
        <v/>
      </c>
      <c r="D51" s="1"/>
      <c r="F51" s="323">
        <f>IF('Вводные 1'!B48 ="", "", 'Вводные 1'!B48)</f>
        <v>321</v>
      </c>
      <c r="G51" s="6">
        <f t="shared" ca="1" si="0"/>
        <v>0</v>
      </c>
      <c r="H51" s="6">
        <f t="array" ref="H51">MIN(IF(A52:A$173="",ROW(A52:A$173)))</f>
        <v>58</v>
      </c>
      <c r="I51" s="6" t="str">
        <f ca="1">IF(H51&lt;&gt;H50,COUNTA(C52:INDIRECT(ADDRESS(H51-1,3)))-COUNTBLANK(C52:INDIRECT(ADDRESS(H51-1,3))), "content")</f>
        <v>content</v>
      </c>
      <c r="J51" s="38"/>
    </row>
    <row r="52" spans="1:10" s="260" customFormat="1" ht="25.5" x14ac:dyDescent="0.25">
      <c r="A52" s="259">
        <f>SUBTOTAL(3,$B$44:B52)</f>
        <v>9</v>
      </c>
      <c r="B52" s="1" t="s">
        <v>264</v>
      </c>
      <c r="C52" s="259" t="str">
        <f>IF('Вводные 1'!D49 ="", "", 'Вводные 1'!D49)</f>
        <v/>
      </c>
      <c r="D52" s="1"/>
      <c r="F52" s="323">
        <f>IF('Вводные 1'!B49 ="", "", 'Вводные 1'!B49)</f>
        <v>322</v>
      </c>
      <c r="G52" s="6">
        <f t="shared" ca="1" si="0"/>
        <v>0</v>
      </c>
      <c r="H52" s="6">
        <f t="array" ref="H52">MIN(IF(A53:A$173="",ROW(A53:A$173)))</f>
        <v>58</v>
      </c>
      <c r="I52" s="6" t="str">
        <f ca="1">IF(H52&lt;&gt;H51,COUNTA(C53:INDIRECT(ADDRESS(H52-1,3)))-COUNTBLANK(C53:INDIRECT(ADDRESS(H52-1,3))), "content")</f>
        <v>content</v>
      </c>
      <c r="J52" s="38"/>
    </row>
    <row r="53" spans="1:10" s="260" customFormat="1" ht="63.75" x14ac:dyDescent="0.25">
      <c r="A53" s="259">
        <f>SUBTOTAL(3,$B$44:B53)</f>
        <v>10</v>
      </c>
      <c r="B53" s="1" t="s">
        <v>265</v>
      </c>
      <c r="C53" s="259" t="str">
        <f>IF('Вводные 1'!D50 ="", "", 'Вводные 1'!D50)</f>
        <v>20-24+39-43+72-75+129-132</v>
      </c>
      <c r="D53" s="1" t="s">
        <v>246</v>
      </c>
      <c r="F53" s="323">
        <f>IF('Вводные 1'!B50 ="", "", 'Вводные 1'!B50)</f>
        <v>330</v>
      </c>
      <c r="G53" s="6">
        <f t="shared" ca="1" si="0"/>
        <v>1</v>
      </c>
      <c r="H53" s="6">
        <f t="array" ref="H53">MIN(IF(A54:A$173="",ROW(A54:A$173)))</f>
        <v>58</v>
      </c>
      <c r="I53" s="6" t="str">
        <f ca="1">IF(H53&lt;&gt;H52,COUNTA(C54:INDIRECT(ADDRESS(H53-1,3)))-COUNTBLANK(C54:INDIRECT(ADDRESS(H53-1,3))), "content")</f>
        <v>content</v>
      </c>
      <c r="J53" s="38"/>
    </row>
    <row r="54" spans="1:10" s="260" customFormat="1" ht="76.5" x14ac:dyDescent="0.25">
      <c r="A54" s="259">
        <f>SUBTOTAL(3,$B$44:B54)</f>
        <v>11</v>
      </c>
      <c r="B54" s="1" t="s">
        <v>266</v>
      </c>
      <c r="C54" s="259" t="str">
        <f>IF('Вводные 1'!D51 ="", "", 'Вводные 1'!D51)</f>
        <v>96-99/4-5/</v>
      </c>
      <c r="D54" s="1" t="s">
        <v>267</v>
      </c>
      <c r="F54" s="323">
        <f>IF('Вводные 1'!B51 ="", "", 'Вводные 1'!B51)</f>
        <v>331</v>
      </c>
      <c r="G54" s="6">
        <f t="shared" ca="1" si="0"/>
        <v>1</v>
      </c>
      <c r="H54" s="6">
        <f t="array" ref="H54">MIN(IF(A55:A$173="",ROW(A55:A$173)))</f>
        <v>58</v>
      </c>
      <c r="I54" s="6" t="str">
        <f ca="1">IF(H54&lt;&gt;H53,COUNTA(C55:INDIRECT(ADDRESS(H54-1,3)))-COUNTBLANK(C55:INDIRECT(ADDRESS(H54-1,3))), "content")</f>
        <v>content</v>
      </c>
      <c r="J54" s="38"/>
    </row>
    <row r="55" spans="1:10" s="260" customFormat="1" ht="63.75" x14ac:dyDescent="0.25">
      <c r="A55" s="259">
        <f>SUBTOTAL(3,$B$44:B55)</f>
        <v>12</v>
      </c>
      <c r="B55" s="1" t="s">
        <v>268</v>
      </c>
      <c r="C55" s="259" t="str">
        <f>IF('Вводные 1'!D52 ="", "", 'Вводные 1'!D52)</f>
        <v/>
      </c>
      <c r="D55" s="1"/>
      <c r="F55" s="323">
        <f>IF('Вводные 1'!B52 ="", "", 'Вводные 1'!B52)</f>
        <v>340</v>
      </c>
      <c r="G55" s="6">
        <f t="shared" ca="1" si="0"/>
        <v>0</v>
      </c>
      <c r="H55" s="6">
        <f t="array" ref="H55">MIN(IF(A56:A$173="",ROW(A56:A$173)))</f>
        <v>58</v>
      </c>
      <c r="I55" s="6" t="str">
        <f ca="1">IF(H55&lt;&gt;H54,COUNTA(C56:INDIRECT(ADDRESS(H55-1,3)))-COUNTBLANK(C56:INDIRECT(ADDRESS(H55-1,3))), "content")</f>
        <v>content</v>
      </c>
      <c r="J55" s="38"/>
    </row>
    <row r="56" spans="1:10" s="260" customFormat="1" ht="63.75" x14ac:dyDescent="0.25">
      <c r="A56" s="259">
        <f>SUBTOTAL(3,$B$44:B56)</f>
        <v>13</v>
      </c>
      <c r="B56" s="1" t="s">
        <v>269</v>
      </c>
      <c r="C56" s="259" t="str">
        <f>IF('Вводные 1'!D53 ="", "", 'Вводные 1'!D53)</f>
        <v/>
      </c>
      <c r="D56" s="1"/>
      <c r="F56" s="323">
        <f>IF('Вводные 1'!B53 ="", "", 'Вводные 1'!B53)</f>
        <v>341</v>
      </c>
      <c r="G56" s="6">
        <f t="shared" ca="1" si="0"/>
        <v>0</v>
      </c>
      <c r="H56" s="6">
        <f t="array" ref="H56">MIN(IF(A57:A$173="",ROW(A57:A$173)))</f>
        <v>58</v>
      </c>
      <c r="I56" s="6" t="str">
        <f ca="1">IF(H56&lt;&gt;H55,COUNTA(C57:INDIRECT(ADDRESS(H56-1,3)))-COUNTBLANK(C57:INDIRECT(ADDRESS(H56-1,3))), "content")</f>
        <v>content</v>
      </c>
      <c r="J56" s="38"/>
    </row>
    <row r="57" spans="1:10" s="260" customFormat="1" ht="25.5" x14ac:dyDescent="0.25">
      <c r="A57" s="259">
        <f>SUBTOTAL(3,$B$44:B57)</f>
        <v>14</v>
      </c>
      <c r="B57" s="1" t="s">
        <v>270</v>
      </c>
      <c r="C57" s="259" t="str">
        <f>IF('Вводные 1'!D54 ="", "", 'Вводные 1'!D54)</f>
        <v/>
      </c>
      <c r="D57" s="1"/>
      <c r="F57" s="323">
        <f>IF('Вводные 1'!B54 ="", "", 'Вводные 1'!B54)</f>
        <v>342</v>
      </c>
      <c r="G57" s="6">
        <f t="shared" ca="1" si="0"/>
        <v>0</v>
      </c>
      <c r="H57" s="6">
        <f t="array" ref="H57">MIN(IF(A58:A$173="",ROW(A58:A$173)))</f>
        <v>58</v>
      </c>
      <c r="I57" s="6" t="str">
        <f ca="1">IF(H57&lt;&gt;H56,COUNTA(C58:INDIRECT(ADDRESS(H57-1,3)))-COUNTBLANK(C58:INDIRECT(ADDRESS(H57-1,3))), "content")</f>
        <v>content</v>
      </c>
      <c r="J57" s="38"/>
    </row>
    <row r="58" spans="1:10" ht="12.75" customHeight="1" x14ac:dyDescent="0.25">
      <c r="A58" s="259"/>
      <c r="B58" s="423" t="s">
        <v>271</v>
      </c>
      <c r="C58" s="423"/>
      <c r="D58" s="423"/>
      <c r="F58" s="324"/>
      <c r="G58" s="6">
        <f ca="1">IF(OR(B58="", I58=0), 0, 1)</f>
        <v>1</v>
      </c>
      <c r="H58" s="6">
        <f t="array" ref="H58">MIN(IF(A59:A$173="",ROW(A59:A$173)))</f>
        <v>74</v>
      </c>
      <c r="I58" s="6">
        <f ca="1">IF(H58&lt;&gt;H57,COUNTA(C59:INDIRECT(ADDRESS(H58-1,3)))-COUNTBLANK(C59:INDIRECT(ADDRESS(H58-1,3))), "content")</f>
        <v>1</v>
      </c>
    </row>
    <row r="59" spans="1:10" s="260" customFormat="1" ht="25.5" x14ac:dyDescent="0.25">
      <c r="A59" s="259">
        <f>SUBTOTAL(3,$B$59:B59)</f>
        <v>1</v>
      </c>
      <c r="B59" s="1" t="s">
        <v>272</v>
      </c>
      <c r="C59" s="259" t="str">
        <f>IF('Вводные 1'!D55 ="", "", 'Вводные 1'!D55)</f>
        <v/>
      </c>
      <c r="D59" s="1"/>
      <c r="F59" s="323">
        <f>IF('Вводные 1'!B55 ="", "", 'Вводные 1'!B55)</f>
        <v>410</v>
      </c>
      <c r="G59" s="6">
        <f t="shared" ca="1" si="0"/>
        <v>0</v>
      </c>
      <c r="H59" s="6">
        <f t="array" ref="H59">MIN(IF(A60:A$173="",ROW(A60:A$173)))</f>
        <v>74</v>
      </c>
      <c r="I59" s="6" t="str">
        <f ca="1">IF(H59&lt;&gt;H58,COUNTA(C60:INDIRECT(ADDRESS(H59-1,3)))-COUNTBLANK(C60:INDIRECT(ADDRESS(H59-1,3))), "content")</f>
        <v>content</v>
      </c>
      <c r="J59" s="38"/>
    </row>
    <row r="60" spans="1:10" ht="51" x14ac:dyDescent="0.25">
      <c r="A60" s="259">
        <f>SUBTOTAL(3,$B$59:B60)</f>
        <v>2</v>
      </c>
      <c r="B60" s="261" t="s">
        <v>273</v>
      </c>
      <c r="C60" s="259" t="str">
        <f>IF('Вводные 1'!D56 ="", "", 'Вводные 1'!D56)</f>
        <v/>
      </c>
      <c r="D60" s="261" t="s">
        <v>274</v>
      </c>
      <c r="F60" s="323">
        <f>IF('Вводные 1'!B56 ="", "", 'Вводные 1'!B56)</f>
        <v>411</v>
      </c>
      <c r="G60" s="6">
        <f t="shared" ca="1" si="0"/>
        <v>0</v>
      </c>
      <c r="H60" s="6">
        <f t="array" ref="H60">MIN(IF(A61:A$173="",ROW(A61:A$173)))</f>
        <v>74</v>
      </c>
      <c r="I60" s="6" t="str">
        <f ca="1">IF(H60&lt;&gt;H59,COUNTA(C61:INDIRECT(ADDRESS(H60-1,3)))-COUNTBLANK(C61:INDIRECT(ADDRESS(H60-1,3))), "content")</f>
        <v>content</v>
      </c>
    </row>
    <row r="61" spans="1:10" ht="63.75" x14ac:dyDescent="0.25">
      <c r="A61" s="259">
        <f>SUBTOTAL(3,$B$59:B61)</f>
        <v>3</v>
      </c>
      <c r="B61" s="261" t="s">
        <v>275</v>
      </c>
      <c r="C61" s="259" t="str">
        <f>IF('Вводные 1'!D57 ="", "", 'Вводные 1'!D57)</f>
        <v/>
      </c>
      <c r="D61" s="261" t="s">
        <v>276</v>
      </c>
      <c r="F61" s="323">
        <f>IF('Вводные 1'!B57 ="", "", 'Вводные 1'!B57)</f>
        <v>412</v>
      </c>
      <c r="G61" s="6">
        <f t="shared" ca="1" si="0"/>
        <v>0</v>
      </c>
      <c r="H61" s="6">
        <f t="array" ref="H61">MIN(IF(A62:A$173="",ROW(A62:A$173)))</f>
        <v>74</v>
      </c>
      <c r="I61" s="6" t="str">
        <f ca="1">IF(H61&lt;&gt;H60,COUNTA(C62:INDIRECT(ADDRESS(H61-1,3)))-COUNTBLANK(C62:INDIRECT(ADDRESS(H61-1,3))), "content")</f>
        <v>content</v>
      </c>
    </row>
    <row r="62" spans="1:10" ht="51" x14ac:dyDescent="0.25">
      <c r="A62" s="259">
        <f>SUBTOTAL(3,$B$59:B62)</f>
        <v>4</v>
      </c>
      <c r="B62" s="261" t="s">
        <v>277</v>
      </c>
      <c r="C62" s="259" t="str">
        <f>IF('Вводные 1'!D58 ="", "", 'Вводные 1'!D58)</f>
        <v/>
      </c>
      <c r="D62" s="261" t="s">
        <v>274</v>
      </c>
      <c r="F62" s="323">
        <f>IF('Вводные 1'!B58 ="", "", 'Вводные 1'!B58)</f>
        <v>413</v>
      </c>
      <c r="G62" s="6">
        <f t="shared" ca="1" si="0"/>
        <v>0</v>
      </c>
      <c r="H62" s="6">
        <f t="array" ref="H62">MIN(IF(A63:A$173="",ROW(A63:A$173)))</f>
        <v>74</v>
      </c>
      <c r="I62" s="6" t="str">
        <f ca="1">IF(H62&lt;&gt;H61,COUNTA(C63:INDIRECT(ADDRESS(H62-1,3)))-COUNTBLANK(C63:INDIRECT(ADDRESS(H62-1,3))), "content")</f>
        <v>content</v>
      </c>
    </row>
    <row r="63" spans="1:10" ht="51" x14ac:dyDescent="0.25">
      <c r="A63" s="259">
        <f>SUBTOTAL(3,$B$59:B63)</f>
        <v>5</v>
      </c>
      <c r="B63" s="261" t="s">
        <v>278</v>
      </c>
      <c r="C63" s="259" t="str">
        <f>IF('Вводные 1'!D59 ="", "", 'Вводные 1'!D59)</f>
        <v>3-4/4/+31-32/3/+61-62/5/+82-83/4/</v>
      </c>
      <c r="D63" s="261" t="s">
        <v>279</v>
      </c>
      <c r="F63" s="323">
        <f>IF('Вводные 1'!B59 ="", "", 'Вводные 1'!B59)</f>
        <v>414</v>
      </c>
      <c r="G63" s="6">
        <f t="shared" ca="1" si="0"/>
        <v>1</v>
      </c>
      <c r="H63" s="6">
        <f t="array" ref="H63">MIN(IF(A64:A$173="",ROW(A64:A$173)))</f>
        <v>74</v>
      </c>
      <c r="I63" s="6" t="str">
        <f ca="1">IF(H63&lt;&gt;H62,COUNTA(C64:INDIRECT(ADDRESS(H63-1,3)))-COUNTBLANK(C64:INDIRECT(ADDRESS(H63-1,3))), "content")</f>
        <v>content</v>
      </c>
    </row>
    <row r="64" spans="1:10" s="260" customFormat="1" ht="191.25" x14ac:dyDescent="0.25">
      <c r="A64" s="259">
        <f>SUBTOTAL(3,$B$59:B64)</f>
        <v>6</v>
      </c>
      <c r="B64" s="1" t="s">
        <v>280</v>
      </c>
      <c r="C64" s="259" t="str">
        <f>IF('Вводные 1'!D60 ="", "", 'Вводные 1'!D60)</f>
        <v/>
      </c>
      <c r="D64" s="1"/>
      <c r="F64" s="323">
        <f>IF('Вводные 1'!B60 ="", "", 'Вводные 1'!B60)</f>
        <v>415</v>
      </c>
      <c r="G64" s="6">
        <f t="shared" ca="1" si="0"/>
        <v>0</v>
      </c>
      <c r="H64" s="6">
        <f t="array" ref="H64">MIN(IF(A65:A$173="",ROW(A65:A$173)))</f>
        <v>74</v>
      </c>
      <c r="I64" s="6" t="str">
        <f ca="1">IF(H64&lt;&gt;H63,COUNTA(C65:INDIRECT(ADDRESS(H64-1,3)))-COUNTBLANK(C65:INDIRECT(ADDRESS(H64-1,3))), "content")</f>
        <v>content</v>
      </c>
      <c r="J64" s="38"/>
    </row>
    <row r="65" spans="1:10" s="260" customFormat="1" ht="25.5" x14ac:dyDescent="0.25">
      <c r="A65" s="259">
        <f>SUBTOTAL(3,$B$59:B65)</f>
        <v>7</v>
      </c>
      <c r="B65" s="1" t="s">
        <v>281</v>
      </c>
      <c r="C65" s="259" t="str">
        <f>IF('Вводные 1'!D61 ="", "", 'Вводные 1'!D61)</f>
        <v/>
      </c>
      <c r="D65" s="1"/>
      <c r="F65" s="323">
        <f>IF('Вводные 1'!B61 ="", "", 'Вводные 1'!B61)</f>
        <v>416</v>
      </c>
      <c r="G65" s="6">
        <f t="shared" ca="1" si="0"/>
        <v>0</v>
      </c>
      <c r="H65" s="6">
        <f t="array" ref="H65">MIN(IF(A66:A$173="",ROW(A66:A$173)))</f>
        <v>74</v>
      </c>
      <c r="I65" s="6" t="str">
        <f ca="1">IF(H65&lt;&gt;H64,COUNTA(C66:INDIRECT(ADDRESS(H65-1,3)))-COUNTBLANK(C66:INDIRECT(ADDRESS(H65-1,3))), "content")</f>
        <v>content</v>
      </c>
      <c r="J65" s="38"/>
    </row>
    <row r="66" spans="1:10" s="260" customFormat="1" ht="76.5" x14ac:dyDescent="0.25">
      <c r="A66" s="259">
        <f>SUBTOTAL(3,$B$59:B66)</f>
        <v>8</v>
      </c>
      <c r="B66" s="1" t="s">
        <v>282</v>
      </c>
      <c r="C66" s="259" t="str">
        <f>IF('Вводные 1'!D62 ="", "", 'Вводные 1'!D62)</f>
        <v/>
      </c>
      <c r="D66" s="1" t="s">
        <v>283</v>
      </c>
      <c r="F66" s="323">
        <f>IF('Вводные 1'!B62 ="", "", 'Вводные 1'!B62)</f>
        <v>420</v>
      </c>
      <c r="G66" s="6">
        <f t="shared" ca="1" si="0"/>
        <v>0</v>
      </c>
      <c r="H66" s="6">
        <f t="array" ref="H66">MIN(IF(A67:A$173="",ROW(A67:A$173)))</f>
        <v>74</v>
      </c>
      <c r="I66" s="6" t="str">
        <f ca="1">IF(H66&lt;&gt;H65,COUNTA(C67:INDIRECT(ADDRESS(H66-1,3)))-COUNTBLANK(C67:INDIRECT(ADDRESS(H66-1,3))), "content")</f>
        <v>content</v>
      </c>
      <c r="J66" s="38"/>
    </row>
    <row r="67" spans="1:10" s="260" customFormat="1" ht="76.5" x14ac:dyDescent="0.25">
      <c r="A67" s="259">
        <f>SUBTOTAL(3,$B$59:B67)</f>
        <v>9</v>
      </c>
      <c r="B67" s="1" t="s">
        <v>284</v>
      </c>
      <c r="C67" s="259" t="str">
        <f>IF('Вводные 1'!D63 ="", "", 'Вводные 1'!D63)</f>
        <v/>
      </c>
      <c r="D67" s="1" t="s">
        <v>283</v>
      </c>
      <c r="F67" s="323">
        <f>IF('Вводные 1'!B63 ="", "", 'Вводные 1'!B63)</f>
        <v>421</v>
      </c>
      <c r="G67" s="6">
        <f t="shared" ref="G67:G130" ca="1" si="1">IF(OR(C67="", I67=0), 0, 1)</f>
        <v>0</v>
      </c>
      <c r="H67" s="6">
        <f t="array" ref="H67">MIN(IF(A68:A$173="",ROW(A68:A$173)))</f>
        <v>74</v>
      </c>
      <c r="I67" s="6" t="str">
        <f ca="1">IF(H67&lt;&gt;H66,COUNTA(C68:INDIRECT(ADDRESS(H67-1,3)))-COUNTBLANK(C68:INDIRECT(ADDRESS(H67-1,3))), "content")</f>
        <v>content</v>
      </c>
      <c r="J67" s="38"/>
    </row>
    <row r="68" spans="1:10" s="260" customFormat="1" ht="38.25" x14ac:dyDescent="0.25">
      <c r="A68" s="259">
        <f>SUBTOTAL(3,$B$59:B68)</f>
        <v>10</v>
      </c>
      <c r="B68" s="1" t="s">
        <v>285</v>
      </c>
      <c r="C68" s="259" t="str">
        <f>IF('Вводные 1'!D64 ="", "", 'Вводные 1'!D64)</f>
        <v/>
      </c>
      <c r="D68" s="1"/>
      <c r="F68" s="323">
        <f>IF('Вводные 1'!B64 ="", "", 'Вводные 1'!B64)</f>
        <v>422</v>
      </c>
      <c r="G68" s="6">
        <f t="shared" ca="1" si="1"/>
        <v>0</v>
      </c>
      <c r="H68" s="6">
        <f t="array" ref="H68">MIN(IF(A69:A$173="",ROW(A69:A$173)))</f>
        <v>74</v>
      </c>
      <c r="I68" s="6" t="str">
        <f ca="1">IF(H68&lt;&gt;H67,COUNTA(C69:INDIRECT(ADDRESS(H68-1,3)))-COUNTBLANK(C69:INDIRECT(ADDRESS(H68-1,3))), "content")</f>
        <v>content</v>
      </c>
      <c r="J68" s="38"/>
    </row>
    <row r="69" spans="1:10" s="260" customFormat="1" ht="51" x14ac:dyDescent="0.25">
      <c r="A69" s="259">
        <f>SUBTOTAL(3,$B$59:B69)</f>
        <v>11</v>
      </c>
      <c r="B69" s="1" t="s">
        <v>543</v>
      </c>
      <c r="C69" s="259" t="str">
        <f>IF('Вводные 1'!D65 ="", "", 'Вводные 1'!D65)</f>
        <v/>
      </c>
      <c r="D69" s="1" t="s">
        <v>286</v>
      </c>
      <c r="F69" s="323">
        <f>IF('Вводные 1'!B65 ="", "", 'Вводные 1'!B65)</f>
        <v>423</v>
      </c>
      <c r="G69" s="6">
        <f t="shared" ca="1" si="1"/>
        <v>0</v>
      </c>
      <c r="H69" s="6">
        <f t="array" ref="H69">MIN(IF(A70:A$173="",ROW(A70:A$173)))</f>
        <v>74</v>
      </c>
      <c r="I69" s="6" t="str">
        <f ca="1">IF(H69&lt;&gt;H68,COUNTA(C70:INDIRECT(ADDRESS(H69-1,3)))-COUNTBLANK(C70:INDIRECT(ADDRESS(H69-1,3))), "content")</f>
        <v>content</v>
      </c>
      <c r="J69" s="38"/>
    </row>
    <row r="70" spans="1:10" s="260" customFormat="1" ht="38.25" x14ac:dyDescent="0.25">
      <c r="A70" s="259">
        <f>SUBTOTAL(3,$B$59:B70)</f>
        <v>12</v>
      </c>
      <c r="B70" s="1" t="s">
        <v>287</v>
      </c>
      <c r="C70" s="259" t="str">
        <f>IF('Вводные 1'!D66 ="", "", 'Вводные 1'!D66)</f>
        <v/>
      </c>
      <c r="D70" s="1"/>
      <c r="F70" s="323">
        <f>IF('Вводные 1'!B66 ="", "", 'Вводные 1'!B66)</f>
        <v>430</v>
      </c>
      <c r="G70" s="6">
        <f t="shared" ca="1" si="1"/>
        <v>0</v>
      </c>
      <c r="H70" s="6">
        <f t="array" ref="H70">MIN(IF(A71:A$173="",ROW(A71:A$173)))</f>
        <v>74</v>
      </c>
      <c r="I70" s="6" t="str">
        <f ca="1">IF(H70&lt;&gt;H69,COUNTA(C71:INDIRECT(ADDRESS(H70-1,3)))-COUNTBLANK(C71:INDIRECT(ADDRESS(H70-1,3))), "content")</f>
        <v>content</v>
      </c>
      <c r="J70" s="38"/>
    </row>
    <row r="71" spans="1:10" s="260" customFormat="1" ht="25.5" x14ac:dyDescent="0.25">
      <c r="A71" s="259">
        <f>SUBTOTAL(3,$B$59:B71)</f>
        <v>13</v>
      </c>
      <c r="B71" s="1" t="s">
        <v>288</v>
      </c>
      <c r="C71" s="259" t="str">
        <f>IF('Вводные 1'!D67 ="", "", 'Вводные 1'!D67)</f>
        <v/>
      </c>
      <c r="D71" s="1"/>
      <c r="F71" s="323">
        <f>IF('Вводные 1'!B67 ="", "", 'Вводные 1'!B67)</f>
        <v>431</v>
      </c>
      <c r="G71" s="6">
        <f t="shared" ca="1" si="1"/>
        <v>0</v>
      </c>
      <c r="H71" s="6">
        <f t="array" ref="H71">MIN(IF(A72:A$173="",ROW(A72:A$173)))</f>
        <v>74</v>
      </c>
      <c r="I71" s="6" t="str">
        <f ca="1">IF(H71&lt;&gt;H70,COUNTA(C72:INDIRECT(ADDRESS(H71-1,3)))-COUNTBLANK(C72:INDIRECT(ADDRESS(H71-1,3))), "content")</f>
        <v>content</v>
      </c>
      <c r="J71" s="38"/>
    </row>
    <row r="72" spans="1:10" s="260" customFormat="1" ht="51" x14ac:dyDescent="0.25">
      <c r="A72" s="259">
        <f>SUBTOTAL(3,$B$59:B72)</f>
        <v>14</v>
      </c>
      <c r="B72" s="1" t="s">
        <v>289</v>
      </c>
      <c r="C72" s="259" t="str">
        <f>IF('Вводные 1'!D68 ="", "", 'Вводные 1'!D68)</f>
        <v/>
      </c>
      <c r="D72" s="1" t="s">
        <v>290</v>
      </c>
      <c r="F72" s="323">
        <f>IF('Вводные 1'!B68 ="", "", 'Вводные 1'!B68)</f>
        <v>432</v>
      </c>
      <c r="G72" s="6">
        <f t="shared" ca="1" si="1"/>
        <v>0</v>
      </c>
      <c r="H72" s="6">
        <f t="array" ref="H72">MIN(IF(A73:A$173="",ROW(A73:A$173)))</f>
        <v>74</v>
      </c>
      <c r="I72" s="6" t="str">
        <f ca="1">IF(H72&lt;&gt;H71,COUNTA(C73:INDIRECT(ADDRESS(H72-1,3)))-COUNTBLANK(C73:INDIRECT(ADDRESS(H72-1,3))), "content")</f>
        <v>content</v>
      </c>
      <c r="J72" s="38"/>
    </row>
    <row r="73" spans="1:10" s="260" customFormat="1" ht="38.25" x14ac:dyDescent="0.25">
      <c r="A73" s="259">
        <f>SUBTOTAL(3,$B$59:B73)</f>
        <v>15</v>
      </c>
      <c r="B73" s="1" t="s">
        <v>291</v>
      </c>
      <c r="C73" s="259" t="str">
        <f>IF('Вводные 1'!D69 ="", "", 'Вводные 1'!D69)</f>
        <v/>
      </c>
      <c r="D73" s="1"/>
      <c r="F73" s="323">
        <f>IF('Вводные 1'!B69 ="", "", 'Вводные 1'!B69)</f>
        <v>433</v>
      </c>
      <c r="G73" s="6">
        <f t="shared" ca="1" si="1"/>
        <v>0</v>
      </c>
      <c r="H73" s="6">
        <f t="array" ref="H73">MIN(IF(A74:A$173="",ROW(A74:A$173)))</f>
        <v>74</v>
      </c>
      <c r="I73" s="6" t="str">
        <f ca="1">IF(H73&lt;&gt;H72,COUNTA(C74:INDIRECT(ADDRESS(H73-1,3)))-COUNTBLANK(C74:INDIRECT(ADDRESS(H73-1,3))), "content")</f>
        <v>content</v>
      </c>
      <c r="J73" s="38"/>
    </row>
    <row r="74" spans="1:10" ht="12.75" customHeight="1" x14ac:dyDescent="0.25">
      <c r="A74" s="259"/>
      <c r="B74" s="423" t="s">
        <v>292</v>
      </c>
      <c r="C74" s="423"/>
      <c r="D74" s="423"/>
      <c r="F74" s="324"/>
      <c r="G74" s="6">
        <f ca="1">IF(OR(B74="", I74=0), 0, 1)</f>
        <v>1</v>
      </c>
      <c r="H74" s="6">
        <f t="array" ref="H74">MIN(IF(A75:A$173="",ROW(A75:A$173)))</f>
        <v>83</v>
      </c>
      <c r="I74" s="6">
        <f ca="1">IF(H74&lt;&gt;H73,COUNTA(C75:INDIRECT(ADDRESS(H74-1,3)))-COUNTBLANK(C75:INDIRECT(ADDRESS(H74-1,3))), "content")</f>
        <v>2</v>
      </c>
    </row>
    <row r="75" spans="1:10" s="260" customFormat="1" ht="38.25" x14ac:dyDescent="0.25">
      <c r="A75" s="259">
        <f>SUBTOTAL(3,$B$75:B75)</f>
        <v>1</v>
      </c>
      <c r="B75" s="1" t="s">
        <v>293</v>
      </c>
      <c r="C75" s="259" t="str">
        <f>IF('Вводные 1'!D70 ="", "", 'Вводные 1'!D70)</f>
        <v/>
      </c>
      <c r="D75" s="1"/>
      <c r="F75" s="323">
        <f>IF('Вводные 1'!B70 ="", "", 'Вводные 1'!B70)</f>
        <v>510</v>
      </c>
      <c r="G75" s="6">
        <f t="shared" ca="1" si="1"/>
        <v>0</v>
      </c>
      <c r="H75" s="6">
        <f t="array" ref="H75">MIN(IF(A76:A$173="",ROW(A76:A$173)))</f>
        <v>83</v>
      </c>
      <c r="I75" s="6" t="str">
        <f ca="1">IF(H75&lt;&gt;H74,COUNTA(C76:INDIRECT(ADDRESS(H75-1,3)))-COUNTBLANK(C76:INDIRECT(ADDRESS(H75-1,3))), "content")</f>
        <v>content</v>
      </c>
      <c r="J75" s="38"/>
    </row>
    <row r="76" spans="1:10" s="260" customFormat="1" ht="51" x14ac:dyDescent="0.25">
      <c r="A76" s="259">
        <f>SUBTOTAL(3,$B$75:B76)</f>
        <v>2</v>
      </c>
      <c r="B76" s="1" t="s">
        <v>294</v>
      </c>
      <c r="C76" s="259" t="str">
        <f>IF('Вводные 1'!D71 ="", "", 'Вводные 1'!D71)</f>
        <v/>
      </c>
      <c r="D76" s="1" t="s">
        <v>274</v>
      </c>
      <c r="F76" s="323">
        <f>IF('Вводные 1'!B71 ="", "", 'Вводные 1'!B71)</f>
        <v>511</v>
      </c>
      <c r="G76" s="6">
        <f t="shared" ca="1" si="1"/>
        <v>0</v>
      </c>
      <c r="H76" s="6">
        <f t="array" ref="H76">MIN(IF(A77:A$173="",ROW(A77:A$173)))</f>
        <v>83</v>
      </c>
      <c r="I76" s="6" t="str">
        <f ca="1">IF(H76&lt;&gt;H75,COUNTA(C77:INDIRECT(ADDRESS(H76-1,3)))-COUNTBLANK(C77:INDIRECT(ADDRESS(H76-1,3))), "content")</f>
        <v>content</v>
      </c>
      <c r="J76" s="38"/>
    </row>
    <row r="77" spans="1:10" s="260" customFormat="1" ht="63.75" x14ac:dyDescent="0.25">
      <c r="A77" s="259">
        <f>SUBTOTAL(3,$B$75:B77)</f>
        <v>3</v>
      </c>
      <c r="B77" s="1" t="s">
        <v>295</v>
      </c>
      <c r="C77" s="259" t="str">
        <f>IF('Вводные 1'!D72 ="", "", 'Вводные 1'!D72)</f>
        <v>8-9+78-79+115</v>
      </c>
      <c r="D77" s="1" t="s">
        <v>296</v>
      </c>
      <c r="F77" s="323">
        <f>IF('Вводные 1'!B72 ="", "", 'Вводные 1'!B72)</f>
        <v>512</v>
      </c>
      <c r="G77" s="6">
        <f t="shared" ca="1" si="1"/>
        <v>1</v>
      </c>
      <c r="H77" s="6">
        <f t="array" ref="H77">MIN(IF(A78:A$173="",ROW(A78:A$173)))</f>
        <v>83</v>
      </c>
      <c r="I77" s="6" t="str">
        <f ca="1">IF(H77&lt;&gt;H76,COUNTA(C78:INDIRECT(ADDRESS(H77-1,3)))-COUNTBLANK(C78:INDIRECT(ADDRESS(H77-1,3))), "content")</f>
        <v>content</v>
      </c>
      <c r="J77" s="38"/>
    </row>
    <row r="78" spans="1:10" s="260" customFormat="1" ht="38.25" x14ac:dyDescent="0.25">
      <c r="A78" s="259">
        <f>SUBTOTAL(3,$B$75:B78)</f>
        <v>4</v>
      </c>
      <c r="B78" s="1" t="s">
        <v>297</v>
      </c>
      <c r="C78" s="259" t="str">
        <f>IF('Вводные 1'!D73 ="", "", 'Вводные 1'!D73)</f>
        <v/>
      </c>
      <c r="D78" s="1"/>
      <c r="F78" s="323">
        <f>IF('Вводные 1'!B73 ="", "", 'Вводные 1'!B73)</f>
        <v>513</v>
      </c>
      <c r="G78" s="6">
        <f t="shared" ca="1" si="1"/>
        <v>0</v>
      </c>
      <c r="H78" s="6">
        <f t="array" ref="H78">MIN(IF(A79:A$173="",ROW(A79:A$173)))</f>
        <v>83</v>
      </c>
      <c r="I78" s="6" t="str">
        <f ca="1">IF(H78&lt;&gt;H77,COUNTA(C79:INDIRECT(ADDRESS(H78-1,3)))-COUNTBLANK(C79:INDIRECT(ADDRESS(H78-1,3))), "content")</f>
        <v>content</v>
      </c>
      <c r="J78" s="38"/>
    </row>
    <row r="79" spans="1:10" s="260" customFormat="1" ht="63.75" x14ac:dyDescent="0.25">
      <c r="A79" s="259">
        <f>SUBTOTAL(3,$B$75:B79)</f>
        <v>5</v>
      </c>
      <c r="B79" s="1" t="s">
        <v>298</v>
      </c>
      <c r="C79" s="259" t="str">
        <f>IF('Вводные 1'!D74 ="", "", 'Вводные 1'!D74)</f>
        <v/>
      </c>
      <c r="D79" s="1" t="s">
        <v>299</v>
      </c>
      <c r="F79" s="323">
        <f>IF('Вводные 1'!B74 ="", "", 'Вводные 1'!B74)</f>
        <v>514</v>
      </c>
      <c r="G79" s="6">
        <f t="shared" ca="1" si="1"/>
        <v>0</v>
      </c>
      <c r="H79" s="6">
        <f t="array" ref="H79">MIN(IF(A80:A$173="",ROW(A80:A$173)))</f>
        <v>83</v>
      </c>
      <c r="I79" s="6" t="str">
        <f ca="1">IF(H79&lt;&gt;H78,COUNTA(C80:INDIRECT(ADDRESS(H79-1,3)))-COUNTBLANK(C80:INDIRECT(ADDRESS(H79-1,3))), "content")</f>
        <v>content</v>
      </c>
      <c r="J79" s="38"/>
    </row>
    <row r="80" spans="1:10" s="260" customFormat="1" ht="63.75" x14ac:dyDescent="0.25">
      <c r="A80" s="259">
        <f>SUBTOTAL(3,$B$75:B80)</f>
        <v>6</v>
      </c>
      <c r="B80" s="1" t="s">
        <v>300</v>
      </c>
      <c r="C80" s="259" t="str">
        <f>IF('Вводные 1'!D75 ="", "", 'Вводные 1'!D75)</f>
        <v>6-7+80-81+116-117</v>
      </c>
      <c r="D80" s="1" t="s">
        <v>301</v>
      </c>
      <c r="F80" s="323">
        <f>IF('Вводные 1'!B75 ="", "", 'Вводные 1'!B75)</f>
        <v>515</v>
      </c>
      <c r="G80" s="6">
        <f t="shared" ca="1" si="1"/>
        <v>1</v>
      </c>
      <c r="H80" s="6">
        <f t="array" ref="H80">MIN(IF(A81:A$173="",ROW(A81:A$173)))</f>
        <v>83</v>
      </c>
      <c r="I80" s="6" t="str">
        <f ca="1">IF(H80&lt;&gt;H79,COUNTA(C81:INDIRECT(ADDRESS(H80-1,3)))-COUNTBLANK(C81:INDIRECT(ADDRESS(H80-1,3))), "content")</f>
        <v>content</v>
      </c>
      <c r="J80" s="38"/>
    </row>
    <row r="81" spans="1:10" s="260" customFormat="1" ht="102" x14ac:dyDescent="0.25">
      <c r="A81" s="259">
        <f>SUBTOTAL(3,$B$75:B81)</f>
        <v>7</v>
      </c>
      <c r="B81" s="1" t="s">
        <v>302</v>
      </c>
      <c r="C81" s="259" t="str">
        <f>IF('Вводные 1'!D76 ="", "", 'Вводные 1'!D76)</f>
        <v/>
      </c>
      <c r="D81" s="1" t="s">
        <v>303</v>
      </c>
      <c r="F81" s="323">
        <f>IF('Вводные 1'!B76 ="", "", 'Вводные 1'!B76)</f>
        <v>516</v>
      </c>
      <c r="G81" s="6">
        <f t="shared" ca="1" si="1"/>
        <v>0</v>
      </c>
      <c r="H81" s="6">
        <f t="array" ref="H81">MIN(IF(A82:A$173="",ROW(A82:A$173)))</f>
        <v>83</v>
      </c>
      <c r="I81" s="6" t="str">
        <f ca="1">IF(H81&lt;&gt;H80,COUNTA(C82:INDIRECT(ADDRESS(H81-1,3)))-COUNTBLANK(C82:INDIRECT(ADDRESS(H81-1,3))), "content")</f>
        <v>content</v>
      </c>
      <c r="J81" s="38"/>
    </row>
    <row r="82" spans="1:10" s="260" customFormat="1" ht="38.25" x14ac:dyDescent="0.25">
      <c r="A82" s="259">
        <f>SUBTOTAL(3,$B$75:B82)</f>
        <v>8</v>
      </c>
      <c r="B82" s="1" t="s">
        <v>304</v>
      </c>
      <c r="C82" s="259" t="str">
        <f>IF('Вводные 1'!D77 ="", "", 'Вводные 1'!D77)</f>
        <v/>
      </c>
      <c r="D82" s="1"/>
      <c r="F82" s="323">
        <f>IF('Вводные 1'!B77 ="", "", 'Вводные 1'!B77)</f>
        <v>517</v>
      </c>
      <c r="G82" s="6">
        <f t="shared" ca="1" si="1"/>
        <v>0</v>
      </c>
      <c r="H82" s="6">
        <f t="array" ref="H82">MIN(IF(A83:A$173="",ROW(A83:A$173)))</f>
        <v>83</v>
      </c>
      <c r="I82" s="6" t="str">
        <f ca="1">IF(H82&lt;&gt;H81,COUNTA(C83:INDIRECT(ADDRESS(H82-1,3)))-COUNTBLANK(C83:INDIRECT(ADDRESS(H82-1,3))), "content")</f>
        <v>content</v>
      </c>
      <c r="J82" s="38"/>
    </row>
    <row r="83" spans="1:10" ht="12.75" customHeight="1" x14ac:dyDescent="0.25">
      <c r="A83" s="259"/>
      <c r="B83" s="423" t="s">
        <v>305</v>
      </c>
      <c r="C83" s="423"/>
      <c r="D83" s="423"/>
      <c r="F83" s="324"/>
      <c r="G83" s="6">
        <f ca="1">IF(OR(B83="", I83=0), 0, 1)</f>
        <v>1</v>
      </c>
      <c r="H83" s="6">
        <f t="array" ref="H83">MIN(IF(A84:A$173="",ROW(A84:A$173)))</f>
        <v>101</v>
      </c>
      <c r="I83" s="6">
        <f ca="1">IF(H83&lt;&gt;H82,COUNTA(C84:INDIRECT(ADDRESS(H83-1,3)))-COUNTBLANK(C84:INDIRECT(ADDRESS(H83-1,3))), "content")</f>
        <v>5</v>
      </c>
    </row>
    <row r="84" spans="1:10" s="260" customFormat="1" ht="38.25" x14ac:dyDescent="0.25">
      <c r="A84" s="259">
        <f>SUBTOTAL(3,$B$84:B84)</f>
        <v>1</v>
      </c>
      <c r="B84" s="1" t="s">
        <v>306</v>
      </c>
      <c r="C84" s="259" t="str">
        <f>IF('Вводные 1'!D78 ="", "", 'Вводные 1'!D78)</f>
        <v/>
      </c>
      <c r="D84" s="1"/>
      <c r="F84" s="323">
        <f>IF('Вводные 1'!B78 ="", "", 'Вводные 1'!B78)</f>
        <v>610</v>
      </c>
      <c r="G84" s="6">
        <f t="shared" ca="1" si="1"/>
        <v>0</v>
      </c>
      <c r="H84" s="6">
        <f t="array" ref="H84">MIN(IF(A85:A$173="",ROW(A85:A$173)))</f>
        <v>101</v>
      </c>
      <c r="I84" s="6" t="str">
        <f ca="1">IF(H84&lt;&gt;H83,COUNTA(C85:INDIRECT(ADDRESS(H84-1,3)))-COUNTBLANK(C85:INDIRECT(ADDRESS(H84-1,3))), "content")</f>
        <v>content</v>
      </c>
      <c r="J84" s="38"/>
    </row>
    <row r="85" spans="1:10" s="260" customFormat="1" ht="76.5" x14ac:dyDescent="0.25">
      <c r="A85" s="259">
        <f>SUBTOTAL(3,$B$84:B85)</f>
        <v>2</v>
      </c>
      <c r="B85" s="1" t="s">
        <v>307</v>
      </c>
      <c r="C85" s="259" t="str">
        <f>IF('Вводные 1'!D79 ="", "", 'Вводные 1'!D79)</f>
        <v>137</v>
      </c>
      <c r="D85" s="1" t="s">
        <v>308</v>
      </c>
      <c r="F85" s="323">
        <f>IF('Вводные 1'!B79 ="", "", 'Вводные 1'!B79)</f>
        <v>611</v>
      </c>
      <c r="G85" s="6">
        <f t="shared" ca="1" si="1"/>
        <v>1</v>
      </c>
      <c r="H85" s="6">
        <f t="array" ref="H85">MIN(IF(A86:A$173="",ROW(A86:A$173)))</f>
        <v>101</v>
      </c>
      <c r="I85" s="6" t="str">
        <f ca="1">IF(H85&lt;&gt;H84,COUNTA(C86:INDIRECT(ADDRESS(H85-1,3)))-COUNTBLANK(C86:INDIRECT(ADDRESS(H85-1,3))), "content")</f>
        <v>content</v>
      </c>
      <c r="J85" s="38"/>
    </row>
    <row r="86" spans="1:10" s="260" customFormat="1" ht="63.75" x14ac:dyDescent="0.25">
      <c r="A86" s="259">
        <f>SUBTOTAL(3,$B$84:B86)</f>
        <v>3</v>
      </c>
      <c r="B86" s="1" t="s">
        <v>309</v>
      </c>
      <c r="C86" s="259" t="str">
        <f>IF('Вводные 1'!D80 ="", "", 'Вводные 1'!D80)</f>
        <v/>
      </c>
      <c r="D86" s="1" t="s">
        <v>310</v>
      </c>
      <c r="F86" s="323">
        <f>IF('Вводные 1'!B80 ="", "", 'Вводные 1'!B80)</f>
        <v>612</v>
      </c>
      <c r="G86" s="6">
        <f t="shared" ca="1" si="1"/>
        <v>0</v>
      </c>
      <c r="H86" s="6">
        <f t="array" ref="H86">MIN(IF(A87:A$173="",ROW(A87:A$173)))</f>
        <v>101</v>
      </c>
      <c r="I86" s="6" t="str">
        <f ca="1">IF(H86&lt;&gt;H85,COUNTA(C87:INDIRECT(ADDRESS(H86-1,3)))-COUNTBLANK(C87:INDIRECT(ADDRESS(H86-1,3))), "content")</f>
        <v>content</v>
      </c>
      <c r="J86" s="38"/>
    </row>
    <row r="87" spans="1:10" s="260" customFormat="1" ht="38.25" x14ac:dyDescent="0.25">
      <c r="A87" s="259">
        <f>SUBTOTAL(3,$B$84:B87)</f>
        <v>4</v>
      </c>
      <c r="B87" s="1" t="s">
        <v>311</v>
      </c>
      <c r="C87" s="259" t="str">
        <f>IF('Вводные 1'!D81 ="", "", 'Вводные 1'!D81)</f>
        <v/>
      </c>
      <c r="D87" s="1"/>
      <c r="F87" s="323">
        <f>IF('Вводные 1'!B81 ="", "", 'Вводные 1'!B81)</f>
        <v>620</v>
      </c>
      <c r="G87" s="6">
        <f t="shared" ca="1" si="1"/>
        <v>0</v>
      </c>
      <c r="H87" s="6">
        <f t="array" ref="H87">MIN(IF(A88:A$173="",ROW(A88:A$173)))</f>
        <v>101</v>
      </c>
      <c r="I87" s="6" t="str">
        <f ca="1">IF(H87&lt;&gt;H86,COUNTA(C88:INDIRECT(ADDRESS(H87-1,3)))-COUNTBLANK(C88:INDIRECT(ADDRESS(H87-1,3))), "content")</f>
        <v>content</v>
      </c>
      <c r="J87" s="38"/>
    </row>
    <row r="88" spans="1:10" ht="76.5" x14ac:dyDescent="0.25">
      <c r="A88" s="259">
        <f>SUBTOTAL(3,$B$84:B88)</f>
        <v>5</v>
      </c>
      <c r="B88" s="261" t="s">
        <v>312</v>
      </c>
      <c r="C88" s="259" t="str">
        <f>IF('Вводные 1'!D82 ="", "", 'Вводные 1'!D82)</f>
        <v>136</v>
      </c>
      <c r="D88" s="261" t="s">
        <v>308</v>
      </c>
      <c r="F88" s="323">
        <f>IF('Вводные 1'!B82 ="", "", 'Вводные 1'!B82)</f>
        <v>621</v>
      </c>
      <c r="G88" s="6">
        <f t="shared" ca="1" si="1"/>
        <v>1</v>
      </c>
      <c r="H88" s="6">
        <f t="array" ref="H88">MIN(IF(A89:A$173="",ROW(A89:A$173)))</f>
        <v>101</v>
      </c>
      <c r="I88" s="6" t="str">
        <f ca="1">IF(H88&lt;&gt;H87,COUNTA(C89:INDIRECT(ADDRESS(H88-1,3)))-COUNTBLANK(C89:INDIRECT(ADDRESS(H88-1,3))), "content")</f>
        <v>content</v>
      </c>
    </row>
    <row r="89" spans="1:10" ht="38.25" x14ac:dyDescent="0.25">
      <c r="A89" s="259">
        <f>SUBTOTAL(3,$B$84:B89)</f>
        <v>6</v>
      </c>
      <c r="B89" s="261" t="s">
        <v>313</v>
      </c>
      <c r="C89" s="259" t="str">
        <f>IF('Вводные 1'!D83 ="", "", 'Вводные 1'!D83)</f>
        <v>119</v>
      </c>
      <c r="D89" s="261"/>
      <c r="F89" s="323">
        <f>IF('Вводные 1'!B83 ="", "", 'Вводные 1'!B83)</f>
        <v>622</v>
      </c>
      <c r="G89" s="6">
        <f t="shared" ca="1" si="1"/>
        <v>1</v>
      </c>
      <c r="H89" s="6">
        <f t="array" ref="H89">MIN(IF(A90:A$173="",ROW(A90:A$173)))</f>
        <v>101</v>
      </c>
      <c r="I89" s="6" t="str">
        <f ca="1">IF(H89&lt;&gt;H88,COUNTA(C90:INDIRECT(ADDRESS(H89-1,3)))-COUNTBLANK(C90:INDIRECT(ADDRESS(H89-1,3))), "content")</f>
        <v>content</v>
      </c>
    </row>
    <row r="90" spans="1:10" s="260" customFormat="1" ht="51" x14ac:dyDescent="0.25">
      <c r="A90" s="259">
        <f>SUBTOTAL(3,$B$84:B90)</f>
        <v>7</v>
      </c>
      <c r="B90" s="1" t="s">
        <v>314</v>
      </c>
      <c r="C90" s="259" t="str">
        <f>IF('Вводные 1'!D84 ="", "", 'Вводные 1'!D84)</f>
        <v/>
      </c>
      <c r="D90" s="1"/>
      <c r="F90" s="323">
        <f>IF('Вводные 1'!B84 ="", "", 'Вводные 1'!B84)</f>
        <v>623</v>
      </c>
      <c r="G90" s="6">
        <f t="shared" ca="1" si="1"/>
        <v>0</v>
      </c>
      <c r="H90" s="6">
        <f t="array" ref="H90">MIN(IF(A91:A$173="",ROW(A91:A$173)))</f>
        <v>101</v>
      </c>
      <c r="I90" s="6" t="str">
        <f ca="1">IF(H90&lt;&gt;H89,COUNTA(C91:INDIRECT(ADDRESS(H90-1,3)))-COUNTBLANK(C91:INDIRECT(ADDRESS(H90-1,3))), "content")</f>
        <v>content</v>
      </c>
      <c r="J90" s="38"/>
    </row>
    <row r="91" spans="1:10" ht="51" x14ac:dyDescent="0.25">
      <c r="A91" s="259">
        <f>SUBTOTAL(3,$B$84:B91)</f>
        <v>8</v>
      </c>
      <c r="B91" s="261" t="s">
        <v>315</v>
      </c>
      <c r="C91" s="259" t="str">
        <f>IF('Вводные 1'!D85 ="", "", 'Вводные 1'!D85)</f>
        <v>120</v>
      </c>
      <c r="D91" s="261" t="s">
        <v>316</v>
      </c>
      <c r="F91" s="323">
        <f>IF('Вводные 1'!B85 ="", "", 'Вводные 1'!B85)</f>
        <v>624</v>
      </c>
      <c r="G91" s="6">
        <f t="shared" ca="1" si="1"/>
        <v>1</v>
      </c>
      <c r="H91" s="6">
        <f t="array" ref="H91">MIN(IF(A92:A$173="",ROW(A92:A$173)))</f>
        <v>101</v>
      </c>
      <c r="I91" s="6" t="str">
        <f ca="1">IF(H91&lt;&gt;H90,COUNTA(C92:INDIRECT(ADDRESS(H91-1,3)))-COUNTBLANK(C92:INDIRECT(ADDRESS(H91-1,3))), "content")</f>
        <v>content</v>
      </c>
    </row>
    <row r="92" spans="1:10" ht="63.75" x14ac:dyDescent="0.25">
      <c r="A92" s="259">
        <f>SUBTOTAL(3,$B$84:B92)</f>
        <v>9</v>
      </c>
      <c r="B92" s="261" t="s">
        <v>317</v>
      </c>
      <c r="C92" s="259" t="str">
        <f>IF('Вводные 1'!D86 ="", "", 'Вводные 1'!D86)</f>
        <v>58-60/10/+134-135/5/</v>
      </c>
      <c r="D92" s="261" t="s">
        <v>318</v>
      </c>
      <c r="F92" s="323">
        <f>IF('Вводные 1'!B86 ="", "", 'Вводные 1'!B86)</f>
        <v>625</v>
      </c>
      <c r="G92" s="6">
        <f t="shared" ca="1" si="1"/>
        <v>1</v>
      </c>
      <c r="H92" s="6">
        <f t="array" ref="H92">MIN(IF(A93:A$173="",ROW(A93:A$173)))</f>
        <v>101</v>
      </c>
      <c r="I92" s="6" t="str">
        <f ca="1">IF(H92&lt;&gt;H91,COUNTA(C93:INDIRECT(ADDRESS(H92-1,3)))-COUNTBLANK(C93:INDIRECT(ADDRESS(H92-1,3))), "content")</f>
        <v>content</v>
      </c>
    </row>
    <row r="93" spans="1:10" s="260" customFormat="1" ht="51" x14ac:dyDescent="0.25">
      <c r="A93" s="259">
        <f>SUBTOTAL(3,$B$84:B93)</f>
        <v>10</v>
      </c>
      <c r="B93" s="1" t="s">
        <v>319</v>
      </c>
      <c r="C93" s="259" t="str">
        <f>IF('Вводные 1'!D87 ="", "", 'Вводные 1'!D87)</f>
        <v/>
      </c>
      <c r="D93" s="1" t="s">
        <v>320</v>
      </c>
      <c r="F93" s="323">
        <f>IF('Вводные 1'!B87 ="", "", 'Вводные 1'!B87)</f>
        <v>630</v>
      </c>
      <c r="G93" s="6">
        <f t="shared" ca="1" si="1"/>
        <v>0</v>
      </c>
      <c r="H93" s="6">
        <f t="array" ref="H93">MIN(IF(A94:A$173="",ROW(A94:A$173)))</f>
        <v>101</v>
      </c>
      <c r="I93" s="6" t="str">
        <f ca="1">IF(H93&lt;&gt;H92,COUNTA(C94:INDIRECT(ADDRESS(H93-1,3)))-COUNTBLANK(C94:INDIRECT(ADDRESS(H93-1,3))), "content")</f>
        <v>content</v>
      </c>
      <c r="J93" s="38"/>
    </row>
    <row r="94" spans="1:10" ht="76.5" x14ac:dyDescent="0.25">
      <c r="A94" s="259">
        <f>SUBTOTAL(3,$B$84:B94)</f>
        <v>11</v>
      </c>
      <c r="B94" s="261" t="s">
        <v>321</v>
      </c>
      <c r="C94" s="259" t="str">
        <f>IF('Вводные 1'!D88 ="", "", 'Вводные 1'!D88)</f>
        <v/>
      </c>
      <c r="D94" s="261" t="s">
        <v>308</v>
      </c>
      <c r="F94" s="323">
        <f>IF('Вводные 1'!B88 ="", "", 'Вводные 1'!B88)</f>
        <v>631</v>
      </c>
      <c r="G94" s="6">
        <f t="shared" ca="1" si="1"/>
        <v>0</v>
      </c>
      <c r="H94" s="6">
        <f t="array" ref="H94">MIN(IF(A95:A$173="",ROW(A95:A$173)))</f>
        <v>101</v>
      </c>
      <c r="I94" s="6" t="str">
        <f ca="1">IF(H94&lt;&gt;H93,COUNTA(C95:INDIRECT(ADDRESS(H94-1,3)))-COUNTBLANK(C95:INDIRECT(ADDRESS(H94-1,3))), "content")</f>
        <v>content</v>
      </c>
    </row>
    <row r="95" spans="1:10" s="260" customFormat="1" ht="76.5" x14ac:dyDescent="0.25">
      <c r="A95" s="259">
        <f>SUBTOTAL(3,$B$84:B95)</f>
        <v>12</v>
      </c>
      <c r="B95" s="1" t="s">
        <v>322</v>
      </c>
      <c r="C95" s="259" t="str">
        <f>IF('Вводные 1'!D89 ="", "", 'Вводные 1'!D89)</f>
        <v/>
      </c>
      <c r="D95" s="1" t="s">
        <v>323</v>
      </c>
      <c r="F95" s="323">
        <f>IF('Вводные 1'!B89 ="", "", 'Вводные 1'!B89)</f>
        <v>632</v>
      </c>
      <c r="G95" s="6">
        <f t="shared" ca="1" si="1"/>
        <v>0</v>
      </c>
      <c r="H95" s="6">
        <f t="array" ref="H95">MIN(IF(A96:A$173="",ROW(A96:A$173)))</f>
        <v>101</v>
      </c>
      <c r="I95" s="6" t="str">
        <f ca="1">IF(H95&lt;&gt;H94,COUNTA(C96:INDIRECT(ADDRESS(H95-1,3)))-COUNTBLANK(C96:INDIRECT(ADDRESS(H95-1,3))), "content")</f>
        <v>content</v>
      </c>
      <c r="J95" s="38"/>
    </row>
    <row r="96" spans="1:10" ht="63.75" x14ac:dyDescent="0.25">
      <c r="A96" s="259">
        <f>SUBTOTAL(3,$B$84:B96)</f>
        <v>13</v>
      </c>
      <c r="B96" s="261" t="s">
        <v>324</v>
      </c>
      <c r="C96" s="259" t="str">
        <f>IF('Вводные 1'!D90 ="", "", 'Вводные 1'!D90)</f>
        <v/>
      </c>
      <c r="D96" s="261" t="s">
        <v>325</v>
      </c>
      <c r="F96" s="323">
        <f>IF('Вводные 1'!B90 ="", "", 'Вводные 1'!B90)</f>
        <v>633</v>
      </c>
      <c r="G96" s="6">
        <f t="shared" ca="1" si="1"/>
        <v>0</v>
      </c>
      <c r="H96" s="6">
        <f t="array" ref="H96">MIN(IF(A97:A$173="",ROW(A97:A$173)))</f>
        <v>101</v>
      </c>
      <c r="I96" s="6" t="str">
        <f ca="1">IF(H96&lt;&gt;H95,COUNTA(C97:INDIRECT(ADDRESS(H96-1,3)))-COUNTBLANK(C97:INDIRECT(ADDRESS(H96-1,3))), "content")</f>
        <v>content</v>
      </c>
    </row>
    <row r="97" spans="1:10" s="260" customFormat="1" ht="38.25" x14ac:dyDescent="0.25">
      <c r="A97" s="259">
        <f>SUBTOTAL(3,$B$84:B97)</f>
        <v>14</v>
      </c>
      <c r="B97" s="1" t="s">
        <v>326</v>
      </c>
      <c r="C97" s="259" t="str">
        <f>IF('Вводные 1'!D91 ="", "", 'Вводные 1'!D91)</f>
        <v/>
      </c>
      <c r="D97" s="1"/>
      <c r="F97" s="323">
        <f>IF('Вводные 1'!B91 ="", "", 'Вводные 1'!B91)</f>
        <v>640</v>
      </c>
      <c r="G97" s="6">
        <f t="shared" ca="1" si="1"/>
        <v>0</v>
      </c>
      <c r="H97" s="6">
        <f t="array" ref="H97">MIN(IF(A98:A$173="",ROW(A98:A$173)))</f>
        <v>101</v>
      </c>
      <c r="I97" s="6" t="str">
        <f ca="1">IF(H97&lt;&gt;H96,COUNTA(C98:INDIRECT(ADDRESS(H97-1,3)))-COUNTBLANK(C98:INDIRECT(ADDRESS(H97-1,3))), "content")</f>
        <v>content</v>
      </c>
      <c r="J97" s="38"/>
    </row>
    <row r="98" spans="1:10" s="260" customFormat="1" ht="51" x14ac:dyDescent="0.25">
      <c r="A98" s="259">
        <f>SUBTOTAL(3,$B$84:B98)</f>
        <v>15</v>
      </c>
      <c r="B98" s="1" t="s">
        <v>327</v>
      </c>
      <c r="C98" s="259" t="str">
        <f>IF('Вводные 1'!D92 ="", "", 'Вводные 1'!D92)</f>
        <v/>
      </c>
      <c r="D98" s="1"/>
      <c r="F98" s="323">
        <f>IF('Вводные 1'!B92 ="", "", 'Вводные 1'!B92)</f>
        <v>641</v>
      </c>
      <c r="G98" s="6">
        <f t="shared" ca="1" si="1"/>
        <v>0</v>
      </c>
      <c r="H98" s="6">
        <f t="array" ref="H98">MIN(IF(A99:A$173="",ROW(A99:A$173)))</f>
        <v>101</v>
      </c>
      <c r="I98" s="6" t="str">
        <f ca="1">IF(H98&lt;&gt;H97,COUNTA(C99:INDIRECT(ADDRESS(H98-1,3)))-COUNTBLANK(C99:INDIRECT(ADDRESS(H98-1,3))), "content")</f>
        <v>content</v>
      </c>
      <c r="J98" s="38"/>
    </row>
    <row r="99" spans="1:10" s="260" customFormat="1" ht="38.25" x14ac:dyDescent="0.25">
      <c r="A99" s="259">
        <f>SUBTOTAL(3,$B$84:B99)</f>
        <v>16</v>
      </c>
      <c r="B99" s="1" t="s">
        <v>328</v>
      </c>
      <c r="C99" s="259" t="str">
        <f>IF('Вводные 1'!D93 ="", "", 'Вводные 1'!D93)</f>
        <v/>
      </c>
      <c r="D99" s="1"/>
      <c r="F99" s="323">
        <f>IF('Вводные 1'!B93 ="", "", 'Вводные 1'!B93)</f>
        <v>642</v>
      </c>
      <c r="G99" s="6">
        <f t="shared" ca="1" si="1"/>
        <v>0</v>
      </c>
      <c r="H99" s="6">
        <f t="array" ref="H99">MIN(IF(A100:A$173="",ROW(A100:A$173)))</f>
        <v>101</v>
      </c>
      <c r="I99" s="6" t="str">
        <f ca="1">IF(H99&lt;&gt;H98,COUNTA(C100:INDIRECT(ADDRESS(H99-1,3)))-COUNTBLANK(C100:INDIRECT(ADDRESS(H99-1,3))), "content")</f>
        <v>content</v>
      </c>
      <c r="J99" s="38"/>
    </row>
    <row r="100" spans="1:10" s="260" customFormat="1" ht="25.5" x14ac:dyDescent="0.25">
      <c r="A100" s="259">
        <f>SUBTOTAL(3,$B$84:B100)</f>
        <v>17</v>
      </c>
      <c r="B100" s="1" t="s">
        <v>329</v>
      </c>
      <c r="C100" s="259" t="str">
        <f>IF('Вводные 1'!D94 ="", "", 'Вводные 1'!D94)</f>
        <v/>
      </c>
      <c r="D100" s="1"/>
      <c r="F100" s="323">
        <f>IF('Вводные 1'!B94 ="", "", 'Вводные 1'!B94)</f>
        <v>643</v>
      </c>
      <c r="G100" s="6">
        <f t="shared" ca="1" si="1"/>
        <v>0</v>
      </c>
      <c r="H100" s="6">
        <f t="array" ref="H100">MIN(IF(A101:A$173="",ROW(A101:A$173)))</f>
        <v>101</v>
      </c>
      <c r="I100" s="6" t="str">
        <f ca="1">IF(H100&lt;&gt;H99,COUNTA(C101:INDIRECT(ADDRESS(H100-1,3)))-COUNTBLANK(C101:INDIRECT(ADDRESS(H100-1,3))), "content")</f>
        <v>content</v>
      </c>
      <c r="J100" s="38"/>
    </row>
    <row r="101" spans="1:10" ht="12.75" customHeight="1" x14ac:dyDescent="0.25">
      <c r="A101" s="259"/>
      <c r="B101" s="423" t="s">
        <v>330</v>
      </c>
      <c r="C101" s="423"/>
      <c r="D101" s="423"/>
      <c r="F101" s="324"/>
      <c r="G101" s="6">
        <f ca="1">IF(OR(B101="", I101=0), 0, 1)</f>
        <v>1</v>
      </c>
      <c r="H101" s="6">
        <f t="array" ref="H101">MIN(IF(A102:A$173="",ROW(A102:A$173)))</f>
        <v>119</v>
      </c>
      <c r="I101" s="6">
        <f ca="1">IF(H101&lt;&gt;H100,COUNTA(C102:INDIRECT(ADDRESS(H101-1,3)))-COUNTBLANK(C102:INDIRECT(ADDRESS(H101-1,3))), "content")</f>
        <v>2</v>
      </c>
    </row>
    <row r="102" spans="1:10" s="260" customFormat="1" ht="38.25" x14ac:dyDescent="0.25">
      <c r="A102" s="259">
        <f>SUBTOTAL(3,$B$102:B102)</f>
        <v>1</v>
      </c>
      <c r="B102" s="1" t="s">
        <v>306</v>
      </c>
      <c r="C102" s="259" t="str">
        <f>IF('Вводные 1'!D95 ="", "", 'Вводные 1'!D95)</f>
        <v/>
      </c>
      <c r="D102" s="1"/>
      <c r="F102" s="323">
        <f>IF('Вводные 1'!B95 ="", "", 'Вводные 1'!B95)</f>
        <v>710</v>
      </c>
      <c r="G102" s="6">
        <f t="shared" ca="1" si="1"/>
        <v>0</v>
      </c>
      <c r="H102" s="6">
        <f t="array" ref="H102">MIN(IF(A103:A$173="",ROW(A103:A$173)))</f>
        <v>119</v>
      </c>
      <c r="I102" s="6" t="str">
        <f ca="1">IF(H102&lt;&gt;H101,COUNTA(C103:INDIRECT(ADDRESS(H102-1,3)))-COUNTBLANK(C103:INDIRECT(ADDRESS(H102-1,3))), "content")</f>
        <v>content</v>
      </c>
      <c r="J102" s="38"/>
    </row>
    <row r="103" spans="1:10" ht="89.25" x14ac:dyDescent="0.25">
      <c r="A103" s="259">
        <f>SUBTOTAL(3,$B$102:B103)</f>
        <v>2</v>
      </c>
      <c r="B103" s="261" t="s">
        <v>331</v>
      </c>
      <c r="C103" s="259" t="str">
        <f>IF('Вводные 1'!D96 ="", "", 'Вводные 1'!D96)</f>
        <v>85-88</v>
      </c>
      <c r="D103" s="261" t="s">
        <v>332</v>
      </c>
      <c r="F103" s="323">
        <f>IF('Вводные 1'!B96 ="", "", 'Вводные 1'!B96)</f>
        <v>711</v>
      </c>
      <c r="G103" s="6">
        <f t="shared" ca="1" si="1"/>
        <v>1</v>
      </c>
      <c r="H103" s="6">
        <f t="array" ref="H103">MIN(IF(A104:A$173="",ROW(A104:A$173)))</f>
        <v>119</v>
      </c>
      <c r="I103" s="6" t="str">
        <f ca="1">IF(H103&lt;&gt;H102,COUNTA(C104:INDIRECT(ADDRESS(H103-1,3)))-COUNTBLANK(C104:INDIRECT(ADDRESS(H103-1,3))), "content")</f>
        <v>content</v>
      </c>
    </row>
    <row r="104" spans="1:10" s="260" customFormat="1" ht="89.25" x14ac:dyDescent="0.25">
      <c r="A104" s="259">
        <f>SUBTOTAL(3,$B$102:B104)</f>
        <v>3</v>
      </c>
      <c r="B104" s="1" t="s">
        <v>333</v>
      </c>
      <c r="C104" s="259" t="str">
        <f>IF('Вводные 1'!D97 ="", "", 'Вводные 1'!D97)</f>
        <v/>
      </c>
      <c r="D104" s="1" t="s">
        <v>332</v>
      </c>
      <c r="F104" s="323">
        <f>IF('Вводные 1'!B97 ="", "", 'Вводные 1'!B97)</f>
        <v>712</v>
      </c>
      <c r="G104" s="6">
        <f t="shared" ca="1" si="1"/>
        <v>0</v>
      </c>
      <c r="H104" s="6">
        <f t="array" ref="H104">MIN(IF(A105:A$173="",ROW(A105:A$173)))</f>
        <v>119</v>
      </c>
      <c r="I104" s="6" t="str">
        <f ca="1">IF(H104&lt;&gt;H103,COUNTA(C105:INDIRECT(ADDRESS(H104-1,3)))-COUNTBLANK(C105:INDIRECT(ADDRESS(H104-1,3))), "content")</f>
        <v>content</v>
      </c>
      <c r="J104" s="38"/>
    </row>
    <row r="105" spans="1:10" s="260" customFormat="1" ht="63.75" x14ac:dyDescent="0.25">
      <c r="A105" s="259">
        <f>SUBTOTAL(3,$B$102:B105)</f>
        <v>4</v>
      </c>
      <c r="B105" s="1" t="s">
        <v>334</v>
      </c>
      <c r="C105" s="259" t="str">
        <f>IF('Вводные 1'!D98 ="", "", 'Вводные 1'!D98)</f>
        <v/>
      </c>
      <c r="D105" s="1" t="s">
        <v>335</v>
      </c>
      <c r="F105" s="323">
        <f>IF('Вводные 1'!B98 ="", "", 'Вводные 1'!B98)</f>
        <v>713</v>
      </c>
      <c r="G105" s="6">
        <f t="shared" ca="1" si="1"/>
        <v>0</v>
      </c>
      <c r="H105" s="6">
        <f t="array" ref="H105">MIN(IF(A106:A$173="",ROW(A106:A$173)))</f>
        <v>119</v>
      </c>
      <c r="I105" s="6" t="str">
        <f ca="1">IF(H105&lt;&gt;H104,COUNTA(C106:INDIRECT(ADDRESS(H105-1,3)))-COUNTBLANK(C106:INDIRECT(ADDRESS(H105-1,3))), "content")</f>
        <v>content</v>
      </c>
      <c r="J105" s="38"/>
    </row>
    <row r="106" spans="1:10" s="260" customFormat="1" ht="38.25" x14ac:dyDescent="0.25">
      <c r="A106" s="259">
        <f>SUBTOTAL(3,$B$102:B106)</f>
        <v>5</v>
      </c>
      <c r="B106" s="1" t="s">
        <v>311</v>
      </c>
      <c r="C106" s="259" t="str">
        <f>IF('Вводные 1'!D99 ="", "", 'Вводные 1'!D99)</f>
        <v/>
      </c>
      <c r="D106" s="1"/>
      <c r="F106" s="323">
        <f>IF('Вводные 1'!B99 ="", "", 'Вводные 1'!B99)</f>
        <v>720</v>
      </c>
      <c r="G106" s="6">
        <f t="shared" ca="1" si="1"/>
        <v>0</v>
      </c>
      <c r="H106" s="6">
        <f t="array" ref="H106">MIN(IF(A107:A$173="",ROW(A107:A$173)))</f>
        <v>119</v>
      </c>
      <c r="I106" s="6" t="str">
        <f ca="1">IF(H106&lt;&gt;H105,COUNTA(C107:INDIRECT(ADDRESS(H106-1,3)))-COUNTBLANK(C107:INDIRECT(ADDRESS(H106-1,3))), "content")</f>
        <v>content</v>
      </c>
      <c r="J106" s="38"/>
    </row>
    <row r="107" spans="1:10" s="260" customFormat="1" ht="89.25" x14ac:dyDescent="0.25">
      <c r="A107" s="259">
        <f>SUBTOTAL(3,$B$102:B107)</f>
        <v>6</v>
      </c>
      <c r="B107" s="1" t="s">
        <v>336</v>
      </c>
      <c r="C107" s="259" t="str">
        <f>IF('Вводные 1'!D100 ="", "", 'Вводные 1'!D100)</f>
        <v/>
      </c>
      <c r="D107" s="1" t="s">
        <v>332</v>
      </c>
      <c r="F107" s="323">
        <f>IF('Вводные 1'!B100 ="", "", 'Вводные 1'!B100)</f>
        <v>721</v>
      </c>
      <c r="G107" s="6">
        <f t="shared" ca="1" si="1"/>
        <v>0</v>
      </c>
      <c r="H107" s="6">
        <f t="array" ref="H107">MIN(IF(A108:A$173="",ROW(A108:A$173)))</f>
        <v>119</v>
      </c>
      <c r="I107" s="6" t="str">
        <f ca="1">IF(H107&lt;&gt;H106,COUNTA(C108:INDIRECT(ADDRESS(H107-1,3)))-COUNTBLANK(C108:INDIRECT(ADDRESS(H107-1,3))), "content")</f>
        <v>content</v>
      </c>
      <c r="J107" s="38"/>
    </row>
    <row r="108" spans="1:10" s="260" customFormat="1" ht="38.25" x14ac:dyDescent="0.25">
      <c r="A108" s="259">
        <f>SUBTOTAL(3,$B$102:B108)</f>
        <v>7</v>
      </c>
      <c r="B108" s="1" t="s">
        <v>337</v>
      </c>
      <c r="C108" s="259" t="str">
        <f>IF('Вводные 1'!D101 ="", "", 'Вводные 1'!D101)</f>
        <v/>
      </c>
      <c r="D108" s="1"/>
      <c r="F108" s="323">
        <f>IF('Вводные 1'!B101 ="", "", 'Вводные 1'!B101)</f>
        <v>722</v>
      </c>
      <c r="G108" s="6">
        <f t="shared" ca="1" si="1"/>
        <v>0</v>
      </c>
      <c r="H108" s="6">
        <f t="array" ref="H108">MIN(IF(A109:A$173="",ROW(A109:A$173)))</f>
        <v>119</v>
      </c>
      <c r="I108" s="6" t="str">
        <f ca="1">IF(H108&lt;&gt;H107,COUNTA(C109:INDIRECT(ADDRESS(H108-1,3)))-COUNTBLANK(C109:INDIRECT(ADDRESS(H108-1,3))), "content")</f>
        <v>content</v>
      </c>
      <c r="J108" s="38"/>
    </row>
    <row r="109" spans="1:10" s="260" customFormat="1" ht="38.25" x14ac:dyDescent="0.25">
      <c r="A109" s="259">
        <f>SUBTOTAL(3,$B$102:B109)</f>
        <v>8</v>
      </c>
      <c r="B109" s="1" t="s">
        <v>338</v>
      </c>
      <c r="C109" s="259" t="str">
        <f>IF('Вводные 1'!D102 ="", "", 'Вводные 1'!D102)</f>
        <v/>
      </c>
      <c r="D109" s="1"/>
      <c r="F109" s="323">
        <f>IF('Вводные 1'!B102 ="", "", 'Вводные 1'!B102)</f>
        <v>723</v>
      </c>
      <c r="G109" s="6">
        <f t="shared" ca="1" si="1"/>
        <v>0</v>
      </c>
      <c r="H109" s="6">
        <f t="array" ref="H109">MIN(IF(A110:A$173="",ROW(A110:A$173)))</f>
        <v>119</v>
      </c>
      <c r="I109" s="6" t="str">
        <f ca="1">IF(H109&lt;&gt;H108,COUNTA(C110:INDIRECT(ADDRESS(H109-1,3)))-COUNTBLANK(C110:INDIRECT(ADDRESS(H109-1,3))), "content")</f>
        <v>content</v>
      </c>
      <c r="J109" s="38"/>
    </row>
    <row r="110" spans="1:10" s="260" customFormat="1" ht="25.5" x14ac:dyDescent="0.25">
      <c r="A110" s="259">
        <f>SUBTOTAL(3,$B$102:B110)</f>
        <v>9</v>
      </c>
      <c r="B110" s="1" t="s">
        <v>339</v>
      </c>
      <c r="C110" s="259" t="str">
        <f>IF('Вводные 1'!D103 ="", "", 'Вводные 1'!D103)</f>
        <v/>
      </c>
      <c r="D110" s="1"/>
      <c r="F110" s="323">
        <f>IF('Вводные 1'!B103 ="", "", 'Вводные 1'!B103)</f>
        <v>724</v>
      </c>
      <c r="G110" s="6">
        <f t="shared" ca="1" si="1"/>
        <v>0</v>
      </c>
      <c r="H110" s="6">
        <f t="array" ref="H110">MIN(IF(A111:A$173="",ROW(A111:A$173)))</f>
        <v>119</v>
      </c>
      <c r="I110" s="6" t="str">
        <f ca="1">IF(H110&lt;&gt;H109,COUNTA(C111:INDIRECT(ADDRESS(H110-1,3)))-COUNTBLANK(C111:INDIRECT(ADDRESS(H110-1,3))), "content")</f>
        <v>content</v>
      </c>
      <c r="J110" s="38"/>
    </row>
    <row r="111" spans="1:10" s="260" customFormat="1" ht="51" x14ac:dyDescent="0.25">
      <c r="A111" s="259">
        <f>SUBTOTAL(3,$B$102:B111)</f>
        <v>10</v>
      </c>
      <c r="B111" s="1" t="s">
        <v>340</v>
      </c>
      <c r="C111" s="259" t="str">
        <f>IF('Вводные 1'!D104 ="", "", 'Вводные 1'!D104)</f>
        <v/>
      </c>
      <c r="D111" s="1"/>
      <c r="F111" s="323">
        <f>IF('Вводные 1'!B104 ="", "", 'Вводные 1'!B104)</f>
        <v>725</v>
      </c>
      <c r="G111" s="6">
        <f t="shared" ca="1" si="1"/>
        <v>0</v>
      </c>
      <c r="H111" s="6">
        <f t="array" ref="H111">MIN(IF(A112:A$173="",ROW(A112:A$173)))</f>
        <v>119</v>
      </c>
      <c r="I111" s="6" t="str">
        <f ca="1">IF(H111&lt;&gt;H110,COUNTA(C112:INDIRECT(ADDRESS(H111-1,3)))-COUNTBLANK(C112:INDIRECT(ADDRESS(H111-1,3))), "content")</f>
        <v>content</v>
      </c>
      <c r="J111" s="38"/>
    </row>
    <row r="112" spans="1:10" s="260" customFormat="1" ht="38.25" x14ac:dyDescent="0.25">
      <c r="A112" s="259">
        <f>SUBTOTAL(3,$B$102:B112)</f>
        <v>11</v>
      </c>
      <c r="B112" s="1" t="s">
        <v>341</v>
      </c>
      <c r="C112" s="259" t="str">
        <f>IF('Вводные 1'!D105 ="", "", 'Вводные 1'!D105)</f>
        <v>89-91/8/</v>
      </c>
      <c r="D112" s="1"/>
      <c r="F112" s="323">
        <f>IF('Вводные 1'!B105 ="", "", 'Вводные 1'!B105)</f>
        <v>726</v>
      </c>
      <c r="G112" s="6">
        <f t="shared" ca="1" si="1"/>
        <v>1</v>
      </c>
      <c r="H112" s="6">
        <f t="array" ref="H112">MIN(IF(A113:A$173="",ROW(A113:A$173)))</f>
        <v>119</v>
      </c>
      <c r="I112" s="6" t="str">
        <f ca="1">IF(H112&lt;&gt;H111,COUNTA(C113:INDIRECT(ADDRESS(H112-1,3)))-COUNTBLANK(C113:INDIRECT(ADDRESS(H112-1,3))), "content")</f>
        <v>content</v>
      </c>
      <c r="J112" s="38"/>
    </row>
    <row r="113" spans="1:10" s="260" customFormat="1" ht="38.25" x14ac:dyDescent="0.25">
      <c r="A113" s="259">
        <f>SUBTOTAL(3,$B$102:B113)</f>
        <v>12</v>
      </c>
      <c r="B113" s="1" t="s">
        <v>319</v>
      </c>
      <c r="C113" s="259" t="str">
        <f>IF('Вводные 1'!D106 ="", "", 'Вводные 1'!D106)</f>
        <v/>
      </c>
      <c r="D113" s="1"/>
      <c r="F113" s="323">
        <f>IF('Вводные 1'!B106 ="", "", 'Вводные 1'!B106)</f>
        <v>730</v>
      </c>
      <c r="G113" s="6">
        <f t="shared" ca="1" si="1"/>
        <v>0</v>
      </c>
      <c r="H113" s="6">
        <f t="array" ref="H113">MIN(IF(A114:A$173="",ROW(A114:A$173)))</f>
        <v>119</v>
      </c>
      <c r="I113" s="6" t="str">
        <f ca="1">IF(H113&lt;&gt;H112,COUNTA(C114:INDIRECT(ADDRESS(H113-1,3)))-COUNTBLANK(C114:INDIRECT(ADDRESS(H113-1,3))), "content")</f>
        <v>content</v>
      </c>
      <c r="J113" s="38"/>
    </row>
    <row r="114" spans="1:10" ht="89.25" x14ac:dyDescent="0.25">
      <c r="A114" s="259">
        <f>SUBTOTAL(3,$B$102:B114)</f>
        <v>13</v>
      </c>
      <c r="B114" s="261" t="s">
        <v>342</v>
      </c>
      <c r="C114" s="259" t="str">
        <f>IF('Вводные 1'!D107 ="", "", 'Вводные 1'!D107)</f>
        <v/>
      </c>
      <c r="D114" s="261" t="s">
        <v>332</v>
      </c>
      <c r="F114" s="323">
        <f>IF('Вводные 1'!B107 ="", "", 'Вводные 1'!B107)</f>
        <v>731</v>
      </c>
      <c r="G114" s="6">
        <f t="shared" ca="1" si="1"/>
        <v>0</v>
      </c>
      <c r="H114" s="6">
        <f t="array" ref="H114">MIN(IF(A115:A$173="",ROW(A115:A$173)))</f>
        <v>119</v>
      </c>
      <c r="I114" s="6" t="str">
        <f ca="1">IF(H114&lt;&gt;H113,COUNTA(C115:INDIRECT(ADDRESS(H114-1,3)))-COUNTBLANK(C115:INDIRECT(ADDRESS(H114-1,3))), "content")</f>
        <v>content</v>
      </c>
    </row>
    <row r="115" spans="1:10" s="260" customFormat="1" ht="51" x14ac:dyDescent="0.25">
      <c r="A115" s="259">
        <f>SUBTOTAL(3,$B$102:B115)</f>
        <v>14</v>
      </c>
      <c r="B115" s="1" t="s">
        <v>343</v>
      </c>
      <c r="C115" s="259" t="str">
        <f>IF('Вводные 1'!D108 ="", "", 'Вводные 1'!D108)</f>
        <v/>
      </c>
      <c r="D115" s="1"/>
      <c r="F115" s="323">
        <f>IF('Вводные 1'!B108 ="", "", 'Вводные 1'!B108)</f>
        <v>732</v>
      </c>
      <c r="G115" s="6">
        <f t="shared" ca="1" si="1"/>
        <v>0</v>
      </c>
      <c r="H115" s="6">
        <f t="array" ref="H115">MIN(IF(A116:A$173="",ROW(A116:A$173)))</f>
        <v>119</v>
      </c>
      <c r="I115" s="6" t="str">
        <f ca="1">IF(H115&lt;&gt;H114,COUNTA(C116:INDIRECT(ADDRESS(H115-1,3)))-COUNTBLANK(C116:INDIRECT(ADDRESS(H115-1,3))), "content")</f>
        <v>content</v>
      </c>
      <c r="J115" s="38"/>
    </row>
    <row r="116" spans="1:10" s="260" customFormat="1" ht="38.25" x14ac:dyDescent="0.25">
      <c r="A116" s="259">
        <f>SUBTOTAL(3,$B$102:B116)</f>
        <v>15</v>
      </c>
      <c r="B116" s="1" t="s">
        <v>344</v>
      </c>
      <c r="C116" s="259" t="str">
        <f>IF('Вводные 1'!D109 ="", "", 'Вводные 1'!D109)</f>
        <v/>
      </c>
      <c r="D116" s="1"/>
      <c r="F116" s="323">
        <f>IF('Вводные 1'!B109 ="", "", 'Вводные 1'!B109)</f>
        <v>733</v>
      </c>
      <c r="G116" s="6">
        <f t="shared" ca="1" si="1"/>
        <v>0</v>
      </c>
      <c r="H116" s="6">
        <f t="array" ref="H116">MIN(IF(A117:A$173="",ROW(A117:A$173)))</f>
        <v>119</v>
      </c>
      <c r="I116" s="6" t="str">
        <f ca="1">IF(H116&lt;&gt;H115,COUNTA(C117:INDIRECT(ADDRESS(H116-1,3)))-COUNTBLANK(C117:INDIRECT(ADDRESS(H116-1,3))), "content")</f>
        <v>content</v>
      </c>
      <c r="J116" s="38"/>
    </row>
    <row r="117" spans="1:10" s="260" customFormat="1" ht="38.25" x14ac:dyDescent="0.25">
      <c r="A117" s="259">
        <f>SUBTOTAL(3,$B$102:B117)</f>
        <v>16</v>
      </c>
      <c r="B117" s="1" t="s">
        <v>345</v>
      </c>
      <c r="C117" s="259" t="str">
        <f>IF('Вводные 1'!D110 ="", "", 'Вводные 1'!D110)</f>
        <v/>
      </c>
      <c r="D117" s="1"/>
      <c r="F117" s="323">
        <f>IF('Вводные 1'!B110 ="", "", 'Вводные 1'!B110)</f>
        <v>740</v>
      </c>
      <c r="G117" s="6">
        <f t="shared" ca="1" si="1"/>
        <v>0</v>
      </c>
      <c r="H117" s="6">
        <f t="array" ref="H117">MIN(IF(A118:A$173="",ROW(A118:A$173)))</f>
        <v>119</v>
      </c>
      <c r="I117" s="6" t="str">
        <f ca="1">IF(H117&lt;&gt;H116,COUNTA(C118:INDIRECT(ADDRESS(H117-1,3)))-COUNTBLANK(C118:INDIRECT(ADDRESS(H117-1,3))), "content")</f>
        <v>content</v>
      </c>
      <c r="J117" s="38"/>
    </row>
    <row r="118" spans="1:10" s="260" customFormat="1" ht="89.25" x14ac:dyDescent="0.25">
      <c r="A118" s="259">
        <f>SUBTOTAL(3,$B$102:B118)</f>
        <v>17</v>
      </c>
      <c r="B118" s="1" t="s">
        <v>346</v>
      </c>
      <c r="C118" s="259" t="str">
        <f>IF('Вводные 1'!D111 ="", "", 'Вводные 1'!D111)</f>
        <v/>
      </c>
      <c r="D118" s="1" t="s">
        <v>332</v>
      </c>
      <c r="F118" s="323">
        <f>IF('Вводные 1'!B111 ="", "", 'Вводные 1'!B111)</f>
        <v>741</v>
      </c>
      <c r="G118" s="6">
        <f t="shared" ca="1" si="1"/>
        <v>0</v>
      </c>
      <c r="H118" s="6">
        <f t="array" ref="H118">MIN(IF(A119:A$173="",ROW(A119:A$173)))</f>
        <v>119</v>
      </c>
      <c r="I118" s="6" t="str">
        <f ca="1">IF(H118&lt;&gt;H117,COUNTA(C119:INDIRECT(ADDRESS(H118-1,3)))-COUNTBLANK(C119:INDIRECT(ADDRESS(H118-1,3))), "content")</f>
        <v>content</v>
      </c>
      <c r="J118" s="38"/>
    </row>
    <row r="119" spans="1:10" ht="12.75" customHeight="1" x14ac:dyDescent="0.25">
      <c r="A119" s="259"/>
      <c r="B119" s="423" t="s">
        <v>347</v>
      </c>
      <c r="C119" s="423"/>
      <c r="D119" s="423"/>
      <c r="F119" s="324"/>
      <c r="G119" s="6">
        <f ca="1">IF(OR(B119="", I119=0), 0, 1)</f>
        <v>0</v>
      </c>
      <c r="H119" s="6">
        <f t="array" ref="H119">MIN(IF(A120:A$173="",ROW(A120:A$173)))</f>
        <v>131</v>
      </c>
      <c r="I119" s="6">
        <f ca="1">IF(H119&lt;&gt;H118,COUNTA(C120:INDIRECT(ADDRESS(H119-1,3)))-COUNTBLANK(C120:INDIRECT(ADDRESS(H119-1,3))), "content")</f>
        <v>0</v>
      </c>
    </row>
    <row r="120" spans="1:10" s="260" customFormat="1" ht="63.75" x14ac:dyDescent="0.25">
      <c r="A120" s="259">
        <f>SUBTOTAL(3,$B$120:B120)</f>
        <v>1</v>
      </c>
      <c r="B120" s="1" t="s">
        <v>348</v>
      </c>
      <c r="C120" s="259" t="str">
        <f>IF('Вводные 1'!D112 ="", "", 'Вводные 1'!D112)</f>
        <v/>
      </c>
      <c r="D120" s="1" t="s">
        <v>349</v>
      </c>
      <c r="F120" s="323">
        <f>IF('Вводные 1'!B112 ="", "", 'Вводные 1'!B112)</f>
        <v>810</v>
      </c>
      <c r="G120" s="6">
        <f t="shared" ca="1" si="1"/>
        <v>0</v>
      </c>
      <c r="H120" s="6">
        <f t="array" ref="H120">MIN(IF(A121:A$173="",ROW(A121:A$173)))</f>
        <v>131</v>
      </c>
      <c r="I120" s="6" t="str">
        <f ca="1">IF(H120&lt;&gt;H119,COUNTA(C121:INDIRECT(ADDRESS(H120-1,3)))-COUNTBLANK(C121:INDIRECT(ADDRESS(H120-1,3))), "content")</f>
        <v>content</v>
      </c>
      <c r="J120" s="38"/>
    </row>
    <row r="121" spans="1:10" s="260" customFormat="1" ht="38.25" x14ac:dyDescent="0.25">
      <c r="A121" s="259">
        <f>SUBTOTAL(3,$B$120:B121)</f>
        <v>2</v>
      </c>
      <c r="B121" s="1" t="s">
        <v>350</v>
      </c>
      <c r="C121" s="259" t="str">
        <f>IF('Вводные 1'!D113 ="", "", 'Вводные 1'!D113)</f>
        <v/>
      </c>
      <c r="D121" s="1"/>
      <c r="F121" s="323">
        <f>IF('Вводные 1'!B113 ="", "", 'Вводные 1'!B113)</f>
        <v>811</v>
      </c>
      <c r="G121" s="6">
        <f t="shared" ca="1" si="1"/>
        <v>0</v>
      </c>
      <c r="H121" s="6">
        <f t="array" ref="H121">MIN(IF(A122:A$173="",ROW(A122:A$173)))</f>
        <v>131</v>
      </c>
      <c r="I121" s="6" t="str">
        <f ca="1">IF(H121&lt;&gt;H120,COUNTA(C122:INDIRECT(ADDRESS(H121-1,3)))-COUNTBLANK(C122:INDIRECT(ADDRESS(H121-1,3))), "content")</f>
        <v>content</v>
      </c>
      <c r="J121" s="38"/>
    </row>
    <row r="122" spans="1:10" s="260" customFormat="1" ht="114.75" x14ac:dyDescent="0.25">
      <c r="A122" s="259">
        <f>SUBTOTAL(3,$B$120:B122)</f>
        <v>3</v>
      </c>
      <c r="B122" s="1" t="s">
        <v>351</v>
      </c>
      <c r="C122" s="259" t="str">
        <f>IF('Вводные 1'!D114 ="", "", 'Вводные 1'!D114)</f>
        <v/>
      </c>
      <c r="D122" s="1" t="s">
        <v>352</v>
      </c>
      <c r="F122" s="323">
        <f>IF('Вводные 1'!B114 ="", "", 'Вводные 1'!B114)</f>
        <v>812</v>
      </c>
      <c r="G122" s="6">
        <f t="shared" ca="1" si="1"/>
        <v>0</v>
      </c>
      <c r="H122" s="6">
        <f t="array" ref="H122">MIN(IF(A123:A$173="",ROW(A123:A$173)))</f>
        <v>131</v>
      </c>
      <c r="I122" s="6" t="str">
        <f ca="1">IF(H122&lt;&gt;H121,COUNTA(C123:INDIRECT(ADDRESS(H122-1,3)))-COUNTBLANK(C123:INDIRECT(ADDRESS(H122-1,3))), "content")</f>
        <v>content</v>
      </c>
      <c r="J122" s="38"/>
    </row>
    <row r="123" spans="1:10" s="260" customFormat="1" ht="153" x14ac:dyDescent="0.25">
      <c r="A123" s="259">
        <f>SUBTOTAL(3,$B$120:B123)</f>
        <v>4</v>
      </c>
      <c r="B123" s="1" t="s">
        <v>353</v>
      </c>
      <c r="C123" s="259" t="str">
        <f>IF('Вводные 1'!D115 ="", "", 'Вводные 1'!D115)</f>
        <v/>
      </c>
      <c r="D123" s="1" t="s">
        <v>354</v>
      </c>
      <c r="F123" s="323">
        <f>IF('Вводные 1'!B115 ="", "", 'Вводные 1'!B115)</f>
        <v>813</v>
      </c>
      <c r="G123" s="6">
        <f t="shared" ca="1" si="1"/>
        <v>0</v>
      </c>
      <c r="H123" s="6">
        <f t="array" ref="H123">MIN(IF(A124:A$173="",ROW(A124:A$173)))</f>
        <v>131</v>
      </c>
      <c r="I123" s="6" t="str">
        <f ca="1">IF(H123&lt;&gt;H122,COUNTA(C124:INDIRECT(ADDRESS(H123-1,3)))-COUNTBLANK(C124:INDIRECT(ADDRESS(H123-1,3))), "content")</f>
        <v>content</v>
      </c>
      <c r="J123" s="38"/>
    </row>
    <row r="124" spans="1:10" s="260" customFormat="1" ht="38.25" x14ac:dyDescent="0.25">
      <c r="A124" s="259">
        <f>SUBTOTAL(3,$B$120:B124)</f>
        <v>5</v>
      </c>
      <c r="B124" s="1" t="s">
        <v>355</v>
      </c>
      <c r="C124" s="259" t="str">
        <f>IF('Вводные 1'!D116 ="", "", 'Вводные 1'!D116)</f>
        <v/>
      </c>
      <c r="D124" s="1" t="s">
        <v>356</v>
      </c>
      <c r="F124" s="323">
        <f>IF('Вводные 1'!B116 ="", "", 'Вводные 1'!B116)</f>
        <v>814</v>
      </c>
      <c r="G124" s="6">
        <f t="shared" ca="1" si="1"/>
        <v>0</v>
      </c>
      <c r="H124" s="6">
        <f t="array" ref="H124">MIN(IF(A125:A$173="",ROW(A125:A$173)))</f>
        <v>131</v>
      </c>
      <c r="I124" s="6" t="str">
        <f ca="1">IF(H124&lt;&gt;H123,COUNTA(C125:INDIRECT(ADDRESS(H124-1,3)))-COUNTBLANK(C125:INDIRECT(ADDRESS(H124-1,3))), "content")</f>
        <v>content</v>
      </c>
      <c r="J124" s="38"/>
    </row>
    <row r="125" spans="1:10" s="260" customFormat="1" ht="51" x14ac:dyDescent="0.25">
      <c r="A125" s="259">
        <f>SUBTOTAL(3,$B$120:B125)</f>
        <v>6</v>
      </c>
      <c r="B125" s="1" t="s">
        <v>357</v>
      </c>
      <c r="C125" s="259" t="str">
        <f>IF('Вводные 1'!D117 ="", "", 'Вводные 1'!D117)</f>
        <v/>
      </c>
      <c r="D125" s="1" t="s">
        <v>358</v>
      </c>
      <c r="F125" s="323">
        <f>IF('Вводные 1'!B117 ="", "", 'Вводные 1'!B117)</f>
        <v>815</v>
      </c>
      <c r="G125" s="6">
        <f t="shared" ca="1" si="1"/>
        <v>0</v>
      </c>
      <c r="H125" s="6">
        <f t="array" ref="H125">MIN(IF(A126:A$173="",ROW(A126:A$173)))</f>
        <v>131</v>
      </c>
      <c r="I125" s="6" t="str">
        <f ca="1">IF(H125&lt;&gt;H124,COUNTA(C126:INDIRECT(ADDRESS(H125-1,3)))-COUNTBLANK(C126:INDIRECT(ADDRESS(H125-1,3))), "content")</f>
        <v>content</v>
      </c>
      <c r="J125" s="38"/>
    </row>
    <row r="126" spans="1:10" s="260" customFormat="1" ht="38.25" x14ac:dyDescent="0.25">
      <c r="A126" s="259">
        <f>SUBTOTAL(3,$B$120:B126)</f>
        <v>7</v>
      </c>
      <c r="B126" s="1" t="s">
        <v>359</v>
      </c>
      <c r="C126" s="259" t="str">
        <f>IF('Вводные 1'!D118 ="", "", 'Вводные 1'!D118)</f>
        <v/>
      </c>
      <c r="D126" s="1"/>
      <c r="F126" s="323">
        <f>IF('Вводные 1'!B118 ="", "", 'Вводные 1'!B118)</f>
        <v>820</v>
      </c>
      <c r="G126" s="6">
        <f t="shared" ca="1" si="1"/>
        <v>0</v>
      </c>
      <c r="H126" s="6">
        <f t="array" ref="H126">MIN(IF(A127:A$173="",ROW(A127:A$173)))</f>
        <v>131</v>
      </c>
      <c r="I126" s="6" t="str">
        <f ca="1">IF(H126&lt;&gt;H125,COUNTA(C127:INDIRECT(ADDRESS(H126-1,3)))-COUNTBLANK(C127:INDIRECT(ADDRESS(H126-1,3))), "content")</f>
        <v>content</v>
      </c>
      <c r="J126" s="38"/>
    </row>
    <row r="127" spans="1:10" s="260" customFormat="1" ht="63.75" x14ac:dyDescent="0.25">
      <c r="A127" s="259">
        <f>SUBTOTAL(3,$B$120:B127)</f>
        <v>8</v>
      </c>
      <c r="B127" s="1" t="s">
        <v>360</v>
      </c>
      <c r="C127" s="259" t="str">
        <f>IF('Вводные 1'!D119 ="", "", 'Вводные 1'!D119)</f>
        <v/>
      </c>
      <c r="D127" s="1"/>
      <c r="F127" s="323">
        <f>IF('Вводные 1'!B119 ="", "", 'Вводные 1'!B119)</f>
        <v>821</v>
      </c>
      <c r="G127" s="6">
        <f t="shared" ca="1" si="1"/>
        <v>0</v>
      </c>
      <c r="H127" s="6">
        <f t="array" ref="H127">MIN(IF(A128:A$173="",ROW(A128:A$173)))</f>
        <v>131</v>
      </c>
      <c r="I127" s="6" t="str">
        <f ca="1">IF(H127&lt;&gt;H126,COUNTA(C128:INDIRECT(ADDRESS(H127-1,3)))-COUNTBLANK(C128:INDIRECT(ADDRESS(H127-1,3))), "content")</f>
        <v>content</v>
      </c>
      <c r="J127" s="38"/>
    </row>
    <row r="128" spans="1:10" ht="25.5" x14ac:dyDescent="0.25">
      <c r="A128" s="259">
        <f>SUBTOTAL(3,$B$120:B128)</f>
        <v>9</v>
      </c>
      <c r="B128" s="261" t="s">
        <v>361</v>
      </c>
      <c r="C128" s="259" t="str">
        <f>IF('Вводные 1'!D120 ="", "", 'Вводные 1'!D120)</f>
        <v/>
      </c>
      <c r="D128" s="261"/>
      <c r="F128" s="323">
        <f>IF('Вводные 1'!B120 ="", "", 'Вводные 1'!B120)</f>
        <v>822</v>
      </c>
      <c r="G128" s="6">
        <f t="shared" ca="1" si="1"/>
        <v>0</v>
      </c>
      <c r="H128" s="6">
        <f t="array" ref="H128">MIN(IF(A129:A$173="",ROW(A129:A$173)))</f>
        <v>131</v>
      </c>
      <c r="I128" s="6" t="str">
        <f ca="1">IF(H128&lt;&gt;H127,COUNTA(C129:INDIRECT(ADDRESS(H128-1,3)))-COUNTBLANK(C129:INDIRECT(ADDRESS(H128-1,3))), "content")</f>
        <v>content</v>
      </c>
    </row>
    <row r="129" spans="1:10" s="260" customFormat="1" ht="38.25" x14ac:dyDescent="0.25">
      <c r="A129" s="259">
        <f>SUBTOTAL(3,$B$120:B129)</f>
        <v>10</v>
      </c>
      <c r="B129" s="1" t="s">
        <v>362</v>
      </c>
      <c r="C129" s="259" t="str">
        <f>IF('Вводные 1'!D121 ="", "", 'Вводные 1'!D121)</f>
        <v/>
      </c>
      <c r="D129" s="1"/>
      <c r="F129" s="323">
        <f>IF('Вводные 1'!B121 ="", "", 'Вводные 1'!B121)</f>
        <v>823</v>
      </c>
      <c r="G129" s="6">
        <f t="shared" ca="1" si="1"/>
        <v>0</v>
      </c>
      <c r="H129" s="6">
        <f t="array" ref="H129">MIN(IF(A130:A$173="",ROW(A130:A$173)))</f>
        <v>131</v>
      </c>
      <c r="I129" s="6" t="str">
        <f ca="1">IF(H129&lt;&gt;H128,COUNTA(C130:INDIRECT(ADDRESS(H129-1,3)))-COUNTBLANK(C130:INDIRECT(ADDRESS(H129-1,3))), "content")</f>
        <v>content</v>
      </c>
      <c r="J129" s="38"/>
    </row>
    <row r="130" spans="1:10" s="260" customFormat="1" ht="191.25" x14ac:dyDescent="0.25">
      <c r="A130" s="259">
        <f>SUBTOTAL(3,$B$120:B130)</f>
        <v>11</v>
      </c>
      <c r="B130" s="1" t="s">
        <v>363</v>
      </c>
      <c r="C130" s="259" t="str">
        <f>IF('Вводные 1'!D122 ="", "", 'Вводные 1'!D122)</f>
        <v/>
      </c>
      <c r="D130" s="1" t="s">
        <v>364</v>
      </c>
      <c r="F130" s="323">
        <f>IF('Вводные 1'!B122 ="", "", 'Вводные 1'!B122)</f>
        <v>824</v>
      </c>
      <c r="G130" s="6">
        <f t="shared" ca="1" si="1"/>
        <v>0</v>
      </c>
      <c r="H130" s="6">
        <f t="array" ref="H130">MIN(IF(A131:A$173="",ROW(A131:A$173)))</f>
        <v>131</v>
      </c>
      <c r="I130" s="6" t="str">
        <f ca="1">IF(H130&lt;&gt;H129,COUNTA(C131:INDIRECT(ADDRESS(H130-1,3)))-COUNTBLANK(C131:INDIRECT(ADDRESS(H130-1,3))), "content")</f>
        <v>content</v>
      </c>
      <c r="J130" s="38"/>
    </row>
    <row r="131" spans="1:10" ht="12.75" customHeight="1" x14ac:dyDescent="0.25">
      <c r="A131" s="259"/>
      <c r="B131" s="423" t="s">
        <v>365</v>
      </c>
      <c r="C131" s="423"/>
      <c r="D131" s="423"/>
      <c r="F131" s="324"/>
      <c r="G131" s="6">
        <f ca="1">IF(OR(B131="", I131=0), 0, 1)</f>
        <v>0</v>
      </c>
      <c r="H131" s="6">
        <f t="array" ref="H131">MIN(IF(A132:A$173="",ROW(A132:A$173)))</f>
        <v>155</v>
      </c>
      <c r="I131" s="6">
        <f ca="1">IF(H131&lt;&gt;H130,COUNTA(C132:INDIRECT(ADDRESS(H131-1,3)))-COUNTBLANK(C132:INDIRECT(ADDRESS(H131-1,3))), "content")</f>
        <v>0</v>
      </c>
    </row>
    <row r="132" spans="1:10" s="260" customFormat="1" ht="25.5" x14ac:dyDescent="0.25">
      <c r="A132" s="259">
        <f>SUBTOTAL(3,$B$132:B132)</f>
        <v>1</v>
      </c>
      <c r="B132" s="1" t="s">
        <v>366</v>
      </c>
      <c r="C132" s="259" t="str">
        <f>IF('Вводные 1'!D123 ="", "", 'Вводные 1'!D123)</f>
        <v/>
      </c>
      <c r="D132" s="1"/>
      <c r="F132" s="323">
        <f>IF('Вводные 1'!B123 ="", "", 'Вводные 1'!B123)</f>
        <v>910</v>
      </c>
      <c r="G132" s="6">
        <f t="shared" ref="G132:G172" ca="1" si="2">IF(OR(C132="", I132=0), 0, 1)</f>
        <v>0</v>
      </c>
      <c r="H132" s="6">
        <f t="array" ref="H132">MIN(IF(A133:A$173="",ROW(A133:A$173)))</f>
        <v>155</v>
      </c>
      <c r="I132" s="6" t="str">
        <f ca="1">IF(H132&lt;&gt;H131,COUNTA(C133:INDIRECT(ADDRESS(H132-1,3)))-COUNTBLANK(C133:INDIRECT(ADDRESS(H132-1,3))), "content")</f>
        <v>content</v>
      </c>
      <c r="J132" s="38"/>
    </row>
    <row r="133" spans="1:10" s="260" customFormat="1" ht="25.5" x14ac:dyDescent="0.25">
      <c r="A133" s="259">
        <f>SUBTOTAL(3,$B$132:B133)</f>
        <v>2</v>
      </c>
      <c r="B133" s="1" t="s">
        <v>367</v>
      </c>
      <c r="C133" s="259" t="str">
        <f>IF('Вводные 1'!D124 ="", "", 'Вводные 1'!D124)</f>
        <v/>
      </c>
      <c r="D133" s="1"/>
      <c r="F133" s="323">
        <f>IF('Вводные 1'!B124 ="", "", 'Вводные 1'!B124)</f>
        <v>911</v>
      </c>
      <c r="G133" s="6">
        <f t="shared" ca="1" si="2"/>
        <v>0</v>
      </c>
      <c r="H133" s="6">
        <f t="array" ref="H133">MIN(IF(A134:A$173="",ROW(A134:A$173)))</f>
        <v>155</v>
      </c>
      <c r="I133" s="6" t="str">
        <f ca="1">IF(H133&lt;&gt;H132,COUNTA(C134:INDIRECT(ADDRESS(H133-1,3)))-COUNTBLANK(C134:INDIRECT(ADDRESS(H133-1,3))), "content")</f>
        <v>content</v>
      </c>
      <c r="J133" s="38"/>
    </row>
    <row r="134" spans="1:10" s="260" customFormat="1" ht="15" x14ac:dyDescent="0.25">
      <c r="A134" s="259">
        <f>SUBTOTAL(3,$B$132:B134)</f>
        <v>3</v>
      </c>
      <c r="B134" s="1" t="s">
        <v>368</v>
      </c>
      <c r="C134" s="259" t="str">
        <f>IF('Вводные 1'!D125 ="", "", 'Вводные 1'!D125)</f>
        <v/>
      </c>
      <c r="D134" s="1"/>
      <c r="F134" s="323">
        <f>IF('Вводные 1'!B125 ="", "", 'Вводные 1'!B125)</f>
        <v>912</v>
      </c>
      <c r="G134" s="6">
        <f t="shared" ca="1" si="2"/>
        <v>0</v>
      </c>
      <c r="H134" s="6">
        <f t="array" ref="H134">MIN(IF(A135:A$173="",ROW(A135:A$173)))</f>
        <v>155</v>
      </c>
      <c r="I134" s="6" t="str">
        <f ca="1">IF(H134&lt;&gt;H133,COUNTA(C135:INDIRECT(ADDRESS(H134-1,3)))-COUNTBLANK(C135:INDIRECT(ADDRESS(H134-1,3))), "content")</f>
        <v>content</v>
      </c>
      <c r="J134" s="38"/>
    </row>
    <row r="135" spans="1:10" s="260" customFormat="1" ht="38.25" x14ac:dyDescent="0.25">
      <c r="A135" s="259">
        <f>SUBTOTAL(3,$B$132:B135)</f>
        <v>4</v>
      </c>
      <c r="B135" s="1" t="s">
        <v>369</v>
      </c>
      <c r="C135" s="259" t="str">
        <f>IF('Вводные 1'!D126 ="", "", 'Вводные 1'!D126)</f>
        <v/>
      </c>
      <c r="D135" s="1"/>
      <c r="F135" s="323">
        <f>IF('Вводные 1'!B126 ="", "", 'Вводные 1'!B126)</f>
        <v>913</v>
      </c>
      <c r="G135" s="6">
        <f t="shared" ca="1" si="2"/>
        <v>0</v>
      </c>
      <c r="H135" s="6">
        <f t="array" ref="H135">MIN(IF(A136:A$173="",ROW(A136:A$173)))</f>
        <v>155</v>
      </c>
      <c r="I135" s="6" t="str">
        <f ca="1">IF(H135&lt;&gt;H134,COUNTA(C136:INDIRECT(ADDRESS(H135-1,3)))-COUNTBLANK(C136:INDIRECT(ADDRESS(H135-1,3))), "content")</f>
        <v>content</v>
      </c>
      <c r="J135" s="38"/>
    </row>
    <row r="136" spans="1:10" s="260" customFormat="1" ht="51" x14ac:dyDescent="0.25">
      <c r="A136" s="259">
        <f>SUBTOTAL(3,$B$132:B136)</f>
        <v>5</v>
      </c>
      <c r="B136" s="1" t="s">
        <v>370</v>
      </c>
      <c r="C136" s="259" t="str">
        <f>IF('Вводные 1'!D127 ="", "", 'Вводные 1'!D127)</f>
        <v/>
      </c>
      <c r="D136" s="1" t="s">
        <v>371</v>
      </c>
      <c r="F136" s="323">
        <f>IF('Вводные 1'!B127 ="", "", 'Вводные 1'!B127)</f>
        <v>914</v>
      </c>
      <c r="G136" s="6">
        <f t="shared" ca="1" si="2"/>
        <v>0</v>
      </c>
      <c r="H136" s="6">
        <f t="array" ref="H136">MIN(IF(A137:A$173="",ROW(A137:A$173)))</f>
        <v>155</v>
      </c>
      <c r="I136" s="6" t="str">
        <f ca="1">IF(H136&lt;&gt;H135,COUNTA(C137:INDIRECT(ADDRESS(H136-1,3)))-COUNTBLANK(C137:INDIRECT(ADDRESS(H136-1,3))), "content")</f>
        <v>content</v>
      </c>
      <c r="J136" s="38"/>
    </row>
    <row r="137" spans="1:10" s="260" customFormat="1" ht="51" x14ac:dyDescent="0.25">
      <c r="A137" s="259">
        <f>SUBTOTAL(3,$B$132:B137)</f>
        <v>6</v>
      </c>
      <c r="B137" s="1" t="s">
        <v>372</v>
      </c>
      <c r="C137" s="259" t="str">
        <f>IF('Вводные 1'!D128 ="", "", 'Вводные 1'!D128)</f>
        <v/>
      </c>
      <c r="D137" s="1" t="s">
        <v>371</v>
      </c>
      <c r="F137" s="323">
        <f>IF('Вводные 1'!B128 ="", "", 'Вводные 1'!B128)</f>
        <v>915</v>
      </c>
      <c r="G137" s="6">
        <f t="shared" ca="1" si="2"/>
        <v>0</v>
      </c>
      <c r="H137" s="6">
        <f t="array" ref="H137">MIN(IF(A138:A$173="",ROW(A138:A$173)))</f>
        <v>155</v>
      </c>
      <c r="I137" s="6" t="str">
        <f ca="1">IF(H137&lt;&gt;H136,COUNTA(C138:INDIRECT(ADDRESS(H137-1,3)))-COUNTBLANK(C138:INDIRECT(ADDRESS(H137-1,3))), "content")</f>
        <v>content</v>
      </c>
      <c r="J137" s="38"/>
    </row>
    <row r="138" spans="1:10" s="260" customFormat="1" ht="25.5" x14ac:dyDescent="0.25">
      <c r="A138" s="259">
        <f>SUBTOTAL(3,$B$132:B138)</f>
        <v>7</v>
      </c>
      <c r="B138" s="1" t="s">
        <v>373</v>
      </c>
      <c r="C138" s="259" t="str">
        <f>IF('Вводные 1'!D129 ="", "", 'Вводные 1'!D129)</f>
        <v/>
      </c>
      <c r="D138" s="1"/>
      <c r="F138" s="323">
        <f>IF('Вводные 1'!B129 ="", "", 'Вводные 1'!B129)</f>
        <v>920</v>
      </c>
      <c r="G138" s="6">
        <f t="shared" ca="1" si="2"/>
        <v>0</v>
      </c>
      <c r="H138" s="6">
        <f t="array" ref="H138">MIN(IF(A139:A$173="",ROW(A139:A$173)))</f>
        <v>155</v>
      </c>
      <c r="I138" s="6" t="str">
        <f ca="1">IF(H138&lt;&gt;H137,COUNTA(C139:INDIRECT(ADDRESS(H138-1,3)))-COUNTBLANK(C139:INDIRECT(ADDRESS(H138-1,3))), "content")</f>
        <v>content</v>
      </c>
      <c r="J138" s="38"/>
    </row>
    <row r="139" spans="1:10" s="260" customFormat="1" ht="51" x14ac:dyDescent="0.25">
      <c r="A139" s="259">
        <f>SUBTOTAL(3,$B$132:B139)</f>
        <v>8</v>
      </c>
      <c r="B139" s="1" t="s">
        <v>374</v>
      </c>
      <c r="C139" s="259" t="str">
        <f>IF('Вводные 1'!D130 ="", "", 'Вводные 1'!D130)</f>
        <v/>
      </c>
      <c r="D139" s="1" t="s">
        <v>371</v>
      </c>
      <c r="F139" s="323">
        <f>IF('Вводные 1'!B130 ="", "", 'Вводные 1'!B130)</f>
        <v>921</v>
      </c>
      <c r="G139" s="6">
        <f t="shared" ca="1" si="2"/>
        <v>0</v>
      </c>
      <c r="H139" s="6">
        <f t="array" ref="H139">MIN(IF(A140:A$173="",ROW(A140:A$173)))</f>
        <v>155</v>
      </c>
      <c r="I139" s="6" t="str">
        <f ca="1">IF(H139&lt;&gt;H138,COUNTA(C140:INDIRECT(ADDRESS(H139-1,3)))-COUNTBLANK(C140:INDIRECT(ADDRESS(H139-1,3))), "content")</f>
        <v>content</v>
      </c>
      <c r="J139" s="38"/>
    </row>
    <row r="140" spans="1:10" s="260" customFormat="1" ht="51" x14ac:dyDescent="0.25">
      <c r="A140" s="259">
        <f>SUBTOTAL(3,$B$132:B140)</f>
        <v>9</v>
      </c>
      <c r="B140" s="1" t="s">
        <v>375</v>
      </c>
      <c r="C140" s="259" t="str">
        <f>IF('Вводные 1'!D131 ="", "", 'Вводные 1'!D131)</f>
        <v/>
      </c>
      <c r="D140" s="1" t="s">
        <v>371</v>
      </c>
      <c r="F140" s="323">
        <f>IF('Вводные 1'!B131 ="", "", 'Вводные 1'!B131)</f>
        <v>922</v>
      </c>
      <c r="G140" s="6">
        <f t="shared" ca="1" si="2"/>
        <v>0</v>
      </c>
      <c r="H140" s="6">
        <f t="array" ref="H140">MIN(IF(A141:A$173="",ROW(A141:A$173)))</f>
        <v>155</v>
      </c>
      <c r="I140" s="6" t="str">
        <f ca="1">IF(H140&lt;&gt;H139,COUNTA(C141:INDIRECT(ADDRESS(H140-1,3)))-COUNTBLANK(C141:INDIRECT(ADDRESS(H140-1,3))), "content")</f>
        <v>content</v>
      </c>
      <c r="J140" s="38"/>
    </row>
    <row r="141" spans="1:10" s="260" customFormat="1" ht="51" x14ac:dyDescent="0.25">
      <c r="A141" s="259">
        <f>SUBTOTAL(3,$B$132:B141)</f>
        <v>10</v>
      </c>
      <c r="B141" s="1" t="s">
        <v>376</v>
      </c>
      <c r="C141" s="259" t="str">
        <f>IF('Вводные 1'!D132 ="", "", 'Вводные 1'!D132)</f>
        <v/>
      </c>
      <c r="D141" s="1"/>
      <c r="F141" s="323">
        <f>IF('Вводные 1'!B132 ="", "", 'Вводные 1'!B132)</f>
        <v>923</v>
      </c>
      <c r="G141" s="6">
        <f t="shared" ca="1" si="2"/>
        <v>0</v>
      </c>
      <c r="H141" s="6">
        <f t="array" ref="H141">MIN(IF(A142:A$173="",ROW(A142:A$173)))</f>
        <v>155</v>
      </c>
      <c r="I141" s="6" t="str">
        <f ca="1">IF(H141&lt;&gt;H140,COUNTA(C142:INDIRECT(ADDRESS(H141-1,3)))-COUNTBLANK(C142:INDIRECT(ADDRESS(H141-1,3))), "content")</f>
        <v>content</v>
      </c>
      <c r="J141" s="38"/>
    </row>
    <row r="142" spans="1:10" s="260" customFormat="1" ht="25.5" x14ac:dyDescent="0.25">
      <c r="A142" s="259">
        <f>SUBTOTAL(3,$B$132:B142)</f>
        <v>11</v>
      </c>
      <c r="B142" s="1" t="s">
        <v>377</v>
      </c>
      <c r="C142" s="259" t="str">
        <f>IF('Вводные 1'!D133 ="", "", 'Вводные 1'!D133)</f>
        <v/>
      </c>
      <c r="D142" s="1"/>
      <c r="F142" s="323">
        <f>IF('Вводные 1'!B133 ="", "", 'Вводные 1'!B133)</f>
        <v>924</v>
      </c>
      <c r="G142" s="6">
        <f t="shared" ca="1" si="2"/>
        <v>0</v>
      </c>
      <c r="H142" s="6">
        <f t="array" ref="H142">MIN(IF(A143:A$173="",ROW(A143:A$173)))</f>
        <v>155</v>
      </c>
      <c r="I142" s="6" t="str">
        <f ca="1">IF(H142&lt;&gt;H141,COUNTA(C143:INDIRECT(ADDRESS(H142-1,3)))-COUNTBLANK(C143:INDIRECT(ADDRESS(H142-1,3))), "content")</f>
        <v>content</v>
      </c>
      <c r="J142" s="38"/>
    </row>
    <row r="143" spans="1:10" s="260" customFormat="1" ht="25.5" x14ac:dyDescent="0.25">
      <c r="A143" s="259">
        <f>SUBTOTAL(3,$B$132:B143)</f>
        <v>12</v>
      </c>
      <c r="B143" s="1" t="s">
        <v>378</v>
      </c>
      <c r="C143" s="259" t="str">
        <f>IF('Вводные 1'!D134 ="", "", 'Вводные 1'!D134)</f>
        <v/>
      </c>
      <c r="D143" s="1"/>
      <c r="F143" s="323">
        <f>IF('Вводные 1'!B134 ="", "", 'Вводные 1'!B134)</f>
        <v>925</v>
      </c>
      <c r="G143" s="6">
        <f t="shared" ca="1" si="2"/>
        <v>0</v>
      </c>
      <c r="H143" s="6">
        <f t="array" ref="H143">MIN(IF(A144:A$173="",ROW(A144:A$173)))</f>
        <v>155</v>
      </c>
      <c r="I143" s="6" t="str">
        <f ca="1">IF(H143&lt;&gt;H142,COUNTA(C144:INDIRECT(ADDRESS(H143-1,3)))-COUNTBLANK(C144:INDIRECT(ADDRESS(H143-1,3))), "content")</f>
        <v>content</v>
      </c>
      <c r="J143" s="38"/>
    </row>
    <row r="144" spans="1:10" s="260" customFormat="1" ht="25.5" x14ac:dyDescent="0.25">
      <c r="A144" s="259">
        <f>SUBTOTAL(3,$B$132:B144)</f>
        <v>13</v>
      </c>
      <c r="B144" s="1" t="s">
        <v>379</v>
      </c>
      <c r="C144" s="259" t="str">
        <f>IF('Вводные 1'!D135 ="", "", 'Вводные 1'!D135)</f>
        <v/>
      </c>
      <c r="D144" s="1"/>
      <c r="F144" s="323">
        <f>IF('Вводные 1'!B135 ="", "", 'Вводные 1'!B135)</f>
        <v>930</v>
      </c>
      <c r="G144" s="6">
        <f t="shared" ca="1" si="2"/>
        <v>0</v>
      </c>
      <c r="H144" s="6">
        <f t="array" ref="H144">MIN(IF(A145:A$173="",ROW(A145:A$173)))</f>
        <v>155</v>
      </c>
      <c r="I144" s="6" t="str">
        <f ca="1">IF(H144&lt;&gt;H143,COUNTA(C145:INDIRECT(ADDRESS(H144-1,3)))-COUNTBLANK(C145:INDIRECT(ADDRESS(H144-1,3))), "content")</f>
        <v>content</v>
      </c>
      <c r="J144" s="38"/>
    </row>
    <row r="145" spans="1:10" s="260" customFormat="1" ht="63.75" x14ac:dyDescent="0.25">
      <c r="A145" s="259">
        <f>SUBTOTAL(3,$B$132:B145)</f>
        <v>14</v>
      </c>
      <c r="B145" s="1" t="s">
        <v>380</v>
      </c>
      <c r="C145" s="259" t="str">
        <f>IF('Вводные 1'!D136 ="", "", 'Вводные 1'!D136)</f>
        <v/>
      </c>
      <c r="D145" s="1" t="s">
        <v>381</v>
      </c>
      <c r="F145" s="323">
        <f>IF('Вводные 1'!B136 ="", "", 'Вводные 1'!B136)</f>
        <v>931</v>
      </c>
      <c r="G145" s="6">
        <f t="shared" ca="1" si="2"/>
        <v>0</v>
      </c>
      <c r="H145" s="6">
        <f t="array" ref="H145">MIN(IF(A146:A$173="",ROW(A146:A$173)))</f>
        <v>155</v>
      </c>
      <c r="I145" s="6" t="str">
        <f ca="1">IF(H145&lt;&gt;H144,COUNTA(C146:INDIRECT(ADDRESS(H145-1,3)))-COUNTBLANK(C146:INDIRECT(ADDRESS(H145-1,3))), "content")</f>
        <v>content</v>
      </c>
      <c r="J145" s="38"/>
    </row>
    <row r="146" spans="1:10" s="260" customFormat="1" ht="63.75" x14ac:dyDescent="0.25">
      <c r="A146" s="259">
        <f>SUBTOTAL(3,$B$132:B146)</f>
        <v>15</v>
      </c>
      <c r="B146" s="1" t="s">
        <v>382</v>
      </c>
      <c r="C146" s="259" t="str">
        <f>IF('Вводные 1'!D137 ="", "", 'Вводные 1'!D137)</f>
        <v/>
      </c>
      <c r="D146" s="1"/>
      <c r="F146" s="323">
        <f>IF('Вводные 1'!B137 ="", "", 'Вводные 1'!B137)</f>
        <v>932</v>
      </c>
      <c r="G146" s="6">
        <f t="shared" ca="1" si="2"/>
        <v>0</v>
      </c>
      <c r="H146" s="6">
        <f t="array" ref="H146">MIN(IF(A147:A$173="",ROW(A147:A$173)))</f>
        <v>155</v>
      </c>
      <c r="I146" s="6" t="str">
        <f ca="1">IF(H146&lt;&gt;H145,COUNTA(C147:INDIRECT(ADDRESS(H146-1,3)))-COUNTBLANK(C147:INDIRECT(ADDRESS(H146-1,3))), "content")</f>
        <v>content</v>
      </c>
      <c r="J146" s="38"/>
    </row>
    <row r="147" spans="1:10" s="260" customFormat="1" ht="63.75" x14ac:dyDescent="0.25">
      <c r="A147" s="259">
        <f>SUBTOTAL(3,$B$132:B147)</f>
        <v>16</v>
      </c>
      <c r="B147" s="1" t="s">
        <v>383</v>
      </c>
      <c r="C147" s="259" t="str">
        <f>IF('Вводные 1'!D138 ="", "", 'Вводные 1'!D138)</f>
        <v/>
      </c>
      <c r="D147" s="1" t="s">
        <v>381</v>
      </c>
      <c r="F147" s="323">
        <f>IF('Вводные 1'!B138 ="", "", 'Вводные 1'!B138)</f>
        <v>940</v>
      </c>
      <c r="G147" s="6">
        <f t="shared" ca="1" si="2"/>
        <v>0</v>
      </c>
      <c r="H147" s="6">
        <f t="array" ref="H147">MIN(IF(A148:A$173="",ROW(A148:A$173)))</f>
        <v>155</v>
      </c>
      <c r="I147" s="6" t="str">
        <f ca="1">IF(H147&lt;&gt;H146,COUNTA(C148:INDIRECT(ADDRESS(H147-1,3)))-COUNTBLANK(C148:INDIRECT(ADDRESS(H147-1,3))), "content")</f>
        <v>content</v>
      </c>
      <c r="J147" s="38"/>
    </row>
    <row r="148" spans="1:10" s="260" customFormat="1" ht="63.75" x14ac:dyDescent="0.25">
      <c r="A148" s="259">
        <f>SUBTOTAL(3,$B$132:B148)</f>
        <v>17</v>
      </c>
      <c r="B148" s="1" t="s">
        <v>384</v>
      </c>
      <c r="C148" s="259" t="str">
        <f>IF('Вводные 1'!D139 ="", "", 'Вводные 1'!D139)</f>
        <v/>
      </c>
      <c r="D148" s="1" t="s">
        <v>385</v>
      </c>
      <c r="F148" s="323">
        <f>IF('Вводные 1'!B139 ="", "", 'Вводные 1'!B139)</f>
        <v>941</v>
      </c>
      <c r="G148" s="6">
        <f t="shared" ca="1" si="2"/>
        <v>0</v>
      </c>
      <c r="H148" s="6">
        <f t="array" ref="H148">MIN(IF(A149:A$173="",ROW(A149:A$173)))</f>
        <v>155</v>
      </c>
      <c r="I148" s="6" t="str">
        <f ca="1">IF(H148&lt;&gt;H147,COUNTA(C149:INDIRECT(ADDRESS(H148-1,3)))-COUNTBLANK(C149:INDIRECT(ADDRESS(H148-1,3))), "content")</f>
        <v>content</v>
      </c>
      <c r="J148" s="38"/>
    </row>
    <row r="149" spans="1:10" s="260" customFormat="1" ht="63.75" x14ac:dyDescent="0.25">
      <c r="A149" s="259">
        <f>SUBTOTAL(3,$B$132:B149)</f>
        <v>18</v>
      </c>
      <c r="B149" s="1" t="s">
        <v>386</v>
      </c>
      <c r="C149" s="259" t="str">
        <f>IF('Вводные 1'!D140 ="", "", 'Вводные 1'!D140)</f>
        <v/>
      </c>
      <c r="D149" s="1" t="s">
        <v>385</v>
      </c>
      <c r="F149" s="323">
        <f>IF('Вводные 1'!B140 ="", "", 'Вводные 1'!B140)</f>
        <v>942</v>
      </c>
      <c r="G149" s="6">
        <f t="shared" ca="1" si="2"/>
        <v>0</v>
      </c>
      <c r="H149" s="6">
        <f t="array" ref="H149">MIN(IF(A150:A$173="",ROW(A150:A$173)))</f>
        <v>155</v>
      </c>
      <c r="I149" s="6" t="str">
        <f ca="1">IF(H149&lt;&gt;H148,COUNTA(C150:INDIRECT(ADDRESS(H149-1,3)))-COUNTBLANK(C150:INDIRECT(ADDRESS(H149-1,3))), "content")</f>
        <v>content</v>
      </c>
      <c r="J149" s="38"/>
    </row>
    <row r="150" spans="1:10" s="260" customFormat="1" ht="63.75" x14ac:dyDescent="0.25">
      <c r="A150" s="259">
        <f>SUBTOTAL(3,$B$132:B150)</f>
        <v>19</v>
      </c>
      <c r="B150" s="1" t="s">
        <v>387</v>
      </c>
      <c r="C150" s="259" t="str">
        <f>IF('Вводные 1'!D141 ="", "", 'Вводные 1'!D141)</f>
        <v/>
      </c>
      <c r="D150" s="1" t="s">
        <v>385</v>
      </c>
      <c r="F150" s="323">
        <f>IF('Вводные 1'!B141 ="", "", 'Вводные 1'!B141)</f>
        <v>943</v>
      </c>
      <c r="G150" s="6">
        <f t="shared" ca="1" si="2"/>
        <v>0</v>
      </c>
      <c r="H150" s="6">
        <f t="array" ref="H150">MIN(IF(A151:A$173="",ROW(A151:A$173)))</f>
        <v>155</v>
      </c>
      <c r="I150" s="6" t="str">
        <f ca="1">IF(H150&lt;&gt;H149,COUNTA(C151:INDIRECT(ADDRESS(H150-1,3)))-COUNTBLANK(C151:INDIRECT(ADDRESS(H150-1,3))), "content")</f>
        <v>content</v>
      </c>
      <c r="J150" s="38"/>
    </row>
    <row r="151" spans="1:10" s="260" customFormat="1" ht="63.75" x14ac:dyDescent="0.25">
      <c r="A151" s="259">
        <f>SUBTOTAL(3,$B$132:B151)</f>
        <v>20</v>
      </c>
      <c r="B151" s="1" t="s">
        <v>388</v>
      </c>
      <c r="C151" s="259" t="str">
        <f>IF('Вводные 1'!D142 ="", "", 'Вводные 1'!D142)</f>
        <v/>
      </c>
      <c r="D151" s="1" t="s">
        <v>385</v>
      </c>
      <c r="F151" s="323">
        <f>IF('Вводные 1'!B142 ="", "", 'Вводные 1'!B142)</f>
        <v>944</v>
      </c>
      <c r="G151" s="6">
        <f t="shared" ca="1" si="2"/>
        <v>0</v>
      </c>
      <c r="H151" s="6">
        <f t="array" ref="H151">MIN(IF(A152:A$173="",ROW(A152:A$173)))</f>
        <v>155</v>
      </c>
      <c r="I151" s="6" t="str">
        <f ca="1">IF(H151&lt;&gt;H150,COUNTA(C152:INDIRECT(ADDRESS(H151-1,3)))-COUNTBLANK(C152:INDIRECT(ADDRESS(H151-1,3))), "content")</f>
        <v>content</v>
      </c>
      <c r="J151" s="38"/>
    </row>
    <row r="152" spans="1:10" s="260" customFormat="1" ht="38.25" x14ac:dyDescent="0.25">
      <c r="A152" s="259">
        <f>SUBTOTAL(3,$B$132:B152)</f>
        <v>21</v>
      </c>
      <c r="B152" s="1" t="s">
        <v>389</v>
      </c>
      <c r="C152" s="259" t="str">
        <f>IF('Вводные 1'!D143 ="", "", 'Вводные 1'!D143)</f>
        <v/>
      </c>
      <c r="D152" s="1"/>
      <c r="F152" s="323">
        <f>IF('Вводные 1'!B143 ="", "", 'Вводные 1'!B143)</f>
        <v>950</v>
      </c>
      <c r="G152" s="6">
        <f t="shared" ca="1" si="2"/>
        <v>0</v>
      </c>
      <c r="H152" s="6">
        <f t="array" ref="H152">MIN(IF(A153:A$173="",ROW(A153:A$173)))</f>
        <v>155</v>
      </c>
      <c r="I152" s="6" t="str">
        <f ca="1">IF(H152&lt;&gt;H151,COUNTA(C153:INDIRECT(ADDRESS(H152-1,3)))-COUNTBLANK(C153:INDIRECT(ADDRESS(H152-1,3))), "content")</f>
        <v>content</v>
      </c>
      <c r="J152" s="38"/>
    </row>
    <row r="153" spans="1:10" s="260" customFormat="1" ht="38.25" x14ac:dyDescent="0.25">
      <c r="A153" s="259">
        <f>SUBTOTAL(3,$B$132:B153)</f>
        <v>22</v>
      </c>
      <c r="B153" s="1" t="s">
        <v>390</v>
      </c>
      <c r="C153" s="259" t="str">
        <f>IF('Вводные 1'!D144 ="", "", 'Вводные 1'!D144)</f>
        <v/>
      </c>
      <c r="D153" s="1"/>
      <c r="F153" s="323">
        <f>IF('Вводные 1'!B144 ="", "", 'Вводные 1'!B144)</f>
        <v>951</v>
      </c>
      <c r="G153" s="6">
        <f t="shared" ca="1" si="2"/>
        <v>0</v>
      </c>
      <c r="H153" s="6">
        <f t="array" ref="H153">MIN(IF(A154:A$173="",ROW(A154:A$173)))</f>
        <v>155</v>
      </c>
      <c r="I153" s="6" t="str">
        <f ca="1">IF(H153&lt;&gt;H152,COUNTA(C154:INDIRECT(ADDRESS(H153-1,3)))-COUNTBLANK(C154:INDIRECT(ADDRESS(H153-1,3))), "content")</f>
        <v>content</v>
      </c>
      <c r="J153" s="38"/>
    </row>
    <row r="154" spans="1:10" s="260" customFormat="1" ht="38.25" x14ac:dyDescent="0.25">
      <c r="A154" s="259">
        <f>SUBTOTAL(3,$B$132:B154)</f>
        <v>23</v>
      </c>
      <c r="B154" s="1" t="s">
        <v>391</v>
      </c>
      <c r="C154" s="259" t="str">
        <f>IF('Вводные 1'!D145 ="", "", 'Вводные 1'!D145)</f>
        <v/>
      </c>
      <c r="D154" s="1"/>
      <c r="F154" s="323">
        <f>IF('Вводные 1'!B145 ="", "", 'Вводные 1'!B145)</f>
        <v>952</v>
      </c>
      <c r="G154" s="6">
        <f t="shared" ca="1" si="2"/>
        <v>0</v>
      </c>
      <c r="H154" s="6">
        <f t="array" ref="H154">MIN(IF(A155:A$173="",ROW(A155:A$173)))</f>
        <v>155</v>
      </c>
      <c r="I154" s="6" t="str">
        <f ca="1">IF(H154&lt;&gt;H153,COUNTA(C155:INDIRECT(ADDRESS(H154-1,3)))-COUNTBLANK(C155:INDIRECT(ADDRESS(H154-1,3))), "content")</f>
        <v>content</v>
      </c>
      <c r="J154" s="38"/>
    </row>
    <row r="155" spans="1:10" ht="12.75" customHeight="1" x14ac:dyDescent="0.25">
      <c r="A155" s="259"/>
      <c r="B155" s="423" t="s">
        <v>392</v>
      </c>
      <c r="C155" s="423"/>
      <c r="D155" s="423"/>
      <c r="F155" s="324"/>
      <c r="G155" s="6">
        <f ca="1">IF(OR(B155="", I155=0), 0, 1)</f>
        <v>0</v>
      </c>
      <c r="H155" s="6">
        <f t="array" ref="H155">MIN(IF(A156:A$173="",ROW(A156:A$173)))</f>
        <v>167</v>
      </c>
      <c r="I155" s="6">
        <f ca="1">IF(H155&lt;&gt;H154,COUNTA(C156:INDIRECT(ADDRESS(H155-1,3)))-COUNTBLANK(C156:INDIRECT(ADDRESS(H155-1,3))), "content")</f>
        <v>0</v>
      </c>
    </row>
    <row r="156" spans="1:10" s="260" customFormat="1" ht="89.25" x14ac:dyDescent="0.25">
      <c r="A156" s="259">
        <f>SUBTOTAL(3,$B$156:B156)</f>
        <v>1</v>
      </c>
      <c r="B156" s="1" t="s">
        <v>393</v>
      </c>
      <c r="C156" s="259" t="str">
        <f>IF('Вводные 1'!D146 ="", "", 'Вводные 1'!D146)</f>
        <v/>
      </c>
      <c r="D156" s="1" t="s">
        <v>394</v>
      </c>
      <c r="F156" s="323">
        <f>IF('Вводные 1'!B146 ="", "", 'Вводные 1'!B146)</f>
        <v>1010</v>
      </c>
      <c r="G156" s="6">
        <f t="shared" ca="1" si="2"/>
        <v>0</v>
      </c>
      <c r="H156" s="6">
        <f t="array" ref="H156">MIN(IF(A157:A$173="",ROW(A157:A$173)))</f>
        <v>167</v>
      </c>
      <c r="I156" s="6" t="str">
        <f ca="1">IF(H156&lt;&gt;H155,COUNTA(C157:INDIRECT(ADDRESS(H156-1,3)))-COUNTBLANK(C157:INDIRECT(ADDRESS(H156-1,3))), "content")</f>
        <v>content</v>
      </c>
      <c r="J156" s="38"/>
    </row>
    <row r="157" spans="1:10" s="260" customFormat="1" ht="51" x14ac:dyDescent="0.25">
      <c r="A157" s="259">
        <f>SUBTOTAL(3,$B$156:B157)</f>
        <v>2</v>
      </c>
      <c r="B157" s="1" t="s">
        <v>395</v>
      </c>
      <c r="C157" s="259" t="str">
        <f>IF('Вводные 1'!D147 ="", "", 'Вводные 1'!D147)</f>
        <v/>
      </c>
      <c r="D157" s="1"/>
      <c r="F157" s="323">
        <f>IF('Вводные 1'!B147 ="", "", 'Вводные 1'!B147)</f>
        <v>1011</v>
      </c>
      <c r="G157" s="6">
        <f t="shared" ca="1" si="2"/>
        <v>0</v>
      </c>
      <c r="H157" s="6">
        <f t="array" ref="H157">MIN(IF(A158:A$173="",ROW(A158:A$173)))</f>
        <v>167</v>
      </c>
      <c r="I157" s="6" t="str">
        <f ca="1">IF(H157&lt;&gt;H156,COUNTA(C158:INDIRECT(ADDRESS(H157-1,3)))-COUNTBLANK(C158:INDIRECT(ADDRESS(H157-1,3))), "content")</f>
        <v>content</v>
      </c>
      <c r="J157" s="38"/>
    </row>
    <row r="158" spans="1:10" s="260" customFormat="1" ht="63.75" x14ac:dyDescent="0.25">
      <c r="A158" s="259">
        <f>SUBTOTAL(3,$B$156:B158)</f>
        <v>3</v>
      </c>
      <c r="B158" s="1" t="s">
        <v>396</v>
      </c>
      <c r="C158" s="259" t="str">
        <f>IF('Вводные 1'!D148 ="", "", 'Вводные 1'!D148)</f>
        <v/>
      </c>
      <c r="D158" s="1"/>
      <c r="F158" s="323">
        <f>IF('Вводные 1'!B148 ="", "", 'Вводные 1'!B148)</f>
        <v>1012</v>
      </c>
      <c r="G158" s="6">
        <f t="shared" ca="1" si="2"/>
        <v>0</v>
      </c>
      <c r="H158" s="6">
        <f t="array" ref="H158">MIN(IF(A159:A$173="",ROW(A159:A$173)))</f>
        <v>167</v>
      </c>
      <c r="I158" s="6" t="str">
        <f ca="1">IF(H158&lt;&gt;H157,COUNTA(C159:INDIRECT(ADDRESS(H158-1,3)))-COUNTBLANK(C159:INDIRECT(ADDRESS(H158-1,3))), "content")</f>
        <v>content</v>
      </c>
      <c r="J158" s="38"/>
    </row>
    <row r="159" spans="1:10" s="260" customFormat="1" ht="51" x14ac:dyDescent="0.25">
      <c r="A159" s="259">
        <f>SUBTOTAL(3,$B$156:B159)</f>
        <v>4</v>
      </c>
      <c r="B159" s="1" t="s">
        <v>397</v>
      </c>
      <c r="C159" s="259" t="str">
        <f>IF('Вводные 1'!D149 ="", "", 'Вводные 1'!D149)</f>
        <v/>
      </c>
      <c r="D159" s="1"/>
      <c r="F159" s="323">
        <f>IF('Вводные 1'!B149 ="", "", 'Вводные 1'!B149)</f>
        <v>1020</v>
      </c>
      <c r="G159" s="6">
        <f t="shared" ca="1" si="2"/>
        <v>0</v>
      </c>
      <c r="H159" s="6">
        <f t="array" ref="H159">MIN(IF(A160:A$173="",ROW(A160:A$173)))</f>
        <v>167</v>
      </c>
      <c r="I159" s="6" t="str">
        <f ca="1">IF(H159&lt;&gt;H158,COUNTA(C160:INDIRECT(ADDRESS(H159-1,3)))-COUNTBLANK(C160:INDIRECT(ADDRESS(H159-1,3))), "content")</f>
        <v>content</v>
      </c>
      <c r="J159" s="38"/>
    </row>
    <row r="160" spans="1:10" s="260" customFormat="1" ht="38.25" x14ac:dyDescent="0.25">
      <c r="A160" s="259">
        <f>SUBTOTAL(3,$B$156:B160)</f>
        <v>5</v>
      </c>
      <c r="B160" s="1" t="s">
        <v>398</v>
      </c>
      <c r="C160" s="259" t="str">
        <f>IF('Вводные 1'!D150 ="", "", 'Вводные 1'!D150)</f>
        <v/>
      </c>
      <c r="D160" s="1"/>
      <c r="F160" s="323">
        <f>IF('Вводные 1'!B150 ="", "", 'Вводные 1'!B150)</f>
        <v>1021</v>
      </c>
      <c r="G160" s="6">
        <f t="shared" ca="1" si="2"/>
        <v>0</v>
      </c>
      <c r="H160" s="6">
        <f t="array" ref="H160">MIN(IF(A161:A$173="",ROW(A161:A$173)))</f>
        <v>167</v>
      </c>
      <c r="I160" s="6" t="str">
        <f ca="1">IF(H160&lt;&gt;H159,COUNTA(C161:INDIRECT(ADDRESS(H160-1,3)))-COUNTBLANK(C161:INDIRECT(ADDRESS(H160-1,3))), "content")</f>
        <v>content</v>
      </c>
      <c r="J160" s="38"/>
    </row>
    <row r="161" spans="1:10" s="260" customFormat="1" ht="89.25" x14ac:dyDescent="0.25">
      <c r="A161" s="259">
        <f>SUBTOTAL(3,$B$156:B161)</f>
        <v>6</v>
      </c>
      <c r="B161" s="1" t="s">
        <v>399</v>
      </c>
      <c r="C161" s="259" t="str">
        <f>IF('Вводные 1'!D151 ="", "", 'Вводные 1'!D151)</f>
        <v/>
      </c>
      <c r="D161" s="1" t="s">
        <v>394</v>
      </c>
      <c r="F161" s="323">
        <f>IF('Вводные 1'!B151 ="", "", 'Вводные 1'!B151)</f>
        <v>1030</v>
      </c>
      <c r="G161" s="6">
        <f t="shared" ca="1" si="2"/>
        <v>0</v>
      </c>
      <c r="H161" s="6">
        <f t="array" ref="H161">MIN(IF(A162:A$173="",ROW(A162:A$173)))</f>
        <v>167</v>
      </c>
      <c r="I161" s="6" t="str">
        <f ca="1">IF(H161&lt;&gt;H160,COUNTA(C162:INDIRECT(ADDRESS(H161-1,3)))-COUNTBLANK(C162:INDIRECT(ADDRESS(H161-1,3))), "content")</f>
        <v>content</v>
      </c>
      <c r="J161" s="38"/>
    </row>
    <row r="162" spans="1:10" s="260" customFormat="1" ht="25.5" x14ac:dyDescent="0.25">
      <c r="A162" s="259">
        <f>SUBTOTAL(3,$B$156:B162)</f>
        <v>7</v>
      </c>
      <c r="B162" s="1" t="s">
        <v>400</v>
      </c>
      <c r="C162" s="259" t="str">
        <f>IF('Вводные 1'!D152 ="", "", 'Вводные 1'!D152)</f>
        <v/>
      </c>
      <c r="D162" s="1"/>
      <c r="F162" s="323">
        <f>IF('Вводные 1'!B152 ="", "", 'Вводные 1'!B152)</f>
        <v>1031</v>
      </c>
      <c r="G162" s="6">
        <f t="shared" ca="1" si="2"/>
        <v>0</v>
      </c>
      <c r="H162" s="6">
        <f t="array" ref="H162">MIN(IF(A163:A$173="",ROW(A163:A$173)))</f>
        <v>167</v>
      </c>
      <c r="I162" s="6" t="str">
        <f ca="1">IF(H162&lt;&gt;H161,COUNTA(C163:INDIRECT(ADDRESS(H162-1,3)))-COUNTBLANK(C163:INDIRECT(ADDRESS(H162-1,3))), "content")</f>
        <v>content</v>
      </c>
      <c r="J162" s="38"/>
    </row>
    <row r="163" spans="1:10" s="260" customFormat="1" ht="25.5" x14ac:dyDescent="0.25">
      <c r="A163" s="259">
        <f>SUBTOTAL(3,$B$156:B163)</f>
        <v>8</v>
      </c>
      <c r="B163" s="1" t="s">
        <v>401</v>
      </c>
      <c r="C163" s="259" t="str">
        <f>IF('Вводные 1'!D153 ="", "", 'Вводные 1'!D153)</f>
        <v/>
      </c>
      <c r="D163" s="1"/>
      <c r="F163" s="323">
        <f>IF('Вводные 1'!B153 ="", "", 'Вводные 1'!B153)</f>
        <v>1032</v>
      </c>
      <c r="G163" s="6">
        <f t="shared" ca="1" si="2"/>
        <v>0</v>
      </c>
      <c r="H163" s="6">
        <f t="array" ref="H163">MIN(IF(A164:A$173="",ROW(A164:A$173)))</f>
        <v>167</v>
      </c>
      <c r="I163" s="6" t="str">
        <f ca="1">IF(H163&lt;&gt;H162,COUNTA(C164:INDIRECT(ADDRESS(H163-1,3)))-COUNTBLANK(C164:INDIRECT(ADDRESS(H163-1,3))), "content")</f>
        <v>content</v>
      </c>
      <c r="J163" s="38"/>
    </row>
    <row r="164" spans="1:10" s="260" customFormat="1" ht="15" x14ac:dyDescent="0.25">
      <c r="A164" s="259">
        <f>SUBTOTAL(3,$B$156:B164)</f>
        <v>9</v>
      </c>
      <c r="B164" s="1" t="s">
        <v>402</v>
      </c>
      <c r="C164" s="259" t="str">
        <f>IF('Вводные 1'!D154 ="", "", 'Вводные 1'!D154)</f>
        <v/>
      </c>
      <c r="D164" s="1"/>
      <c r="F164" s="323">
        <f>IF('Вводные 1'!B154 ="", "", 'Вводные 1'!B154)</f>
        <v>1033</v>
      </c>
      <c r="G164" s="6">
        <f t="shared" ca="1" si="2"/>
        <v>0</v>
      </c>
      <c r="H164" s="6">
        <f t="array" ref="H164">MIN(IF(A165:A$173="",ROW(A165:A$173)))</f>
        <v>167</v>
      </c>
      <c r="I164" s="6" t="str">
        <f ca="1">IF(H164&lt;&gt;H163,COUNTA(C165:INDIRECT(ADDRESS(H164-1,3)))-COUNTBLANK(C165:INDIRECT(ADDRESS(H164-1,3))), "content")</f>
        <v>content</v>
      </c>
      <c r="J164" s="38"/>
    </row>
    <row r="165" spans="1:10" s="260" customFormat="1" ht="114.75" x14ac:dyDescent="0.25">
      <c r="A165" s="259">
        <f>SUBTOTAL(3,$B$156:B165)</f>
        <v>10</v>
      </c>
      <c r="B165" s="1" t="s">
        <v>403</v>
      </c>
      <c r="C165" s="259" t="str">
        <f>IF('Вводные 1'!D155 ="", "", 'Вводные 1'!D155)</f>
        <v/>
      </c>
      <c r="D165" s="1" t="s">
        <v>404</v>
      </c>
      <c r="F165" s="323">
        <f>IF('Вводные 1'!B155 ="", "", 'Вводные 1'!B155)</f>
        <v>1034</v>
      </c>
      <c r="G165" s="6">
        <f t="shared" ca="1" si="2"/>
        <v>0</v>
      </c>
      <c r="H165" s="6">
        <f t="array" ref="H165">MIN(IF(A166:A$173="",ROW(A166:A$173)))</f>
        <v>167</v>
      </c>
      <c r="I165" s="6" t="str">
        <f ca="1">IF(H165&lt;&gt;H164,COUNTA(C166:INDIRECT(ADDRESS(H165-1,3)))-COUNTBLANK(C166:INDIRECT(ADDRESS(H165-1,3))), "content")</f>
        <v>content</v>
      </c>
      <c r="J165" s="38"/>
    </row>
    <row r="166" spans="1:10" s="260" customFormat="1" ht="114.75" x14ac:dyDescent="0.25">
      <c r="A166" s="259">
        <f>SUBTOTAL(3,$B$156:B166)</f>
        <v>11</v>
      </c>
      <c r="B166" s="1" t="s">
        <v>405</v>
      </c>
      <c r="C166" s="259" t="str">
        <f>IF('Вводные 1'!D156 ="", "", 'Вводные 1'!D156)</f>
        <v/>
      </c>
      <c r="D166" s="1" t="s">
        <v>404</v>
      </c>
      <c r="F166" s="323">
        <f>IF('Вводные 1'!B156 ="", "", 'Вводные 1'!B156)</f>
        <v>1035</v>
      </c>
      <c r="G166" s="6">
        <f t="shared" ca="1" si="2"/>
        <v>0</v>
      </c>
      <c r="H166" s="6">
        <f t="array" ref="H166">MIN(IF(A167:A$173="",ROW(A167:A$173)))</f>
        <v>167</v>
      </c>
      <c r="I166" s="6" t="str">
        <f ca="1">IF(H166&lt;&gt;H165,COUNTA(C167:INDIRECT(ADDRESS(H166-1,3)))-COUNTBLANK(C167:INDIRECT(ADDRESS(H166-1,3))), "content")</f>
        <v>content</v>
      </c>
      <c r="J166" s="38"/>
    </row>
    <row r="167" spans="1:10" ht="12.75" customHeight="1" x14ac:dyDescent="0.25">
      <c r="A167" s="259"/>
      <c r="B167" s="423" t="s">
        <v>406</v>
      </c>
      <c r="C167" s="423"/>
      <c r="D167" s="423"/>
      <c r="F167" s="324"/>
      <c r="G167" s="6">
        <f ca="1">IF(OR(B167="", I167=0), 0, 1)</f>
        <v>0</v>
      </c>
      <c r="H167" s="6">
        <f t="array" ref="H167">MIN(IF(A168:A$173="",ROW(A168:A$173)))</f>
        <v>173</v>
      </c>
      <c r="I167" s="6">
        <f ca="1">IF(H167&lt;&gt;H166,COUNTA(C168:INDIRECT(ADDRESS(H167-1,3)))-COUNTBLANK(C168:INDIRECT(ADDRESS(H167-1,3))), "content")</f>
        <v>0</v>
      </c>
    </row>
    <row r="168" spans="1:10" s="260" customFormat="1" ht="38.25" x14ac:dyDescent="0.25">
      <c r="A168" s="259">
        <f>SUBTOTAL(3,$B$168:B168)</f>
        <v>1</v>
      </c>
      <c r="B168" s="1" t="s">
        <v>407</v>
      </c>
      <c r="C168" s="259" t="str">
        <f>IF('Вводные 1'!D157 ="", "", 'Вводные 1'!D157)</f>
        <v/>
      </c>
      <c r="D168" s="1" t="s">
        <v>408</v>
      </c>
      <c r="F168" s="323">
        <f>IF('Вводные 1'!B157 ="", "", 'Вводные 1'!B157)</f>
        <v>1110</v>
      </c>
      <c r="G168" s="6">
        <f t="shared" ca="1" si="2"/>
        <v>0</v>
      </c>
      <c r="H168" s="6">
        <f t="array" ref="H168">MIN(IF(A169:A$173="",ROW(A169:A$173)))</f>
        <v>173</v>
      </c>
      <c r="I168" s="6" t="str">
        <f ca="1">IF(H168&lt;&gt;H167,COUNTA(C169:INDIRECT(ADDRESS(H168-1,3)))-COUNTBLANK(C169:INDIRECT(ADDRESS(H168-1,3))), "content")</f>
        <v>content</v>
      </c>
      <c r="J168" s="38"/>
    </row>
    <row r="169" spans="1:10" s="260" customFormat="1" ht="76.5" x14ac:dyDescent="0.25">
      <c r="A169" s="259">
        <f>SUBTOTAL(3,$B$168:B169)</f>
        <v>2</v>
      </c>
      <c r="B169" s="1" t="s">
        <v>409</v>
      </c>
      <c r="C169" s="259" t="str">
        <f>IF('Вводные 1'!D158 ="", "", 'Вводные 1'!D158)</f>
        <v/>
      </c>
      <c r="D169" s="1" t="s">
        <v>408</v>
      </c>
      <c r="F169" s="323">
        <f>IF('Вводные 1'!B158 ="", "", 'Вводные 1'!B158)</f>
        <v>1111</v>
      </c>
      <c r="G169" s="6">
        <f t="shared" ca="1" si="2"/>
        <v>0</v>
      </c>
      <c r="H169" s="6">
        <f t="array" ref="H169">MIN(IF(A170:A$173="",ROW(A170:A$173)))</f>
        <v>173</v>
      </c>
      <c r="I169" s="6" t="str">
        <f ca="1">IF(H169&lt;&gt;H168,COUNTA(C170:INDIRECT(ADDRESS(H169-1,3)))-COUNTBLANK(C170:INDIRECT(ADDRESS(H169-1,3))), "content")</f>
        <v>content</v>
      </c>
      <c r="J169" s="38"/>
    </row>
    <row r="170" spans="1:10" s="260" customFormat="1" ht="38.25" x14ac:dyDescent="0.25">
      <c r="A170" s="259">
        <f>SUBTOTAL(3,$B$168:B170)</f>
        <v>3</v>
      </c>
      <c r="B170" s="1" t="s">
        <v>410</v>
      </c>
      <c r="C170" s="259" t="str">
        <f>IF('Вводные 1'!D159 ="", "", 'Вводные 1'!D159)</f>
        <v/>
      </c>
      <c r="D170" s="1"/>
      <c r="F170" s="323">
        <f>IF('Вводные 1'!B159 ="", "", 'Вводные 1'!B159)</f>
        <v>1112</v>
      </c>
      <c r="G170" s="6">
        <f t="shared" ca="1" si="2"/>
        <v>0</v>
      </c>
      <c r="H170" s="6">
        <f t="array" ref="H170">MIN(IF(A171:A$173="",ROW(A171:A$173)))</f>
        <v>173</v>
      </c>
      <c r="I170" s="6" t="str">
        <f ca="1">IF(H170&lt;&gt;H169,COUNTA(C171:INDIRECT(ADDRESS(H170-1,3)))-COUNTBLANK(C171:INDIRECT(ADDRESS(H170-1,3))), "content")</f>
        <v>content</v>
      </c>
      <c r="J170" s="38"/>
    </row>
    <row r="171" spans="1:10" s="260" customFormat="1" ht="38.25" x14ac:dyDescent="0.25">
      <c r="A171" s="259">
        <f>SUBTOTAL(3,$B$168:B171)</f>
        <v>4</v>
      </c>
      <c r="B171" s="1" t="s">
        <v>411</v>
      </c>
      <c r="C171" s="259" t="str">
        <f>IF('Вводные 1'!D160 ="", "", 'Вводные 1'!D160)</f>
        <v/>
      </c>
      <c r="D171" s="1"/>
      <c r="F171" s="323">
        <f>IF('Вводные 1'!B160 ="", "", 'Вводные 1'!B160)</f>
        <v>1113</v>
      </c>
      <c r="G171" s="6">
        <f t="shared" ca="1" si="2"/>
        <v>0</v>
      </c>
      <c r="H171" s="6">
        <f t="array" ref="H171">MIN(IF(A172:A$173="",ROW(A172:A$173)))</f>
        <v>173</v>
      </c>
      <c r="I171" s="6" t="str">
        <f ca="1">IF(H171&lt;&gt;H170,COUNTA(C172:INDIRECT(ADDRESS(H171-1,3)))-COUNTBLANK(C172:INDIRECT(ADDRESS(H171-1,3))), "content")</f>
        <v>content</v>
      </c>
      <c r="J171" s="38"/>
    </row>
    <row r="172" spans="1:10" ht="38.25" x14ac:dyDescent="0.25">
      <c r="A172" s="259">
        <f>SUBTOTAL(3,$B$168:B172)</f>
        <v>5</v>
      </c>
      <c r="B172" s="261" t="s">
        <v>412</v>
      </c>
      <c r="C172" s="259" t="str">
        <f>IF('Вводные 1'!D161 ="", "", 'Вводные 1'!D161)</f>
        <v/>
      </c>
      <c r="D172" s="261"/>
      <c r="F172" s="323">
        <f>IF('Вводные 1'!B161 ="", "", 'Вводные 1'!B161)</f>
        <v>1114</v>
      </c>
      <c r="G172" s="6">
        <f t="shared" ca="1" si="2"/>
        <v>0</v>
      </c>
      <c r="H172" s="6">
        <f t="array" ref="H172">MIN(IF(A173:A$173="",ROW(A173:A$173)))</f>
        <v>173</v>
      </c>
      <c r="I172" s="6" t="str">
        <f ca="1">IF(H172&lt;&gt;H171,COUNTA(C173:INDIRECT(ADDRESS(H172-1,3)))-COUNTBLANK(C173:INDIRECT(ADDRESS(H172-1,3))), "content")</f>
        <v>content</v>
      </c>
    </row>
  </sheetData>
  <autoFilter ref="G1:G172"/>
  <mergeCells count="11">
    <mergeCell ref="B101:D101"/>
    <mergeCell ref="B167:D167"/>
    <mergeCell ref="B155:D155"/>
    <mergeCell ref="B131:D131"/>
    <mergeCell ref="B119:D119"/>
    <mergeCell ref="B2:D2"/>
    <mergeCell ref="B32:D32"/>
    <mergeCell ref="B83:D83"/>
    <mergeCell ref="B74:D74"/>
    <mergeCell ref="B58:D58"/>
    <mergeCell ref="B43:D43"/>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Y371"/>
  <sheetViews>
    <sheetView zoomScale="85" zoomScaleNormal="85" workbookViewId="0">
      <pane ySplit="22" topLeftCell="A59" activePane="bottomLeft" state="frozen"/>
      <selection pane="bottomLeft" activeCell="Q88" sqref="Q88"/>
    </sheetView>
  </sheetViews>
  <sheetFormatPr defaultRowHeight="15" x14ac:dyDescent="0.25"/>
  <cols>
    <col min="1" max="1" width="4.85546875" style="175" customWidth="1"/>
    <col min="2" max="2" width="13.28515625" style="176" customWidth="1"/>
    <col min="3" max="3" width="16.140625" style="75" customWidth="1"/>
    <col min="4" max="4" width="7.5703125" style="75" customWidth="1"/>
    <col min="5" max="17" width="6.28515625" style="75" customWidth="1"/>
    <col min="18" max="29" width="6.140625" style="75" customWidth="1"/>
    <col min="30" max="30" width="2.85546875" customWidth="1"/>
    <col min="33" max="33" width="10.140625" style="75" customWidth="1"/>
    <col min="34" max="34" width="15.42578125" style="75" bestFit="1" customWidth="1"/>
    <col min="35" max="35" width="10.85546875" style="75" bestFit="1" customWidth="1"/>
    <col min="36" max="36" width="13.5703125" style="75" bestFit="1" customWidth="1"/>
    <col min="37" max="37" width="10.85546875" style="75" bestFit="1" customWidth="1"/>
    <col min="38" max="38" width="10.140625" style="78" bestFit="1" customWidth="1"/>
    <col min="39" max="39" width="11.85546875" style="86" customWidth="1"/>
    <col min="40" max="40" width="17.140625" style="78" customWidth="1"/>
    <col min="41" max="41" width="14.28515625" style="78" customWidth="1"/>
    <col min="42" max="42" width="8.42578125" style="75" customWidth="1"/>
    <col min="43" max="45" width="8.5703125" style="75" customWidth="1"/>
    <col min="46" max="47" width="11.42578125" style="77" customWidth="1"/>
    <col min="48" max="48" width="10.42578125" style="75" customWidth="1"/>
    <col min="49" max="16384" width="9.140625" style="75"/>
  </cols>
  <sheetData>
    <row r="1" spans="1:47" s="69" customFormat="1" x14ac:dyDescent="0.25">
      <c r="A1" s="171"/>
      <c r="B1" s="172" t="s">
        <v>174</v>
      </c>
      <c r="G1" s="272" t="s">
        <v>550</v>
      </c>
      <c r="H1" s="271" t="s">
        <v>545</v>
      </c>
      <c r="O1" s="263" t="s">
        <v>540</v>
      </c>
      <c r="P1" s="263"/>
      <c r="Q1" s="263"/>
      <c r="R1" s="263"/>
      <c r="S1" s="263"/>
      <c r="T1" s="263"/>
      <c r="U1" s="263"/>
      <c r="V1" s="263"/>
      <c r="W1" s="263"/>
      <c r="X1" s="263"/>
      <c r="Y1" s="263"/>
      <c r="Z1" s="263"/>
      <c r="AA1" s="263"/>
      <c r="AB1" s="263"/>
      <c r="AC1" s="263"/>
      <c r="AG1" s="113" t="s">
        <v>77</v>
      </c>
      <c r="AH1" s="113" t="s">
        <v>167</v>
      </c>
      <c r="AI1" s="113" t="s">
        <v>164</v>
      </c>
      <c r="AJ1" s="113" t="s">
        <v>166</v>
      </c>
      <c r="AK1" s="73" t="s">
        <v>106</v>
      </c>
      <c r="AL1" s="113" t="s">
        <v>162</v>
      </c>
      <c r="AM1" s="113" t="s">
        <v>629</v>
      </c>
      <c r="AN1" s="74"/>
      <c r="AO1" s="74"/>
      <c r="AT1" s="72"/>
      <c r="AU1" s="72"/>
    </row>
    <row r="2" spans="1:47" s="69" customFormat="1" x14ac:dyDescent="0.25">
      <c r="A2" s="173"/>
      <c r="B2" s="196" t="s">
        <v>171</v>
      </c>
      <c r="H2" s="271" t="s">
        <v>546</v>
      </c>
      <c r="O2" s="156" t="s">
        <v>190</v>
      </c>
      <c r="P2" s="266">
        <f>(COUNTIF(E25:J26,"&gt;0")+COUNTIF(E43:J44,"&gt;0")+COUNTIF(E61:J62,"&gt;0")+COUNTIF(E79:J80,"&gt;0")+COUNTIF(E97:J98,"&gt;0")+COUNTIF(E115:J116,"&gt;0")+COUNTIF(E133:J134,"&gt;0")+COUNTIF(E151:J152,"&gt;0")+COUNTIF(E169:J170,"&gt;0")+COUNTIF(E187:J188,"&gt;0")+COUNTIF(E205:J206,"&gt;0")+COUNTIF(E223:J224,"&gt;0")+COUNTIF(E241:J242,"&gt;0")+COUNTIF(E259:J260,"&gt;0"))/2</f>
        <v>4</v>
      </c>
      <c r="R2" s="156"/>
      <c r="S2" s="156"/>
      <c r="T2" s="156"/>
      <c r="U2" s="156"/>
      <c r="V2" s="156"/>
      <c r="W2" s="156"/>
      <c r="X2" s="156"/>
      <c r="Y2" s="156"/>
      <c r="Z2" s="156"/>
      <c r="AA2" s="156"/>
      <c r="AB2" s="156"/>
      <c r="AC2" s="156"/>
      <c r="AF2" s="71" t="s">
        <v>75</v>
      </c>
      <c r="AG2" s="114">
        <f>SUM(AG3:AG4)</f>
        <v>49.573894000000003</v>
      </c>
      <c r="AH2" s="114">
        <f t="shared" ref="AH2:AM2" si="0">SUM(AH3:AH4)</f>
        <v>23.704374999999999</v>
      </c>
      <c r="AI2" s="114">
        <f t="shared" si="0"/>
        <v>24.7408</v>
      </c>
      <c r="AJ2" s="114">
        <f t="shared" si="0"/>
        <v>24.7408</v>
      </c>
      <c r="AK2" s="114">
        <f t="shared" si="0"/>
        <v>19.902999999999999</v>
      </c>
      <c r="AL2" s="114">
        <f t="shared" si="0"/>
        <v>5.8840000000000003</v>
      </c>
      <c r="AM2" s="114">
        <f t="shared" si="0"/>
        <v>8.1219999999999999</v>
      </c>
      <c r="AN2" s="74"/>
      <c r="AO2" s="74"/>
      <c r="AT2" s="72"/>
      <c r="AU2" s="72"/>
    </row>
    <row r="3" spans="1:47" s="69" customFormat="1" x14ac:dyDescent="0.25">
      <c r="A3" s="305"/>
      <c r="B3" s="365" t="s">
        <v>645</v>
      </c>
      <c r="C3" s="75"/>
      <c r="G3" s="70"/>
      <c r="O3" s="156" t="s">
        <v>189</v>
      </c>
      <c r="P3" s="266">
        <f>(COUNTIF(E27:J29,"&gt;0")+COUNTIF(E45:J47,"&gt;0")+COUNTIF(E63:J65,"&gt;0")+COUNTIF(E81:J83,"&gt;0")+COUNTIF(E99:J101,"&gt;0")+COUNTIF(E117:J119,"&gt;0")+COUNTIF(E135:J137,"&gt;0")+COUNTIF(E153:J155,"&gt;0")+COUNTIF(E171:J173,"&gt;0")+COUNTIF(E189:J191,"&gt;0")+COUNTIF(E207:J209,"&gt;0")+COUNTIF(E225:J227,"&gt;0")+COUNTIF(E243:J245,"&gt;0")+COUNTIF(E261:J263,"&gt;0")-1)/2+1</f>
        <v>6</v>
      </c>
      <c r="R3" s="156"/>
      <c r="S3" s="156"/>
      <c r="T3" s="156"/>
      <c r="U3" s="156"/>
      <c r="V3" s="156"/>
      <c r="W3" s="156"/>
      <c r="X3" s="156"/>
      <c r="Y3" s="156"/>
      <c r="Z3" s="156"/>
      <c r="AA3" s="156"/>
      <c r="AB3" s="156"/>
      <c r="AC3" s="156"/>
      <c r="AF3" s="115" t="s">
        <v>147</v>
      </c>
      <c r="AG3" s="56">
        <f t="shared" ref="AG3:AM3" si="1">SUMIF($B24:$B42, "плитка",AG24:AG42)</f>
        <v>18.835473</v>
      </c>
      <c r="AH3" s="56">
        <f t="shared" si="1"/>
        <v>4.7852569999999996</v>
      </c>
      <c r="AI3" s="56">
        <f t="shared" si="1"/>
        <v>6.280087</v>
      </c>
      <c r="AJ3" s="56">
        <f t="shared" si="1"/>
        <v>6.280087</v>
      </c>
      <c r="AK3" s="56">
        <f t="shared" si="1"/>
        <v>7.0890000000000004</v>
      </c>
      <c r="AL3" s="56">
        <f t="shared" si="1"/>
        <v>0</v>
      </c>
      <c r="AM3" s="56">
        <f t="shared" si="1"/>
        <v>0</v>
      </c>
      <c r="AN3" s="74"/>
      <c r="AO3" s="74"/>
      <c r="AT3" s="72"/>
      <c r="AU3" s="72"/>
    </row>
    <row r="4" spans="1:47" s="69" customFormat="1" x14ac:dyDescent="0.25">
      <c r="A4" s="366"/>
      <c r="B4" s="365" t="s">
        <v>646</v>
      </c>
      <c r="G4" s="70"/>
      <c r="O4" s="156" t="s">
        <v>188</v>
      </c>
      <c r="P4" s="266">
        <f>COUNTIF(E30:J32,"&gt;0")+COUNTIF(E48:J50,"&gt;0")+COUNTIF(E66:J68,"&gt;0")+COUNTIF(E84:J86,"&gt;0")+COUNTIF(E102:J104,"&gt;0")+COUNTIF(E120:J122,"&gt;0")+COUNTIF(E138:J140,"&gt;0")+COUNTIF(E156:J158,"&gt;0")+COUNTIF(E174:J176,"&gt;0")+COUNTIF(E192:J194,"&gt;0")+COUNTIF(E210:J212,"&gt;0")+COUNTIF(E228:J230,"&gt;0")+COUNTIF(E246:J248,"&gt;0")+COUNTIF(E264:J266,"&gt;0")</f>
        <v>4</v>
      </c>
      <c r="R4" s="156"/>
      <c r="S4" s="156"/>
      <c r="T4" s="156"/>
      <c r="U4" s="156"/>
      <c r="V4" s="156"/>
      <c r="W4" s="156"/>
      <c r="X4" s="156"/>
      <c r="Y4" s="156"/>
      <c r="Z4" s="156"/>
      <c r="AA4" s="156"/>
      <c r="AB4" s="156"/>
      <c r="AC4" s="156"/>
      <c r="AF4" s="115" t="s">
        <v>178</v>
      </c>
      <c r="AG4" s="56">
        <f t="shared" ref="AG4:AM4" si="2">SUMIF($B24:$B42, "ламинат", AG24:AG42)</f>
        <v>30.738421000000002</v>
      </c>
      <c r="AH4" s="56">
        <f t="shared" si="2"/>
        <v>18.919117999999997</v>
      </c>
      <c r="AI4" s="56">
        <f t="shared" si="2"/>
        <v>18.460712999999998</v>
      </c>
      <c r="AJ4" s="56">
        <f t="shared" si="2"/>
        <v>18.460712999999998</v>
      </c>
      <c r="AK4" s="56">
        <f t="shared" si="2"/>
        <v>12.814</v>
      </c>
      <c r="AL4" s="56">
        <f t="shared" si="2"/>
        <v>5.8840000000000003</v>
      </c>
      <c r="AM4" s="56">
        <f t="shared" si="2"/>
        <v>8.1219999999999999</v>
      </c>
      <c r="AN4" s="74"/>
      <c r="AO4" s="74"/>
      <c r="AT4" s="72"/>
      <c r="AU4" s="72"/>
    </row>
    <row r="5" spans="1:47" x14ac:dyDescent="0.25">
      <c r="A5" s="174"/>
      <c r="B5" s="196" t="s">
        <v>172</v>
      </c>
      <c r="G5" s="76"/>
      <c r="O5" s="304" t="s">
        <v>582</v>
      </c>
      <c r="P5" s="267">
        <f>SUMIF(E23:AC23, "&gt;0")+SUMIF(E41:AC41, "&gt;0")+SUMIF(E59:AC59, "&gt;0")+SUMIF(E77:AC77, "&gt;0")+SUMIF(E95:AC95, "&gt;0")+SUMIF(E113:AC113, "&gt;0")+SUMIF(E131:AC131, "&gt;0")+SUMIF(E149:AC149, "&gt;0")+SUMIF(E167:AC167, "&gt;0")+SUMIF(E185:AC185, "&gt;0")+SUMIF(E203:AC203, "&gt;0")+SUMIF(E221:AC221, "&gt;0")+SUMIF(E239:AC239, "&gt;0")+SUMIF(E257:AC257, "&gt;0")</f>
        <v>22</v>
      </c>
      <c r="R5" s="160"/>
      <c r="S5" s="160"/>
      <c r="T5" s="160"/>
      <c r="U5" s="160"/>
      <c r="V5" s="160"/>
      <c r="W5" s="160"/>
      <c r="X5" s="160"/>
      <c r="Y5" s="160"/>
      <c r="Z5" s="160"/>
      <c r="AA5" s="160"/>
      <c r="AB5" s="160"/>
      <c r="AC5" s="160"/>
      <c r="AF5" s="115" t="s">
        <v>622</v>
      </c>
      <c r="AG5" s="55">
        <f t="shared" ref="AG5:AM5" si="3">AG60</f>
        <v>37.849229999999999</v>
      </c>
      <c r="AH5" s="55">
        <f t="shared" si="3"/>
        <v>21.121142000000003</v>
      </c>
      <c r="AI5" s="55">
        <f t="shared" si="3"/>
        <v>15.662433</v>
      </c>
      <c r="AJ5" s="55">
        <f t="shared" si="3"/>
        <v>15.662433</v>
      </c>
      <c r="AK5" s="55">
        <f t="shared" si="3"/>
        <v>15.648</v>
      </c>
      <c r="AL5" s="55">
        <f t="shared" si="3"/>
        <v>5.8840000000000003</v>
      </c>
      <c r="AM5" s="55">
        <f t="shared" si="3"/>
        <v>8.1219999999999999</v>
      </c>
    </row>
    <row r="6" spans="1:47" x14ac:dyDescent="0.25">
      <c r="B6" s="196" t="s">
        <v>173</v>
      </c>
      <c r="G6" s="76"/>
      <c r="O6" s="304" t="s">
        <v>583</v>
      </c>
      <c r="P6" s="267">
        <f>SUMIF(E23:AC23, "&lt;0")+SUMIF(E41:AC41, "&lt;0")+SUMIF(E59:AC59, "&lt;0")+SUMIF(E77:AC77, "&lt;0")+SUMIF(E95:AC95, "&lt;0")+SUMIF(E113:AC113, "&lt;0")+SUMIF(E131:AC131, "&lt;0")+SUMIF(E149:AC149, "&lt;0")+SUMIF(E167:AC167, "&lt;0")+SUMIF(E185:AC185, "&lt;0")+SUMIF(E203:AC203, "&lt;0")+SUMIF(E221:AC221, "&lt;0")+SUMIF(E239:AC239, "&lt;0")+SUMIF(E257:AC257, "&lt;0")</f>
        <v>-4</v>
      </c>
      <c r="R6" s="156"/>
      <c r="S6" s="156"/>
      <c r="T6" s="156"/>
      <c r="U6" s="156"/>
      <c r="V6" s="156"/>
      <c r="W6" s="156"/>
      <c r="X6" s="156"/>
      <c r="Y6" s="156"/>
      <c r="Z6" s="156"/>
      <c r="AA6" s="156"/>
      <c r="AB6" s="156"/>
      <c r="AC6" s="156"/>
      <c r="AF6" s="115" t="s">
        <v>623</v>
      </c>
      <c r="AG6" s="55">
        <f t="shared" ref="AG6:AM6" si="4">AG78</f>
        <v>34.223488000000003</v>
      </c>
      <c r="AH6" s="55">
        <f t="shared" si="4"/>
        <v>33.58892800000001</v>
      </c>
      <c r="AI6" s="55">
        <f t="shared" si="4"/>
        <v>14.108904000000001</v>
      </c>
      <c r="AJ6" s="55">
        <f t="shared" si="4"/>
        <v>14.108904000000001</v>
      </c>
      <c r="AK6" s="55">
        <f t="shared" si="4"/>
        <v>14.192</v>
      </c>
      <c r="AL6" s="55">
        <f t="shared" si="4"/>
        <v>4.383</v>
      </c>
      <c r="AM6" s="55">
        <f t="shared" si="4"/>
        <v>11.448</v>
      </c>
    </row>
    <row r="7" spans="1:47" x14ac:dyDescent="0.25">
      <c r="A7" s="268"/>
      <c r="B7" s="196" t="s">
        <v>541</v>
      </c>
      <c r="E7" s="76"/>
      <c r="R7" s="156"/>
      <c r="S7" s="156"/>
      <c r="T7" s="156"/>
      <c r="U7" s="156"/>
      <c r="V7" s="156"/>
      <c r="W7" s="156"/>
      <c r="X7" s="156"/>
      <c r="Y7" s="156"/>
      <c r="Z7" s="156"/>
      <c r="AA7" s="156"/>
      <c r="AB7" s="156"/>
      <c r="AC7" s="156"/>
      <c r="AF7" s="115" t="s">
        <v>624</v>
      </c>
      <c r="AG7" s="55">
        <f t="shared" ref="AG7:AM7" si="5">AG96</f>
        <v>0</v>
      </c>
      <c r="AH7" s="55">
        <f t="shared" si="5"/>
        <v>0</v>
      </c>
      <c r="AI7" s="55">
        <f t="shared" si="5"/>
        <v>0</v>
      </c>
      <c r="AJ7" s="55">
        <f t="shared" si="5"/>
        <v>0</v>
      </c>
      <c r="AK7" s="55">
        <f t="shared" si="5"/>
        <v>0</v>
      </c>
      <c r="AL7" s="55">
        <f t="shared" si="5"/>
        <v>0</v>
      </c>
      <c r="AM7" s="55">
        <f t="shared" si="5"/>
        <v>0</v>
      </c>
    </row>
    <row r="8" spans="1:47" x14ac:dyDescent="0.25">
      <c r="E8" s="76"/>
      <c r="K8" s="329"/>
      <c r="R8" s="156"/>
      <c r="S8" s="156"/>
      <c r="T8" s="156"/>
      <c r="U8" s="156"/>
      <c r="V8" s="156"/>
      <c r="W8" s="156"/>
      <c r="X8" s="156"/>
      <c r="Y8" s="156"/>
      <c r="Z8" s="156"/>
      <c r="AA8" s="156"/>
      <c r="AB8" s="156"/>
      <c r="AC8" s="156"/>
      <c r="AF8" s="115" t="s">
        <v>625</v>
      </c>
      <c r="AG8" s="55">
        <f t="shared" ref="AG8:AM8" si="6">AG114</f>
        <v>0</v>
      </c>
      <c r="AH8" s="55">
        <f t="shared" si="6"/>
        <v>0</v>
      </c>
      <c r="AI8" s="55">
        <f t="shared" si="6"/>
        <v>0</v>
      </c>
      <c r="AJ8" s="55">
        <f t="shared" si="6"/>
        <v>0</v>
      </c>
      <c r="AK8" s="55">
        <f t="shared" si="6"/>
        <v>0</v>
      </c>
      <c r="AL8" s="55">
        <f t="shared" si="6"/>
        <v>0</v>
      </c>
      <c r="AM8" s="55">
        <f t="shared" si="6"/>
        <v>0</v>
      </c>
    </row>
    <row r="9" spans="1:47" x14ac:dyDescent="0.25">
      <c r="E9" s="76"/>
      <c r="R9" s="156"/>
      <c r="S9" s="156"/>
      <c r="T9" s="156"/>
      <c r="U9" s="156"/>
      <c r="V9" s="156"/>
      <c r="W9" s="156"/>
      <c r="X9" s="156"/>
      <c r="Y9" s="156"/>
      <c r="Z9" s="156"/>
      <c r="AA9" s="156"/>
      <c r="AB9" s="156"/>
      <c r="AC9" s="156"/>
      <c r="AF9" s="115" t="s">
        <v>626</v>
      </c>
      <c r="AG9" s="55">
        <f t="shared" ref="AG9:AM9" si="7">AG132</f>
        <v>0</v>
      </c>
      <c r="AH9" s="55">
        <f t="shared" si="7"/>
        <v>0</v>
      </c>
      <c r="AI9" s="55">
        <f t="shared" si="7"/>
        <v>0</v>
      </c>
      <c r="AJ9" s="55">
        <f t="shared" si="7"/>
        <v>0</v>
      </c>
      <c r="AK9" s="55">
        <f t="shared" si="7"/>
        <v>0</v>
      </c>
      <c r="AL9" s="55">
        <f t="shared" si="7"/>
        <v>0</v>
      </c>
      <c r="AM9" s="55">
        <f t="shared" si="7"/>
        <v>0</v>
      </c>
    </row>
    <row r="10" spans="1:47" x14ac:dyDescent="0.25">
      <c r="B10" s="172"/>
      <c r="E10" s="76"/>
      <c r="AF10" s="115" t="s">
        <v>191</v>
      </c>
      <c r="AG10" s="55">
        <f>SUM(AG11:AG12)</f>
        <v>20.624783999999998</v>
      </c>
      <c r="AH10" s="55">
        <f t="shared" ref="AH10:AM10" si="8">SUM(AH11:AH12)</f>
        <v>0</v>
      </c>
      <c r="AI10" s="55">
        <f t="shared" si="8"/>
        <v>4.4453810000000002</v>
      </c>
      <c r="AJ10" s="55">
        <f t="shared" si="8"/>
        <v>4.4453810000000002</v>
      </c>
      <c r="AK10" s="55">
        <f t="shared" si="8"/>
        <v>7.6360000000000001</v>
      </c>
      <c r="AL10" s="55">
        <f t="shared" si="8"/>
        <v>0</v>
      </c>
      <c r="AM10" s="55">
        <f t="shared" si="8"/>
        <v>0</v>
      </c>
    </row>
    <row r="11" spans="1:47" x14ac:dyDescent="0.25">
      <c r="B11" s="172"/>
      <c r="D11" s="264"/>
      <c r="E11" s="76"/>
      <c r="AF11" s="115" t="s">
        <v>192</v>
      </c>
      <c r="AG11" s="79">
        <f t="shared" ref="AG11:AM11" si="9">SUMIF($B150:$B168, "плитка", AG150:AG168)</f>
        <v>20.624783999999998</v>
      </c>
      <c r="AH11" s="79">
        <f t="shared" si="9"/>
        <v>0</v>
      </c>
      <c r="AI11" s="79">
        <f t="shared" si="9"/>
        <v>4.4453810000000002</v>
      </c>
      <c r="AJ11" s="79">
        <f t="shared" si="9"/>
        <v>4.4453810000000002</v>
      </c>
      <c r="AK11" s="79">
        <f t="shared" si="9"/>
        <v>7.6360000000000001</v>
      </c>
      <c r="AL11" s="79">
        <f t="shared" si="9"/>
        <v>0</v>
      </c>
      <c r="AM11" s="79">
        <f t="shared" si="9"/>
        <v>0</v>
      </c>
    </row>
    <row r="12" spans="1:47" x14ac:dyDescent="0.25">
      <c r="B12" s="172"/>
      <c r="D12" s="264"/>
      <c r="E12" s="76"/>
      <c r="AF12" s="115" t="s">
        <v>193</v>
      </c>
      <c r="AG12" s="79">
        <f t="shared" ref="AG12:AM12" si="10">SUMIF($B150:$B168, "ламинат", AG150:AG168)</f>
        <v>0</v>
      </c>
      <c r="AH12" s="79">
        <f t="shared" si="10"/>
        <v>0</v>
      </c>
      <c r="AI12" s="79">
        <f t="shared" si="10"/>
        <v>0</v>
      </c>
      <c r="AJ12" s="79">
        <f t="shared" si="10"/>
        <v>0</v>
      </c>
      <c r="AK12" s="79">
        <f t="shared" si="10"/>
        <v>0</v>
      </c>
      <c r="AL12" s="79">
        <f t="shared" si="10"/>
        <v>0</v>
      </c>
      <c r="AM12" s="79">
        <f t="shared" si="10"/>
        <v>0</v>
      </c>
    </row>
    <row r="13" spans="1:47" x14ac:dyDescent="0.25">
      <c r="B13" s="172"/>
      <c r="D13" s="116"/>
      <c r="E13" s="76"/>
      <c r="AF13" s="115" t="s">
        <v>177</v>
      </c>
      <c r="AG13" s="55">
        <f>SUM(AG14:AG15)</f>
        <v>67.011837</v>
      </c>
      <c r="AH13" s="55">
        <f t="shared" ref="AH13:AM13" si="11">SUM(AH14:AH15)</f>
        <v>46.974021</v>
      </c>
      <c r="AI13" s="55">
        <f t="shared" si="11"/>
        <v>20.987943999999999</v>
      </c>
      <c r="AJ13" s="55">
        <f t="shared" si="11"/>
        <v>20.987943999999999</v>
      </c>
      <c r="AK13" s="55">
        <f t="shared" si="11"/>
        <v>23.964999999999996</v>
      </c>
      <c r="AL13" s="55">
        <f t="shared" si="11"/>
        <v>0</v>
      </c>
      <c r="AM13" s="55">
        <f t="shared" si="11"/>
        <v>0</v>
      </c>
    </row>
    <row r="14" spans="1:47" x14ac:dyDescent="0.25">
      <c r="E14" s="76"/>
      <c r="AF14" s="115" t="s">
        <v>111</v>
      </c>
      <c r="AG14" s="79">
        <f t="shared" ref="AG14:AM14" si="12">SUMIF($B186:$B222, "плитка", AG186:AG222)</f>
        <v>20.362299999999998</v>
      </c>
      <c r="AH14" s="79">
        <f t="shared" si="12"/>
        <v>10.783087999999999</v>
      </c>
      <c r="AI14" s="79">
        <f t="shared" si="12"/>
        <v>5.2089759999999998</v>
      </c>
      <c r="AJ14" s="79">
        <f t="shared" si="12"/>
        <v>5.2089759999999998</v>
      </c>
      <c r="AK14" s="79">
        <f t="shared" si="12"/>
        <v>7.4749999999999996</v>
      </c>
      <c r="AL14" s="79">
        <f t="shared" si="12"/>
        <v>0</v>
      </c>
      <c r="AM14" s="79">
        <f t="shared" si="12"/>
        <v>0</v>
      </c>
    </row>
    <row r="15" spans="1:47" x14ac:dyDescent="0.25">
      <c r="A15" s="177"/>
      <c r="B15" s="178"/>
      <c r="E15" s="76"/>
      <c r="AF15" s="115" t="s">
        <v>157</v>
      </c>
      <c r="AG15" s="79">
        <f t="shared" ref="AG15:AM15" si="13">SUMIF($B186:$B222, "ламинат", AG186:AG222)</f>
        <v>46.649537000000002</v>
      </c>
      <c r="AH15" s="79">
        <f t="shared" si="13"/>
        <v>36.190933000000001</v>
      </c>
      <c r="AI15" s="79">
        <f t="shared" si="13"/>
        <v>15.778967999999999</v>
      </c>
      <c r="AJ15" s="79">
        <f t="shared" si="13"/>
        <v>15.778967999999999</v>
      </c>
      <c r="AK15" s="79">
        <f t="shared" si="13"/>
        <v>16.489999999999998</v>
      </c>
      <c r="AL15" s="79">
        <f t="shared" si="13"/>
        <v>0</v>
      </c>
      <c r="AM15" s="79">
        <f t="shared" si="13"/>
        <v>0</v>
      </c>
    </row>
    <row r="16" spans="1:47" x14ac:dyDescent="0.25">
      <c r="A16" s="179"/>
      <c r="B16" s="180"/>
      <c r="E16" s="76"/>
      <c r="F16" s="77"/>
      <c r="G16" s="77"/>
      <c r="H16" s="77"/>
      <c r="I16" s="77"/>
      <c r="AF16" s="115" t="s">
        <v>124</v>
      </c>
      <c r="AG16" s="55">
        <f t="shared" ref="AG16:AM16" si="14">AG240</f>
        <v>18.2104</v>
      </c>
      <c r="AH16" s="55">
        <f t="shared" si="14"/>
        <v>0</v>
      </c>
      <c r="AI16" s="55">
        <f t="shared" si="14"/>
        <v>3.4443999999999999</v>
      </c>
      <c r="AJ16" s="55">
        <f t="shared" si="14"/>
        <v>3.4443999999999999</v>
      </c>
      <c r="AK16" s="55">
        <f t="shared" si="14"/>
        <v>6.72</v>
      </c>
      <c r="AL16" s="55">
        <f t="shared" si="14"/>
        <v>0</v>
      </c>
      <c r="AM16" s="55">
        <f t="shared" si="14"/>
        <v>0</v>
      </c>
    </row>
    <row r="17" spans="1:51" x14ac:dyDescent="0.25">
      <c r="A17" s="177"/>
      <c r="B17" s="178"/>
      <c r="E17" s="76"/>
      <c r="F17" s="77"/>
      <c r="G17" s="77"/>
      <c r="H17" s="77"/>
      <c r="I17" s="77"/>
      <c r="AF17" s="115" t="s">
        <v>16</v>
      </c>
      <c r="AG17" s="55">
        <f t="shared" ref="AG17:AM17" si="15">AG258</f>
        <v>19.716618</v>
      </c>
      <c r="AH17" s="55">
        <f t="shared" si="15"/>
        <v>19.716618</v>
      </c>
      <c r="AI17" s="55">
        <f t="shared" si="15"/>
        <v>4.0555199999999996</v>
      </c>
      <c r="AJ17" s="55">
        <f t="shared" si="15"/>
        <v>4.0555199999999996</v>
      </c>
      <c r="AK17" s="55">
        <f t="shared" si="15"/>
        <v>7.3140000000000001</v>
      </c>
      <c r="AL17" s="55">
        <f t="shared" si="15"/>
        <v>0</v>
      </c>
      <c r="AM17" s="55">
        <f t="shared" si="15"/>
        <v>0</v>
      </c>
    </row>
    <row r="18" spans="1:51" x14ac:dyDescent="0.25">
      <c r="A18" s="179"/>
      <c r="B18" s="180"/>
      <c r="C18" s="416" t="s">
        <v>179</v>
      </c>
      <c r="D18" s="377">
        <v>21</v>
      </c>
      <c r="E18" s="76"/>
      <c r="F18" s="77"/>
      <c r="G18" s="77"/>
      <c r="H18" s="77"/>
      <c r="I18" s="77"/>
      <c r="O18" s="80"/>
      <c r="P18" s="80"/>
      <c r="Q18" s="80"/>
      <c r="R18" s="80"/>
      <c r="S18" s="80"/>
      <c r="T18" s="80"/>
      <c r="U18" s="80"/>
      <c r="V18" s="80"/>
      <c r="W18" s="80"/>
      <c r="X18" s="80"/>
      <c r="Y18" s="80"/>
      <c r="Z18" s="80"/>
      <c r="AA18" s="80"/>
      <c r="AB18" s="80"/>
      <c r="AC18" s="80"/>
      <c r="AF18" s="75"/>
      <c r="AG18" s="81"/>
      <c r="AH18" s="82"/>
      <c r="AI18" s="83"/>
      <c r="AJ18" s="83"/>
      <c r="AK18" s="83"/>
      <c r="AL18" s="84"/>
    </row>
    <row r="19" spans="1:51" x14ac:dyDescent="0.25">
      <c r="A19" s="179"/>
      <c r="B19" s="180"/>
      <c r="C19" s="71" t="s">
        <v>180</v>
      </c>
      <c r="D19" s="155">
        <v>0</v>
      </c>
      <c r="E19" s="76"/>
      <c r="F19" s="77"/>
      <c r="G19" s="77"/>
      <c r="H19" s="77"/>
      <c r="I19" s="77"/>
      <c r="O19" s="80"/>
      <c r="P19" s="80"/>
      <c r="Q19" s="80"/>
      <c r="R19" s="80"/>
      <c r="S19" s="80"/>
      <c r="T19" s="80"/>
      <c r="U19" s="80"/>
      <c r="V19" s="80"/>
      <c r="W19" s="80"/>
      <c r="X19" s="80"/>
      <c r="Y19" s="80"/>
      <c r="Z19" s="80"/>
      <c r="AA19" s="80"/>
      <c r="AB19" s="80"/>
      <c r="AC19" s="80"/>
      <c r="AF19" s="80" t="s">
        <v>50</v>
      </c>
      <c r="AG19" s="85">
        <f>AG2+AG5+AG6+AG7+AG8+AG9+AG10+AG13+AG16+AG17</f>
        <v>247.210251</v>
      </c>
      <c r="AH19" s="85">
        <f t="shared" ref="AH19:AM19" si="16">AH2+AH5+AH6+AH7+AH8+AH9+AH10+AH13+AH16+AH17</f>
        <v>145.10508400000003</v>
      </c>
      <c r="AI19" s="85">
        <f t="shared" si="16"/>
        <v>87.445381999999995</v>
      </c>
      <c r="AJ19" s="85">
        <f t="shared" si="16"/>
        <v>87.445381999999995</v>
      </c>
      <c r="AK19" s="85">
        <f t="shared" si="16"/>
        <v>95.377999999999986</v>
      </c>
      <c r="AL19" s="85">
        <f t="shared" si="16"/>
        <v>16.151</v>
      </c>
      <c r="AM19" s="85">
        <f t="shared" si="16"/>
        <v>27.692</v>
      </c>
    </row>
    <row r="20" spans="1:51" ht="15.75" thickBot="1" x14ac:dyDescent="0.3">
      <c r="AG20" s="88"/>
      <c r="AH20" s="89"/>
      <c r="AI20" s="316">
        <f>Договор!B8</f>
        <v>0</v>
      </c>
      <c r="AJ20" s="90"/>
      <c r="AK20" s="90"/>
      <c r="AL20" s="91"/>
      <c r="AM20" s="94"/>
      <c r="AN20" s="92"/>
      <c r="AO20" s="92"/>
      <c r="AP20" s="87"/>
      <c r="AQ20" s="87"/>
      <c r="AR20" s="87"/>
      <c r="AS20" s="87"/>
      <c r="AT20" s="87"/>
      <c r="AU20" s="87"/>
      <c r="AV20" s="87"/>
      <c r="AW20" s="87"/>
      <c r="AX20" s="87"/>
      <c r="AY20" s="87"/>
    </row>
    <row r="21" spans="1:51" ht="15" customHeight="1" x14ac:dyDescent="0.25">
      <c r="A21" s="181" t="s">
        <v>44</v>
      </c>
      <c r="B21" s="182" t="s">
        <v>161</v>
      </c>
      <c r="C21" s="93"/>
      <c r="D21" s="430" t="s">
        <v>110</v>
      </c>
      <c r="E21" s="427" t="s">
        <v>76</v>
      </c>
      <c r="F21" s="428"/>
      <c r="G21" s="428"/>
      <c r="H21" s="428"/>
      <c r="I21" s="428"/>
      <c r="J21" s="429"/>
      <c r="K21" s="424" t="s">
        <v>146</v>
      </c>
      <c r="L21" s="425"/>
      <c r="M21" s="426"/>
      <c r="N21" s="424" t="s">
        <v>168</v>
      </c>
      <c r="O21" s="426"/>
      <c r="P21" s="424" t="s">
        <v>558</v>
      </c>
      <c r="Q21" s="425"/>
      <c r="R21" s="424" t="s">
        <v>573</v>
      </c>
      <c r="S21" s="425"/>
      <c r="T21" s="425"/>
      <c r="U21" s="425"/>
      <c r="V21" s="425"/>
      <c r="W21" s="425"/>
      <c r="X21" s="425"/>
      <c r="Y21" s="425"/>
      <c r="Z21" s="425"/>
      <c r="AA21" s="425"/>
      <c r="AB21" s="425"/>
      <c r="AC21" s="426"/>
      <c r="AG21" s="89"/>
      <c r="AH21" s="89"/>
      <c r="AI21" s="89"/>
      <c r="AJ21" s="89"/>
      <c r="AK21" s="89"/>
      <c r="AL21" s="94"/>
      <c r="AM21" s="94"/>
      <c r="AN21" s="94"/>
      <c r="AO21" s="94"/>
      <c r="AP21" s="89"/>
      <c r="AQ21" s="89"/>
      <c r="AR21" s="89"/>
      <c r="AS21" s="89"/>
      <c r="AT21" s="89"/>
      <c r="AU21" s="89"/>
      <c r="AV21" s="89"/>
      <c r="AW21" s="89"/>
      <c r="AX21" s="89"/>
      <c r="AY21" s="87"/>
    </row>
    <row r="22" spans="1:51" s="104" customFormat="1" ht="30.75" thickBot="1" x14ac:dyDescent="0.3">
      <c r="A22" s="183"/>
      <c r="B22" s="184"/>
      <c r="C22" s="95"/>
      <c r="D22" s="431"/>
      <c r="E22" s="96" t="s">
        <v>148</v>
      </c>
      <c r="F22" s="97" t="s">
        <v>149</v>
      </c>
      <c r="G22" s="97" t="s">
        <v>150</v>
      </c>
      <c r="H22" s="97" t="s">
        <v>151</v>
      </c>
      <c r="I22" s="97" t="s">
        <v>152</v>
      </c>
      <c r="J22" s="98" t="s">
        <v>153</v>
      </c>
      <c r="K22" s="99" t="s">
        <v>107</v>
      </c>
      <c r="L22" s="97" t="s">
        <v>108</v>
      </c>
      <c r="M22" s="100" t="s">
        <v>109</v>
      </c>
      <c r="N22" s="101" t="s">
        <v>169</v>
      </c>
      <c r="O22" s="100" t="s">
        <v>170</v>
      </c>
      <c r="P22" s="284" t="s">
        <v>559</v>
      </c>
      <c r="Q22" s="285" t="s">
        <v>560</v>
      </c>
      <c r="R22" s="349" t="s">
        <v>574</v>
      </c>
      <c r="S22" s="350" t="s">
        <v>575</v>
      </c>
      <c r="T22" s="351" t="s">
        <v>576</v>
      </c>
      <c r="U22" s="352" t="s">
        <v>577</v>
      </c>
      <c r="V22" s="351" t="s">
        <v>578</v>
      </c>
      <c r="W22" s="352" t="s">
        <v>579</v>
      </c>
      <c r="X22" s="417" t="s">
        <v>580</v>
      </c>
      <c r="Y22" s="418" t="s">
        <v>581</v>
      </c>
      <c r="Z22" s="417" t="s">
        <v>648</v>
      </c>
      <c r="AA22" s="418" t="s">
        <v>649</v>
      </c>
      <c r="AB22" s="419" t="s">
        <v>650</v>
      </c>
      <c r="AC22" s="420" t="s">
        <v>651</v>
      </c>
      <c r="AG22" s="79"/>
      <c r="AH22" s="79"/>
      <c r="AI22" s="79"/>
      <c r="AJ22" s="79"/>
      <c r="AK22" s="79"/>
      <c r="AL22" s="79"/>
      <c r="AM22" s="85"/>
      <c r="AN22" s="94"/>
      <c r="AO22" s="94"/>
      <c r="AP22" s="94"/>
      <c r="AQ22" s="94"/>
      <c r="AR22" s="94"/>
      <c r="AS22" s="94"/>
      <c r="AT22" s="94"/>
      <c r="AU22" s="94"/>
      <c r="AV22" s="94"/>
      <c r="AW22" s="103"/>
      <c r="AX22" s="103"/>
      <c r="AY22" s="102"/>
    </row>
    <row r="23" spans="1:51" s="104" customFormat="1" ht="15" customHeight="1" x14ac:dyDescent="0.25">
      <c r="A23" s="181">
        <v>1</v>
      </c>
      <c r="B23" s="185" t="s">
        <v>557</v>
      </c>
      <c r="C23" s="105" t="s">
        <v>165</v>
      </c>
      <c r="D23" s="162"/>
      <c r="E23" s="306"/>
      <c r="F23" s="307"/>
      <c r="G23" s="307"/>
      <c r="H23" s="307">
        <v>1</v>
      </c>
      <c r="I23" s="307"/>
      <c r="J23" s="308"/>
      <c r="K23" s="309"/>
      <c r="L23" s="307"/>
      <c r="M23" s="310"/>
      <c r="N23" s="106"/>
      <c r="O23" s="107"/>
      <c r="P23" s="106"/>
      <c r="Q23" s="278"/>
      <c r="R23" s="309"/>
      <c r="S23" s="308"/>
      <c r="T23" s="336"/>
      <c r="U23" s="337"/>
      <c r="V23" s="336"/>
      <c r="W23" s="337"/>
      <c r="X23" s="336"/>
      <c r="Y23" s="337"/>
      <c r="Z23" s="336"/>
      <c r="AA23" s="337"/>
      <c r="AB23" s="307"/>
      <c r="AC23" s="310"/>
      <c r="AG23" s="117" t="s">
        <v>77</v>
      </c>
      <c r="AH23" s="117" t="s">
        <v>167</v>
      </c>
      <c r="AI23" s="117" t="s">
        <v>164</v>
      </c>
      <c r="AJ23" s="117" t="s">
        <v>166</v>
      </c>
      <c r="AK23" s="94" t="s">
        <v>106</v>
      </c>
      <c r="AL23" s="117" t="s">
        <v>162</v>
      </c>
      <c r="AM23" s="117" t="s">
        <v>629</v>
      </c>
      <c r="AN23" s="94"/>
      <c r="AO23" s="94"/>
      <c r="AP23" s="94"/>
      <c r="AQ23" s="94"/>
      <c r="AR23" s="103"/>
      <c r="AS23" s="103"/>
      <c r="AT23" s="102"/>
    </row>
    <row r="24" spans="1:51" ht="15" customHeight="1" x14ac:dyDescent="0.25">
      <c r="A24" s="186"/>
      <c r="B24" s="367" t="s">
        <v>545</v>
      </c>
      <c r="C24" s="118" t="s">
        <v>627</v>
      </c>
      <c r="D24" s="119">
        <v>2657</v>
      </c>
      <c r="E24" s="120"/>
      <c r="F24" s="121"/>
      <c r="G24" s="120">
        <v>3487</v>
      </c>
      <c r="H24" s="121">
        <v>1801</v>
      </c>
      <c r="I24" s="122">
        <f>G24-E24</f>
        <v>3487</v>
      </c>
      <c r="J24" s="123">
        <f>H24-F24</f>
        <v>1801</v>
      </c>
      <c r="K24" s="124"/>
      <c r="L24" s="122">
        <f>K24</f>
        <v>0</v>
      </c>
      <c r="M24" s="125">
        <f>IF(L24&gt;0, 100, 0)</f>
        <v>0</v>
      </c>
      <c r="N24" s="126"/>
      <c r="O24" s="127"/>
      <c r="P24" s="126"/>
      <c r="Q24" s="279"/>
      <c r="R24" s="126"/>
      <c r="S24" s="332"/>
      <c r="T24" s="338"/>
      <c r="U24" s="339"/>
      <c r="V24" s="338"/>
      <c r="W24" s="339"/>
      <c r="X24" s="338"/>
      <c r="Y24" s="339"/>
      <c r="Z24" s="338"/>
      <c r="AA24" s="339"/>
      <c r="AB24" s="300"/>
      <c r="AC24" s="127"/>
      <c r="AG24" s="108">
        <f>SUM(E33:L33)</f>
        <v>18.835473</v>
      </c>
      <c r="AH24" s="108">
        <f>SUM(E34:AC34)</f>
        <v>4.7852569999999996</v>
      </c>
      <c r="AI24" s="286">
        <f>((E24*F24+H24*I24)-K24*M24-(R24*S24+T24*U24+V24*W24+X24*Y24+Z24*AA24+AB24*AC24)-P24*Q24)/1000000</f>
        <v>6.280087</v>
      </c>
      <c r="AJ24" s="117">
        <f>((E24*F24+H24*I24)-K24*M24-(R24*S24+T24*U24+V24*W24+X24*Y24+Z24*AA24+AB24*AC24)+N24*O24)/1000000</f>
        <v>6.280087</v>
      </c>
      <c r="AK24" s="108">
        <f>(SUM(E24:M24)-SUM(E25:M29))/1000</f>
        <v>7.0890000000000004</v>
      </c>
      <c r="AL24" s="108">
        <f>SUM(E35:J37)</f>
        <v>0</v>
      </c>
      <c r="AM24" s="159">
        <f>SUM(E38:J40)</f>
        <v>0</v>
      </c>
      <c r="AN24" s="117"/>
      <c r="AO24" s="117"/>
      <c r="AP24" s="128"/>
      <c r="AQ24" s="117"/>
      <c r="AR24" s="89"/>
      <c r="AS24" s="89"/>
      <c r="AT24" s="87"/>
      <c r="AU24" s="75"/>
    </row>
    <row r="25" spans="1:51" s="77" customFormat="1" ht="15" customHeight="1" x14ac:dyDescent="0.25">
      <c r="A25" s="186"/>
      <c r="B25" s="187"/>
      <c r="C25" s="131" t="s">
        <v>158</v>
      </c>
      <c r="D25" s="119">
        <f>D24</f>
        <v>2657</v>
      </c>
      <c r="E25" s="120"/>
      <c r="F25" s="121"/>
      <c r="G25" s="121">
        <f>IF(AND(G24&lt;&gt;"", E24=""), G24, 0)</f>
        <v>3487</v>
      </c>
      <c r="H25" s="121"/>
      <c r="I25" s="121"/>
      <c r="J25" s="132"/>
      <c r="K25" s="133"/>
      <c r="L25" s="129"/>
      <c r="M25" s="134"/>
      <c r="N25" s="135"/>
      <c r="O25" s="134"/>
      <c r="P25" s="135"/>
      <c r="Q25" s="280"/>
      <c r="R25" s="135"/>
      <c r="S25" s="333"/>
      <c r="T25" s="340"/>
      <c r="U25" s="341"/>
      <c r="V25" s="340"/>
      <c r="W25" s="341"/>
      <c r="X25" s="340"/>
      <c r="Y25" s="341"/>
      <c r="Z25" s="340"/>
      <c r="AA25" s="341"/>
      <c r="AB25" s="301"/>
      <c r="AC25" s="134"/>
      <c r="AG25" s="130"/>
      <c r="AH25" s="130"/>
      <c r="AI25" s="130"/>
      <c r="AK25" s="130"/>
      <c r="AL25" s="130"/>
      <c r="AM25" s="130"/>
      <c r="AN25" s="89"/>
      <c r="AO25" s="89"/>
      <c r="AP25" s="87"/>
    </row>
    <row r="26" spans="1:51" s="77" customFormat="1" ht="15" customHeight="1" x14ac:dyDescent="0.25">
      <c r="A26" s="186"/>
      <c r="B26" s="187"/>
      <c r="C26" s="131" t="s">
        <v>158</v>
      </c>
      <c r="D26" s="119">
        <v>2069</v>
      </c>
      <c r="E26" s="120"/>
      <c r="F26" s="121"/>
      <c r="G26" s="121"/>
      <c r="H26" s="121"/>
      <c r="I26" s="121"/>
      <c r="J26" s="132"/>
      <c r="K26" s="133"/>
      <c r="L26" s="129"/>
      <c r="M26" s="134"/>
      <c r="N26" s="135"/>
      <c r="O26" s="134"/>
      <c r="P26" s="135"/>
      <c r="Q26" s="280"/>
      <c r="R26" s="135"/>
      <c r="S26" s="333"/>
      <c r="T26" s="340"/>
      <c r="U26" s="341"/>
      <c r="V26" s="340"/>
      <c r="W26" s="341"/>
      <c r="X26" s="340"/>
      <c r="Y26" s="341"/>
      <c r="Z26" s="340"/>
      <c r="AA26" s="341"/>
      <c r="AB26" s="301"/>
      <c r="AC26" s="134"/>
      <c r="AG26" s="130"/>
      <c r="AH26" s="130"/>
      <c r="AI26" s="130"/>
      <c r="AK26" s="130"/>
      <c r="AL26" s="130"/>
      <c r="AM26" s="130"/>
      <c r="AN26" s="89"/>
      <c r="AO26" s="89"/>
      <c r="AP26" s="87"/>
    </row>
    <row r="27" spans="1:51" s="77" customFormat="1" ht="15" customHeight="1" x14ac:dyDescent="0.25">
      <c r="A27" s="186"/>
      <c r="B27" s="187"/>
      <c r="C27" s="131" t="s">
        <v>159</v>
      </c>
      <c r="D27" s="136">
        <v>2100</v>
      </c>
      <c r="E27" s="120"/>
      <c r="F27" s="121"/>
      <c r="G27" s="121">
        <f>IF(AND(G24 &lt;&gt;"", E24="", G25=""), 900, 0)</f>
        <v>0</v>
      </c>
      <c r="H27" s="121"/>
      <c r="I27" s="121"/>
      <c r="J27" s="132"/>
      <c r="K27" s="133"/>
      <c r="L27" s="129"/>
      <c r="M27" s="134"/>
      <c r="N27" s="135"/>
      <c r="O27" s="134"/>
      <c r="P27" s="135"/>
      <c r="Q27" s="280"/>
      <c r="R27" s="135"/>
      <c r="S27" s="333"/>
      <c r="T27" s="340"/>
      <c r="U27" s="341"/>
      <c r="V27" s="340"/>
      <c r="W27" s="341"/>
      <c r="X27" s="340"/>
      <c r="Y27" s="341"/>
      <c r="Z27" s="340"/>
      <c r="AA27" s="341"/>
      <c r="AB27" s="301"/>
      <c r="AC27" s="134"/>
      <c r="AG27" s="117"/>
      <c r="AH27" s="117"/>
      <c r="AI27" s="117"/>
      <c r="AJ27" s="117"/>
      <c r="AK27" s="117"/>
      <c r="AL27" s="117"/>
      <c r="AM27" s="117"/>
      <c r="AN27" s="117"/>
      <c r="AO27" s="117"/>
      <c r="AP27" s="128"/>
      <c r="AQ27" s="117"/>
      <c r="AR27" s="89"/>
      <c r="AS27" s="89"/>
      <c r="AT27" s="87"/>
    </row>
    <row r="28" spans="1:51" s="77" customFormat="1" ht="15" hidden="1" customHeight="1" x14ac:dyDescent="0.25">
      <c r="A28" s="186"/>
      <c r="B28" s="187"/>
      <c r="C28" s="131" t="s">
        <v>159</v>
      </c>
      <c r="D28" s="136">
        <v>2100</v>
      </c>
      <c r="E28" s="120"/>
      <c r="F28" s="121"/>
      <c r="G28" s="121"/>
      <c r="H28" s="121"/>
      <c r="I28" s="121"/>
      <c r="J28" s="132"/>
      <c r="K28" s="133"/>
      <c r="L28" s="129"/>
      <c r="M28" s="134"/>
      <c r="N28" s="135"/>
      <c r="O28" s="134"/>
      <c r="P28" s="135"/>
      <c r="Q28" s="280"/>
      <c r="R28" s="135"/>
      <c r="S28" s="333"/>
      <c r="T28" s="340"/>
      <c r="U28" s="341"/>
      <c r="V28" s="340"/>
      <c r="W28" s="341"/>
      <c r="X28" s="340"/>
      <c r="Y28" s="341"/>
      <c r="Z28" s="340"/>
      <c r="AA28" s="341"/>
      <c r="AB28" s="301"/>
      <c r="AC28" s="134"/>
      <c r="AG28" s="117"/>
      <c r="AH28" s="117"/>
      <c r="AI28" s="117"/>
      <c r="AJ28" s="117"/>
      <c r="AK28" s="117"/>
      <c r="AL28" s="117"/>
      <c r="AM28" s="117"/>
      <c r="AN28" s="117"/>
      <c r="AO28" s="117"/>
      <c r="AP28" s="128"/>
      <c r="AQ28" s="117"/>
      <c r="AR28" s="89"/>
      <c r="AS28" s="89"/>
      <c r="AT28" s="87"/>
    </row>
    <row r="29" spans="1:51" s="77" customFormat="1" ht="15" hidden="1" customHeight="1" x14ac:dyDescent="0.25">
      <c r="A29" s="186"/>
      <c r="B29" s="187"/>
      <c r="C29" s="131" t="s">
        <v>159</v>
      </c>
      <c r="D29" s="136">
        <f>D27</f>
        <v>2100</v>
      </c>
      <c r="E29" s="120"/>
      <c r="F29" s="121"/>
      <c r="G29" s="121"/>
      <c r="H29" s="121"/>
      <c r="I29" s="121"/>
      <c r="J29" s="132"/>
      <c r="K29" s="133"/>
      <c r="L29" s="129"/>
      <c r="M29" s="134"/>
      <c r="N29" s="135"/>
      <c r="O29" s="134"/>
      <c r="P29" s="135"/>
      <c r="Q29" s="280"/>
      <c r="R29" s="135"/>
      <c r="S29" s="333"/>
      <c r="T29" s="340"/>
      <c r="U29" s="341"/>
      <c r="V29" s="340"/>
      <c r="W29" s="341"/>
      <c r="X29" s="340"/>
      <c r="Y29" s="341"/>
      <c r="Z29" s="340"/>
      <c r="AA29" s="341"/>
      <c r="AB29" s="301"/>
      <c r="AC29" s="134"/>
      <c r="AG29" s="117"/>
      <c r="AH29" s="117"/>
      <c r="AI29" s="117"/>
      <c r="AJ29" s="117"/>
      <c r="AK29" s="117"/>
      <c r="AL29" s="117"/>
      <c r="AM29" s="117"/>
      <c r="AN29" s="117"/>
      <c r="AO29" s="117"/>
      <c r="AP29" s="128"/>
      <c r="AQ29" s="117"/>
      <c r="AR29" s="89"/>
      <c r="AS29" s="89"/>
      <c r="AT29" s="87"/>
    </row>
    <row r="30" spans="1:51" s="77" customFormat="1" ht="15" customHeight="1" x14ac:dyDescent="0.25">
      <c r="A30" s="186"/>
      <c r="B30" s="187"/>
      <c r="C30" s="131" t="s">
        <v>175</v>
      </c>
      <c r="D30" s="119">
        <v>1823</v>
      </c>
      <c r="E30" s="120"/>
      <c r="F30" s="121"/>
      <c r="G30" s="121"/>
      <c r="H30" s="121"/>
      <c r="I30" s="121"/>
      <c r="J30" s="132"/>
      <c r="K30" s="133"/>
      <c r="L30" s="129"/>
      <c r="M30" s="134"/>
      <c r="N30" s="135"/>
      <c r="O30" s="134"/>
      <c r="P30" s="135"/>
      <c r="Q30" s="280"/>
      <c r="R30" s="135"/>
      <c r="S30" s="333"/>
      <c r="T30" s="340"/>
      <c r="U30" s="341"/>
      <c r="V30" s="340"/>
      <c r="W30" s="341"/>
      <c r="X30" s="340"/>
      <c r="Y30" s="341"/>
      <c r="Z30" s="340"/>
      <c r="AA30" s="341"/>
      <c r="AB30" s="301"/>
      <c r="AC30" s="134"/>
      <c r="AG30" s="117"/>
      <c r="AH30" s="117"/>
      <c r="AI30" s="130"/>
      <c r="AJ30" s="130"/>
      <c r="AK30" s="117"/>
      <c r="AL30" s="117"/>
      <c r="AM30" s="117"/>
      <c r="AN30" s="117"/>
      <c r="AO30" s="117"/>
      <c r="AP30" s="128"/>
      <c r="AQ30" s="117"/>
      <c r="AR30" s="89"/>
      <c r="AS30" s="89"/>
      <c r="AT30" s="87"/>
    </row>
    <row r="31" spans="1:51" s="77" customFormat="1" ht="15" customHeight="1" x14ac:dyDescent="0.25">
      <c r="A31" s="186"/>
      <c r="B31" s="187"/>
      <c r="C31" s="131" t="s">
        <v>175</v>
      </c>
      <c r="D31" s="136">
        <f>D30</f>
        <v>1823</v>
      </c>
      <c r="E31" s="120"/>
      <c r="F31" s="121"/>
      <c r="G31" s="121"/>
      <c r="H31" s="121"/>
      <c r="I31" s="121"/>
      <c r="J31" s="132"/>
      <c r="K31" s="133"/>
      <c r="L31" s="129"/>
      <c r="M31" s="134"/>
      <c r="N31" s="135"/>
      <c r="O31" s="134"/>
      <c r="P31" s="135"/>
      <c r="Q31" s="280"/>
      <c r="R31" s="135"/>
      <c r="S31" s="333"/>
      <c r="T31" s="340"/>
      <c r="U31" s="341"/>
      <c r="V31" s="340"/>
      <c r="W31" s="341"/>
      <c r="X31" s="340"/>
      <c r="Y31" s="341"/>
      <c r="Z31" s="340"/>
      <c r="AA31" s="341"/>
      <c r="AB31" s="301"/>
      <c r="AC31" s="134"/>
      <c r="AG31" s="117"/>
      <c r="AH31" s="117"/>
      <c r="AI31" s="130"/>
      <c r="AJ31" s="130"/>
      <c r="AK31" s="117"/>
      <c r="AL31" s="117"/>
      <c r="AM31" s="117"/>
      <c r="AN31" s="117"/>
      <c r="AO31" s="117"/>
      <c r="AP31" s="128"/>
      <c r="AQ31" s="117"/>
      <c r="AR31" s="89"/>
      <c r="AS31" s="89"/>
      <c r="AT31" s="87"/>
    </row>
    <row r="32" spans="1:51" s="77" customFormat="1" ht="15" customHeight="1" thickBot="1" x14ac:dyDescent="0.3">
      <c r="A32" s="186"/>
      <c r="B32" s="187"/>
      <c r="C32" s="131" t="s">
        <v>175</v>
      </c>
      <c r="D32" s="136">
        <f>D30</f>
        <v>1823</v>
      </c>
      <c r="E32" s="120"/>
      <c r="F32" s="121"/>
      <c r="G32" s="121"/>
      <c r="H32" s="121"/>
      <c r="I32" s="121"/>
      <c r="J32" s="132"/>
      <c r="K32" s="133"/>
      <c r="L32" s="129"/>
      <c r="M32" s="134"/>
      <c r="N32" s="135"/>
      <c r="O32" s="134"/>
      <c r="P32" s="135"/>
      <c r="Q32" s="280"/>
      <c r="R32" s="135"/>
      <c r="S32" s="333"/>
      <c r="T32" s="340"/>
      <c r="U32" s="341"/>
      <c r="V32" s="340"/>
      <c r="W32" s="341"/>
      <c r="X32" s="340"/>
      <c r="Y32" s="341"/>
      <c r="Z32" s="340"/>
      <c r="AA32" s="341"/>
      <c r="AB32" s="301"/>
      <c r="AC32" s="134"/>
      <c r="AG32" s="117"/>
      <c r="AH32" s="117"/>
      <c r="AI32" s="130"/>
      <c r="AJ32" s="130"/>
      <c r="AK32" s="117"/>
      <c r="AL32" s="117"/>
      <c r="AM32" s="117"/>
      <c r="AN32" s="117"/>
      <c r="AO32" s="117"/>
      <c r="AP32" s="128"/>
      <c r="AQ32" s="117"/>
      <c r="AR32" s="89"/>
      <c r="AS32" s="89"/>
      <c r="AT32" s="87"/>
    </row>
    <row r="33" spans="1:47" s="77" customFormat="1" ht="15" hidden="1" customHeight="1" x14ac:dyDescent="0.25">
      <c r="A33" s="190"/>
      <c r="B33" s="191"/>
      <c r="C33" s="163" t="s">
        <v>160</v>
      </c>
      <c r="D33" s="164"/>
      <c r="E33" s="165">
        <f t="shared" ref="E33:M33" si="17">(E24*$D24-E25*$D25-E26*$D26-E27*$D27-E28*$D28-E29*$D29-E30*$D30-E31*$D31-E32*$D32)/1000000</f>
        <v>0</v>
      </c>
      <c r="F33" s="165">
        <f t="shared" si="17"/>
        <v>0</v>
      </c>
      <c r="G33" s="165">
        <f t="shared" si="17"/>
        <v>0</v>
      </c>
      <c r="H33" s="165">
        <f t="shared" si="17"/>
        <v>4.7852569999999996</v>
      </c>
      <c r="I33" s="165">
        <f t="shared" si="17"/>
        <v>9.2649589999999993</v>
      </c>
      <c r="J33" s="166">
        <f t="shared" si="17"/>
        <v>4.7852569999999996</v>
      </c>
      <c r="K33" s="167">
        <f t="shared" si="17"/>
        <v>0</v>
      </c>
      <c r="L33" s="165">
        <f t="shared" si="17"/>
        <v>0</v>
      </c>
      <c r="M33" s="165">
        <f t="shared" si="17"/>
        <v>0</v>
      </c>
      <c r="N33" s="169"/>
      <c r="O33" s="170"/>
      <c r="P33" s="169"/>
      <c r="Q33" s="281"/>
      <c r="R33" s="327">
        <f t="shared" ref="R33:AC33" si="18">(R24*$D24)/1000000</f>
        <v>0</v>
      </c>
      <c r="S33" s="143">
        <f t="shared" si="18"/>
        <v>0</v>
      </c>
      <c r="T33" s="342">
        <f t="shared" si="18"/>
        <v>0</v>
      </c>
      <c r="U33" s="343">
        <f t="shared" si="18"/>
        <v>0</v>
      </c>
      <c r="V33" s="342">
        <f t="shared" si="18"/>
        <v>0</v>
      </c>
      <c r="W33" s="343">
        <f t="shared" si="18"/>
        <v>0</v>
      </c>
      <c r="X33" s="342">
        <f t="shared" ref="X33:AA33" si="19">(X24*$D24)/1000000</f>
        <v>0</v>
      </c>
      <c r="Y33" s="343">
        <f t="shared" si="19"/>
        <v>0</v>
      </c>
      <c r="Z33" s="342">
        <f t="shared" si="19"/>
        <v>0</v>
      </c>
      <c r="AA33" s="343">
        <f t="shared" si="19"/>
        <v>0</v>
      </c>
      <c r="AB33" s="142">
        <f t="shared" si="18"/>
        <v>0</v>
      </c>
      <c r="AC33" s="168">
        <f t="shared" si="18"/>
        <v>0</v>
      </c>
      <c r="AG33" s="117"/>
      <c r="AH33" s="117"/>
      <c r="AI33" s="130"/>
      <c r="AJ33" s="130"/>
      <c r="AK33" s="117"/>
      <c r="AL33" s="117"/>
      <c r="AM33" s="117"/>
      <c r="AN33" s="117"/>
      <c r="AO33" s="117"/>
      <c r="AP33" s="128"/>
      <c r="AQ33" s="117"/>
      <c r="AR33" s="89"/>
      <c r="AS33" s="89"/>
      <c r="AT33" s="87"/>
    </row>
    <row r="34" spans="1:47" s="77" customFormat="1" ht="15" hidden="1" customHeight="1" x14ac:dyDescent="0.25">
      <c r="A34" s="186"/>
      <c r="B34" s="187"/>
      <c r="C34" s="109" t="s">
        <v>163</v>
      </c>
      <c r="D34" s="136"/>
      <c r="E34" s="137">
        <f t="shared" ref="E34:M34" si="20">E33*E23</f>
        <v>0</v>
      </c>
      <c r="F34" s="137">
        <f t="shared" si="20"/>
        <v>0</v>
      </c>
      <c r="G34" s="137">
        <f t="shared" si="20"/>
        <v>0</v>
      </c>
      <c r="H34" s="137">
        <f t="shared" si="20"/>
        <v>4.7852569999999996</v>
      </c>
      <c r="I34" s="137">
        <f t="shared" si="20"/>
        <v>0</v>
      </c>
      <c r="J34" s="138">
        <f t="shared" si="20"/>
        <v>0</v>
      </c>
      <c r="K34" s="139">
        <f t="shared" si="20"/>
        <v>0</v>
      </c>
      <c r="L34" s="137">
        <f t="shared" si="20"/>
        <v>0</v>
      </c>
      <c r="M34" s="140">
        <f t="shared" si="20"/>
        <v>0</v>
      </c>
      <c r="N34" s="141"/>
      <c r="O34" s="125"/>
      <c r="P34" s="141"/>
      <c r="Q34" s="282"/>
      <c r="R34" s="139">
        <f t="shared" ref="R34:AC34" si="21">R33*R23</f>
        <v>0</v>
      </c>
      <c r="S34" s="138">
        <f t="shared" si="21"/>
        <v>0</v>
      </c>
      <c r="T34" s="342">
        <f t="shared" si="21"/>
        <v>0</v>
      </c>
      <c r="U34" s="344">
        <f t="shared" si="21"/>
        <v>0</v>
      </c>
      <c r="V34" s="342">
        <f t="shared" si="21"/>
        <v>0</v>
      </c>
      <c r="W34" s="344">
        <f t="shared" si="21"/>
        <v>0</v>
      </c>
      <c r="X34" s="342">
        <f t="shared" ref="X34:AA34" si="22">X33*X23</f>
        <v>0</v>
      </c>
      <c r="Y34" s="344">
        <f t="shared" si="22"/>
        <v>0</v>
      </c>
      <c r="Z34" s="342">
        <f t="shared" si="22"/>
        <v>0</v>
      </c>
      <c r="AA34" s="344">
        <f t="shared" si="22"/>
        <v>0</v>
      </c>
      <c r="AB34" s="137">
        <f t="shared" si="21"/>
        <v>0</v>
      </c>
      <c r="AC34" s="140">
        <f t="shared" si="21"/>
        <v>0</v>
      </c>
      <c r="AG34" s="117"/>
      <c r="AH34" s="117"/>
      <c r="AI34" s="130"/>
      <c r="AJ34" s="130"/>
      <c r="AK34" s="117"/>
      <c r="AL34" s="117"/>
      <c r="AM34" s="117"/>
      <c r="AN34" s="117"/>
      <c r="AO34" s="117"/>
      <c r="AP34" s="128"/>
      <c r="AQ34" s="117"/>
      <c r="AR34" s="89"/>
      <c r="AS34" s="89"/>
      <c r="AT34" s="87"/>
    </row>
    <row r="35" spans="1:47" s="77" customFormat="1" ht="15" hidden="1" customHeight="1" x14ac:dyDescent="0.25">
      <c r="A35" s="186"/>
      <c r="B35" s="187"/>
      <c r="C35" s="109" t="s">
        <v>176</v>
      </c>
      <c r="D35" s="136"/>
      <c r="E35" s="137">
        <f t="shared" ref="E35:J37" si="23">IF(E30&gt;0, (E30+$D30*2)/1000, 0)</f>
        <v>0</v>
      </c>
      <c r="F35" s="142">
        <f t="shared" si="23"/>
        <v>0</v>
      </c>
      <c r="G35" s="142">
        <f t="shared" si="23"/>
        <v>0</v>
      </c>
      <c r="H35" s="142">
        <f t="shared" si="23"/>
        <v>0</v>
      </c>
      <c r="I35" s="142">
        <f t="shared" si="23"/>
        <v>0</v>
      </c>
      <c r="J35" s="143">
        <f t="shared" si="23"/>
        <v>0</v>
      </c>
      <c r="K35" s="139"/>
      <c r="L35" s="142"/>
      <c r="M35" s="144"/>
      <c r="N35" s="141"/>
      <c r="O35" s="125"/>
      <c r="P35" s="141"/>
      <c r="Q35" s="282"/>
      <c r="R35" s="141"/>
      <c r="S35" s="334"/>
      <c r="T35" s="345"/>
      <c r="U35" s="346"/>
      <c r="V35" s="345"/>
      <c r="W35" s="346"/>
      <c r="X35" s="345"/>
      <c r="Y35" s="346"/>
      <c r="Z35" s="345"/>
      <c r="AA35" s="346"/>
      <c r="AB35" s="302"/>
      <c r="AC35" s="125"/>
      <c r="AG35" s="117"/>
      <c r="AH35" s="117"/>
      <c r="AI35" s="130"/>
      <c r="AJ35" s="130"/>
      <c r="AK35" s="117"/>
      <c r="AL35" s="117"/>
      <c r="AM35" s="117"/>
      <c r="AN35" s="117"/>
      <c r="AO35" s="117"/>
      <c r="AP35" s="128"/>
      <c r="AQ35" s="117"/>
      <c r="AR35" s="89"/>
      <c r="AS35" s="89"/>
      <c r="AT35" s="87"/>
    </row>
    <row r="36" spans="1:47" s="77" customFormat="1" ht="15" hidden="1" customHeight="1" x14ac:dyDescent="0.25">
      <c r="A36" s="192"/>
      <c r="B36" s="193"/>
      <c r="C36" s="109" t="s">
        <v>176</v>
      </c>
      <c r="D36" s="136"/>
      <c r="E36" s="137">
        <f t="shared" si="23"/>
        <v>0</v>
      </c>
      <c r="F36" s="142">
        <f t="shared" si="23"/>
        <v>0</v>
      </c>
      <c r="G36" s="142">
        <f t="shared" si="23"/>
        <v>0</v>
      </c>
      <c r="H36" s="142">
        <f t="shared" si="23"/>
        <v>0</v>
      </c>
      <c r="I36" s="142">
        <f t="shared" si="23"/>
        <v>0</v>
      </c>
      <c r="J36" s="143">
        <f t="shared" si="23"/>
        <v>0</v>
      </c>
      <c r="K36" s="139"/>
      <c r="L36" s="142"/>
      <c r="M36" s="144"/>
      <c r="N36" s="141"/>
      <c r="O36" s="125"/>
      <c r="P36" s="141"/>
      <c r="Q36" s="282"/>
      <c r="R36" s="141"/>
      <c r="S36" s="334"/>
      <c r="T36" s="345"/>
      <c r="U36" s="346"/>
      <c r="V36" s="345"/>
      <c r="W36" s="346"/>
      <c r="X36" s="345"/>
      <c r="Y36" s="346"/>
      <c r="Z36" s="345"/>
      <c r="AA36" s="346"/>
      <c r="AB36" s="302"/>
      <c r="AC36" s="125"/>
      <c r="AG36" s="117"/>
      <c r="AH36" s="117"/>
      <c r="AI36" s="130"/>
      <c r="AJ36" s="130"/>
      <c r="AK36" s="117"/>
      <c r="AL36" s="117"/>
      <c r="AM36" s="117"/>
      <c r="AN36" s="117"/>
      <c r="AO36" s="117"/>
      <c r="AP36" s="128"/>
      <c r="AQ36" s="117"/>
      <c r="AR36" s="89"/>
      <c r="AS36" s="89"/>
      <c r="AT36" s="87"/>
    </row>
    <row r="37" spans="1:47" s="77" customFormat="1" ht="15" hidden="1" customHeight="1" x14ac:dyDescent="0.25">
      <c r="A37" s="192"/>
      <c r="B37" s="193"/>
      <c r="C37" s="109" t="s">
        <v>176</v>
      </c>
      <c r="D37" s="136"/>
      <c r="E37" s="137">
        <f t="shared" si="23"/>
        <v>0</v>
      </c>
      <c r="F37" s="142">
        <f t="shared" si="23"/>
        <v>0</v>
      </c>
      <c r="G37" s="142">
        <f t="shared" si="23"/>
        <v>0</v>
      </c>
      <c r="H37" s="142">
        <f t="shared" si="23"/>
        <v>0</v>
      </c>
      <c r="I37" s="142">
        <f t="shared" si="23"/>
        <v>0</v>
      </c>
      <c r="J37" s="143">
        <f t="shared" si="23"/>
        <v>0</v>
      </c>
      <c r="K37" s="139"/>
      <c r="L37" s="142"/>
      <c r="M37" s="144"/>
      <c r="N37" s="141"/>
      <c r="O37" s="125"/>
      <c r="P37" s="141"/>
      <c r="Q37" s="282"/>
      <c r="R37" s="141"/>
      <c r="S37" s="334"/>
      <c r="T37" s="345"/>
      <c r="U37" s="346"/>
      <c r="V37" s="345"/>
      <c r="W37" s="346"/>
      <c r="X37" s="345"/>
      <c r="Y37" s="346"/>
      <c r="Z37" s="345"/>
      <c r="AA37" s="346"/>
      <c r="AB37" s="302"/>
      <c r="AC37" s="125"/>
      <c r="AG37" s="117"/>
      <c r="AH37" s="117"/>
      <c r="AI37" s="130"/>
      <c r="AJ37" s="130"/>
      <c r="AK37" s="117"/>
      <c r="AL37" s="117"/>
      <c r="AM37" s="117"/>
      <c r="AN37" s="117"/>
      <c r="AO37" s="117"/>
      <c r="AP37" s="128"/>
      <c r="AQ37" s="117"/>
      <c r="AR37" s="89"/>
      <c r="AS37" s="89"/>
      <c r="AT37" s="87"/>
    </row>
    <row r="38" spans="1:47" s="77" customFormat="1" ht="15" hidden="1" customHeight="1" x14ac:dyDescent="0.25">
      <c r="A38" s="194"/>
      <c r="B38" s="195"/>
      <c r="C38" s="109" t="s">
        <v>628</v>
      </c>
      <c r="D38" s="136"/>
      <c r="E38" s="137">
        <f t="shared" ref="E38:J40" si="24">IF(E30&gt;0, (E30+$D30)*2/1000, 0)</f>
        <v>0</v>
      </c>
      <c r="F38" s="142">
        <f t="shared" si="24"/>
        <v>0</v>
      </c>
      <c r="G38" s="142">
        <f t="shared" si="24"/>
        <v>0</v>
      </c>
      <c r="H38" s="142">
        <f t="shared" si="24"/>
        <v>0</v>
      </c>
      <c r="I38" s="142">
        <f t="shared" si="24"/>
        <v>0</v>
      </c>
      <c r="J38" s="143">
        <f t="shared" si="24"/>
        <v>0</v>
      </c>
      <c r="K38" s="139"/>
      <c r="L38" s="142"/>
      <c r="M38" s="144"/>
      <c r="N38" s="141"/>
      <c r="O38" s="125"/>
      <c r="P38" s="141"/>
      <c r="Q38" s="282"/>
      <c r="R38" s="141"/>
      <c r="S38" s="334"/>
      <c r="T38" s="345"/>
      <c r="U38" s="346"/>
      <c r="V38" s="345"/>
      <c r="W38" s="346"/>
      <c r="X38" s="345"/>
      <c r="Y38" s="346"/>
      <c r="Z38" s="345"/>
      <c r="AA38" s="346"/>
      <c r="AB38" s="302"/>
      <c r="AC38" s="125"/>
      <c r="AG38" s="117"/>
      <c r="AH38" s="117"/>
      <c r="AI38" s="130"/>
      <c r="AJ38" s="130"/>
      <c r="AK38" s="117"/>
      <c r="AL38" s="117"/>
      <c r="AM38" s="117"/>
      <c r="AN38" s="117"/>
      <c r="AO38" s="117"/>
      <c r="AP38" s="128"/>
      <c r="AQ38" s="117"/>
      <c r="AR38" s="89"/>
      <c r="AS38" s="89"/>
      <c r="AT38" s="87"/>
    </row>
    <row r="39" spans="1:47" s="77" customFormat="1" ht="15" hidden="1" customHeight="1" x14ac:dyDescent="0.25">
      <c r="A39" s="186"/>
      <c r="B39" s="187"/>
      <c r="C39" s="109" t="s">
        <v>628</v>
      </c>
      <c r="D39" s="136"/>
      <c r="E39" s="137">
        <f t="shared" si="24"/>
        <v>0</v>
      </c>
      <c r="F39" s="142">
        <f t="shared" si="24"/>
        <v>0</v>
      </c>
      <c r="G39" s="142">
        <f t="shared" si="24"/>
        <v>0</v>
      </c>
      <c r="H39" s="142">
        <f t="shared" si="24"/>
        <v>0</v>
      </c>
      <c r="I39" s="142">
        <f t="shared" si="24"/>
        <v>0</v>
      </c>
      <c r="J39" s="143">
        <f t="shared" si="24"/>
        <v>0</v>
      </c>
      <c r="K39" s="139"/>
      <c r="L39" s="142"/>
      <c r="M39" s="144"/>
      <c r="N39" s="141"/>
      <c r="O39" s="125"/>
      <c r="P39" s="141"/>
      <c r="Q39" s="282"/>
      <c r="R39" s="141"/>
      <c r="S39" s="334"/>
      <c r="T39" s="345"/>
      <c r="U39" s="346"/>
      <c r="V39" s="345"/>
      <c r="W39" s="346"/>
      <c r="X39" s="345"/>
      <c r="Y39" s="346"/>
      <c r="Z39" s="345"/>
      <c r="AA39" s="346"/>
      <c r="AB39" s="302"/>
      <c r="AC39" s="125"/>
      <c r="AG39" s="117"/>
      <c r="AH39" s="117"/>
      <c r="AI39" s="130"/>
      <c r="AJ39" s="130"/>
      <c r="AK39" s="117"/>
      <c r="AL39" s="117"/>
      <c r="AM39" s="117"/>
      <c r="AN39" s="117"/>
      <c r="AO39" s="117"/>
      <c r="AP39" s="128"/>
      <c r="AQ39" s="117"/>
      <c r="AR39" s="89"/>
      <c r="AS39" s="89"/>
      <c r="AT39" s="87"/>
    </row>
    <row r="40" spans="1:47" s="77" customFormat="1" ht="15" hidden="1" customHeight="1" thickBot="1" x14ac:dyDescent="0.3">
      <c r="A40" s="188"/>
      <c r="B40" s="189"/>
      <c r="C40" s="109" t="s">
        <v>628</v>
      </c>
      <c r="D40" s="145"/>
      <c r="E40" s="146">
        <f t="shared" si="24"/>
        <v>0</v>
      </c>
      <c r="F40" s="147">
        <f t="shared" si="24"/>
        <v>0</v>
      </c>
      <c r="G40" s="147">
        <f t="shared" si="24"/>
        <v>0</v>
      </c>
      <c r="H40" s="147">
        <f t="shared" si="24"/>
        <v>0</v>
      </c>
      <c r="I40" s="147">
        <f t="shared" si="24"/>
        <v>0</v>
      </c>
      <c r="J40" s="148">
        <f t="shared" si="24"/>
        <v>0</v>
      </c>
      <c r="K40" s="149"/>
      <c r="L40" s="147"/>
      <c r="M40" s="150"/>
      <c r="N40" s="151"/>
      <c r="O40" s="152"/>
      <c r="P40" s="151"/>
      <c r="Q40" s="283"/>
      <c r="R40" s="151"/>
      <c r="S40" s="335"/>
      <c r="T40" s="347"/>
      <c r="U40" s="348"/>
      <c r="V40" s="347"/>
      <c r="W40" s="348"/>
      <c r="X40" s="347"/>
      <c r="Y40" s="348"/>
      <c r="Z40" s="347"/>
      <c r="AA40" s="348"/>
      <c r="AB40" s="303"/>
      <c r="AC40" s="152"/>
      <c r="AG40" s="117"/>
      <c r="AH40" s="117"/>
      <c r="AI40" s="130"/>
      <c r="AJ40" s="130"/>
      <c r="AK40" s="117"/>
      <c r="AL40" s="117"/>
      <c r="AM40" s="117"/>
      <c r="AN40" s="117"/>
      <c r="AO40" s="117"/>
      <c r="AP40" s="128"/>
      <c r="AQ40" s="117"/>
      <c r="AR40" s="89"/>
      <c r="AS40" s="89"/>
      <c r="AT40" s="87"/>
    </row>
    <row r="41" spans="1:47" s="104" customFormat="1" ht="15" customHeight="1" x14ac:dyDescent="0.25">
      <c r="A41" s="181"/>
      <c r="B41" s="185" t="s">
        <v>557</v>
      </c>
      <c r="C41" s="105" t="s">
        <v>165</v>
      </c>
      <c r="D41" s="162"/>
      <c r="E41" s="306"/>
      <c r="F41" s="307"/>
      <c r="G41" s="307"/>
      <c r="H41" s="307"/>
      <c r="I41" s="307">
        <v>1</v>
      </c>
      <c r="J41" s="308">
        <v>1</v>
      </c>
      <c r="K41" s="309"/>
      <c r="L41" s="307"/>
      <c r="M41" s="310"/>
      <c r="N41" s="106"/>
      <c r="O41" s="107"/>
      <c r="P41" s="106"/>
      <c r="Q41" s="278"/>
      <c r="R41" s="309">
        <v>-1</v>
      </c>
      <c r="S41" s="308"/>
      <c r="T41" s="336"/>
      <c r="U41" s="337"/>
      <c r="V41" s="336"/>
      <c r="W41" s="337"/>
      <c r="X41" s="336"/>
      <c r="Y41" s="337"/>
      <c r="Z41" s="336"/>
      <c r="AA41" s="337"/>
      <c r="AB41" s="307"/>
      <c r="AC41" s="310"/>
      <c r="AG41" s="117" t="s">
        <v>77</v>
      </c>
      <c r="AH41" s="117" t="s">
        <v>167</v>
      </c>
      <c r="AI41" s="117" t="s">
        <v>164</v>
      </c>
      <c r="AJ41" s="117" t="s">
        <v>166</v>
      </c>
      <c r="AK41" s="94" t="s">
        <v>106</v>
      </c>
      <c r="AL41" s="117" t="s">
        <v>162</v>
      </c>
      <c r="AM41" s="117" t="s">
        <v>629</v>
      </c>
      <c r="AN41" s="94"/>
      <c r="AO41" s="94"/>
      <c r="AP41" s="94"/>
      <c r="AQ41" s="94"/>
      <c r="AR41" s="103"/>
      <c r="AS41" s="103"/>
      <c r="AT41" s="102"/>
    </row>
    <row r="42" spans="1:47" ht="15" customHeight="1" x14ac:dyDescent="0.25">
      <c r="A42" s="186"/>
      <c r="B42" s="367" t="s">
        <v>546</v>
      </c>
      <c r="C42" s="118" t="s">
        <v>627</v>
      </c>
      <c r="D42" s="119">
        <f>D24</f>
        <v>2657</v>
      </c>
      <c r="E42" s="120"/>
      <c r="F42" s="121"/>
      <c r="G42" s="121">
        <f>G25</f>
        <v>3487</v>
      </c>
      <c r="H42" s="121">
        <f>7100-H24</f>
        <v>5299</v>
      </c>
      <c r="I42" s="122">
        <f>G42-E42</f>
        <v>3487</v>
      </c>
      <c r="J42" s="123">
        <f>H42-F42</f>
        <v>5299</v>
      </c>
      <c r="K42" s="124"/>
      <c r="L42" s="122">
        <f>K42</f>
        <v>0</v>
      </c>
      <c r="M42" s="125">
        <f>IF(L42&gt;0, 100, 0)</f>
        <v>0</v>
      </c>
      <c r="N42" s="126"/>
      <c r="O42" s="127"/>
      <c r="P42" s="126"/>
      <c r="Q42" s="279"/>
      <c r="R42" s="126">
        <v>130</v>
      </c>
      <c r="S42" s="332">
        <v>130</v>
      </c>
      <c r="T42" s="338"/>
      <c r="U42" s="339"/>
      <c r="V42" s="338"/>
      <c r="W42" s="339"/>
      <c r="X42" s="338"/>
      <c r="Y42" s="339"/>
      <c r="Z42" s="338"/>
      <c r="AA42" s="339"/>
      <c r="AB42" s="300"/>
      <c r="AC42" s="127"/>
      <c r="AG42" s="108">
        <f>SUM(E51:L51)</f>
        <v>30.738421000000002</v>
      </c>
      <c r="AH42" s="108">
        <f>SUM(E52:AC52)</f>
        <v>18.919117999999997</v>
      </c>
      <c r="AI42" s="286">
        <f>((E42*F42+H42*I42)-K42*M42-(R42*S42+T42*U42+V42*W42+X42*Y42+Z42*AA42+AB42*AC42)-P42*Q42)/1000000</f>
        <v>18.460712999999998</v>
      </c>
      <c r="AJ42" s="117">
        <f>((E42*F42+H42*I42)-K42*M42-(R42*S42+T42*U42+V42*W42+X42*Y42+Z42*AA42+AB42*AC42)+N42*O42)/1000000</f>
        <v>18.460712999999998</v>
      </c>
      <c r="AK42" s="108">
        <f>(SUM(E42:M42)-SUM(E43:M47))/1000</f>
        <v>12.814</v>
      </c>
      <c r="AL42" s="108">
        <f>SUM(E53:J55)</f>
        <v>5.8840000000000003</v>
      </c>
      <c r="AM42" s="159">
        <f>SUM(E56:J58)</f>
        <v>8.1219999999999999</v>
      </c>
      <c r="AN42" s="117"/>
      <c r="AO42" s="117"/>
      <c r="AP42" s="128"/>
      <c r="AQ42" s="117"/>
      <c r="AR42" s="89"/>
      <c r="AS42" s="89"/>
      <c r="AT42" s="87"/>
      <c r="AU42" s="75"/>
    </row>
    <row r="43" spans="1:47" s="77" customFormat="1" ht="15" customHeight="1" x14ac:dyDescent="0.25">
      <c r="A43" s="186"/>
      <c r="B43" s="187"/>
      <c r="C43" s="131" t="s">
        <v>158</v>
      </c>
      <c r="D43" s="119">
        <f xml:space="preserve"> IF(D42 &lt;&gt; "",  D42,#REF!)</f>
        <v>2657</v>
      </c>
      <c r="E43" s="120"/>
      <c r="F43" s="121"/>
      <c r="G43" s="121">
        <f>G42</f>
        <v>3487</v>
      </c>
      <c r="H43" s="121"/>
      <c r="I43" s="121"/>
      <c r="J43" s="132"/>
      <c r="K43" s="133"/>
      <c r="L43" s="129"/>
      <c r="M43" s="134"/>
      <c r="N43" s="135"/>
      <c r="O43" s="134"/>
      <c r="P43" s="135"/>
      <c r="Q43" s="280"/>
      <c r="R43" s="135"/>
      <c r="S43" s="333"/>
      <c r="T43" s="340"/>
      <c r="U43" s="341"/>
      <c r="V43" s="340"/>
      <c r="W43" s="341"/>
      <c r="X43" s="340"/>
      <c r="Y43" s="341"/>
      <c r="Z43" s="340"/>
      <c r="AA43" s="341"/>
      <c r="AB43" s="301"/>
      <c r="AC43" s="134"/>
      <c r="AG43" s="130"/>
      <c r="AH43" s="130"/>
      <c r="AI43" s="130"/>
      <c r="AK43" s="130"/>
      <c r="AL43" s="130"/>
      <c r="AM43" s="130"/>
      <c r="AN43" s="89"/>
      <c r="AO43" s="89"/>
      <c r="AP43" s="87"/>
    </row>
    <row r="44" spans="1:47" s="77" customFormat="1" ht="15" customHeight="1" x14ac:dyDescent="0.25">
      <c r="A44" s="186"/>
      <c r="B44" s="187"/>
      <c r="C44" s="131" t="s">
        <v>158</v>
      </c>
      <c r="D44" s="119">
        <v>2050</v>
      </c>
      <c r="E44" s="120"/>
      <c r="F44" s="121"/>
      <c r="G44" s="121"/>
      <c r="H44" s="121">
        <v>1271</v>
      </c>
      <c r="I44" s="121"/>
      <c r="J44" s="132"/>
      <c r="K44" s="133"/>
      <c r="L44" s="129"/>
      <c r="M44" s="134"/>
      <c r="N44" s="135"/>
      <c r="O44" s="134"/>
      <c r="P44" s="135"/>
      <c r="Q44" s="280"/>
      <c r="R44" s="135"/>
      <c r="S44" s="333"/>
      <c r="T44" s="340"/>
      <c r="U44" s="341"/>
      <c r="V44" s="340"/>
      <c r="W44" s="341"/>
      <c r="X44" s="340"/>
      <c r="Y44" s="341"/>
      <c r="Z44" s="340"/>
      <c r="AA44" s="341"/>
      <c r="AB44" s="301"/>
      <c r="AC44" s="134"/>
      <c r="AG44" s="130"/>
      <c r="AH44" s="130"/>
      <c r="AI44" s="130"/>
      <c r="AK44" s="130"/>
      <c r="AL44" s="130"/>
      <c r="AM44" s="130"/>
      <c r="AN44" s="89"/>
      <c r="AO44" s="89"/>
      <c r="AP44" s="87"/>
    </row>
    <row r="45" spans="1:47" s="77" customFormat="1" ht="15" customHeight="1" x14ac:dyDescent="0.25">
      <c r="A45" s="186"/>
      <c r="B45" s="187"/>
      <c r="C45" s="131" t="s">
        <v>159</v>
      </c>
      <c r="D45" s="136">
        <v>2100</v>
      </c>
      <c r="E45" s="120"/>
      <c r="F45" s="121"/>
      <c r="G45" s="121"/>
      <c r="H45" s="121"/>
      <c r="I45" s="121"/>
      <c r="J45" s="132"/>
      <c r="K45" s="133"/>
      <c r="L45" s="129"/>
      <c r="M45" s="134"/>
      <c r="N45" s="135"/>
      <c r="O45" s="134"/>
      <c r="P45" s="135"/>
      <c r="Q45" s="280"/>
      <c r="R45" s="135"/>
      <c r="S45" s="333"/>
      <c r="T45" s="340"/>
      <c r="U45" s="341"/>
      <c r="V45" s="340"/>
      <c r="W45" s="341"/>
      <c r="X45" s="340"/>
      <c r="Y45" s="341"/>
      <c r="Z45" s="340"/>
      <c r="AA45" s="341"/>
      <c r="AB45" s="301"/>
      <c r="AC45" s="134"/>
      <c r="AG45" s="117"/>
      <c r="AH45" s="117"/>
      <c r="AI45" s="117"/>
      <c r="AJ45" s="117"/>
      <c r="AK45" s="117"/>
      <c r="AL45" s="117"/>
      <c r="AM45" s="117"/>
      <c r="AN45" s="117"/>
      <c r="AO45" s="117"/>
      <c r="AP45" s="128"/>
      <c r="AQ45" s="117"/>
      <c r="AR45" s="89"/>
      <c r="AS45" s="89"/>
      <c r="AT45" s="87"/>
    </row>
    <row r="46" spans="1:47" s="77" customFormat="1" ht="15" hidden="1" customHeight="1" x14ac:dyDescent="0.25">
      <c r="A46" s="186"/>
      <c r="B46" s="187"/>
      <c r="C46" s="131" t="s">
        <v>159</v>
      </c>
      <c r="D46" s="136">
        <v>2100</v>
      </c>
      <c r="E46" s="120"/>
      <c r="F46" s="121"/>
      <c r="G46" s="121"/>
      <c r="H46" s="121"/>
      <c r="I46" s="121"/>
      <c r="J46" s="132"/>
      <c r="K46" s="133"/>
      <c r="L46" s="129"/>
      <c r="M46" s="134"/>
      <c r="N46" s="135"/>
      <c r="O46" s="134"/>
      <c r="P46" s="135"/>
      <c r="Q46" s="280"/>
      <c r="R46" s="135"/>
      <c r="S46" s="333"/>
      <c r="T46" s="340"/>
      <c r="U46" s="341"/>
      <c r="V46" s="340"/>
      <c r="W46" s="341"/>
      <c r="X46" s="340"/>
      <c r="Y46" s="341"/>
      <c r="Z46" s="340"/>
      <c r="AA46" s="341"/>
      <c r="AB46" s="301"/>
      <c r="AC46" s="134"/>
      <c r="AG46" s="117"/>
      <c r="AH46" s="117"/>
      <c r="AI46" s="117"/>
      <c r="AJ46" s="117"/>
      <c r="AK46" s="117"/>
      <c r="AL46" s="117"/>
      <c r="AM46" s="117"/>
      <c r="AN46" s="117"/>
      <c r="AO46" s="117"/>
      <c r="AP46" s="128"/>
      <c r="AQ46" s="117"/>
      <c r="AR46" s="89"/>
      <c r="AS46" s="89"/>
      <c r="AT46" s="87"/>
    </row>
    <row r="47" spans="1:47" s="77" customFormat="1" ht="15" hidden="1" customHeight="1" x14ac:dyDescent="0.25">
      <c r="A47" s="186"/>
      <c r="B47" s="187"/>
      <c r="C47" s="131" t="s">
        <v>159</v>
      </c>
      <c r="D47" s="136">
        <f>D45</f>
        <v>2100</v>
      </c>
      <c r="E47" s="120"/>
      <c r="F47" s="121"/>
      <c r="G47" s="121"/>
      <c r="H47" s="121"/>
      <c r="I47" s="121"/>
      <c r="J47" s="132"/>
      <c r="K47" s="133"/>
      <c r="L47" s="129"/>
      <c r="M47" s="134"/>
      <c r="N47" s="135"/>
      <c r="O47" s="134"/>
      <c r="P47" s="135"/>
      <c r="Q47" s="280"/>
      <c r="R47" s="135"/>
      <c r="S47" s="333"/>
      <c r="T47" s="340"/>
      <c r="U47" s="341"/>
      <c r="V47" s="340"/>
      <c r="W47" s="341"/>
      <c r="X47" s="340"/>
      <c r="Y47" s="341"/>
      <c r="Z47" s="340"/>
      <c r="AA47" s="341"/>
      <c r="AB47" s="301"/>
      <c r="AC47" s="134"/>
      <c r="AG47" s="117"/>
      <c r="AH47" s="117"/>
      <c r="AI47" s="117"/>
      <c r="AJ47" s="117"/>
      <c r="AK47" s="117"/>
      <c r="AL47" s="117"/>
      <c r="AM47" s="117"/>
      <c r="AN47" s="117"/>
      <c r="AO47" s="117"/>
      <c r="AP47" s="128"/>
      <c r="AQ47" s="117"/>
      <c r="AR47" s="89"/>
      <c r="AS47" s="89"/>
      <c r="AT47" s="87"/>
    </row>
    <row r="48" spans="1:47" s="77" customFormat="1" ht="15" customHeight="1" x14ac:dyDescent="0.25">
      <c r="A48" s="186"/>
      <c r="B48" s="187"/>
      <c r="C48" s="131" t="s">
        <v>175</v>
      </c>
      <c r="D48" s="119">
        <f>D30</f>
        <v>1823</v>
      </c>
      <c r="E48" s="120"/>
      <c r="F48" s="121"/>
      <c r="G48" s="121"/>
      <c r="H48" s="121"/>
      <c r="I48" s="121">
        <v>2238</v>
      </c>
      <c r="J48" s="132"/>
      <c r="K48" s="133"/>
      <c r="L48" s="129"/>
      <c r="M48" s="134"/>
      <c r="N48" s="135"/>
      <c r="O48" s="134"/>
      <c r="P48" s="135"/>
      <c r="Q48" s="280"/>
      <c r="R48" s="135"/>
      <c r="S48" s="333"/>
      <c r="T48" s="340"/>
      <c r="U48" s="341"/>
      <c r="V48" s="340"/>
      <c r="W48" s="341"/>
      <c r="X48" s="340"/>
      <c r="Y48" s="341"/>
      <c r="Z48" s="340"/>
      <c r="AA48" s="341"/>
      <c r="AB48" s="301"/>
      <c r="AC48" s="134"/>
      <c r="AG48" s="117"/>
      <c r="AH48" s="117"/>
      <c r="AI48" s="130"/>
      <c r="AJ48" s="130"/>
      <c r="AK48" s="117"/>
      <c r="AL48" s="117"/>
      <c r="AM48" s="117"/>
      <c r="AN48" s="117"/>
      <c r="AO48" s="117"/>
      <c r="AP48" s="128"/>
      <c r="AQ48" s="117"/>
      <c r="AR48" s="89"/>
      <c r="AS48" s="89"/>
      <c r="AT48" s="87"/>
    </row>
    <row r="49" spans="1:47" s="77" customFormat="1" ht="15" customHeight="1" x14ac:dyDescent="0.25">
      <c r="A49" s="186"/>
      <c r="B49" s="187"/>
      <c r="C49" s="131" t="s">
        <v>175</v>
      </c>
      <c r="D49" s="136">
        <f>D48</f>
        <v>1823</v>
      </c>
      <c r="E49" s="120"/>
      <c r="F49" s="121"/>
      <c r="G49" s="121"/>
      <c r="H49" s="121"/>
      <c r="I49" s="121"/>
      <c r="J49" s="132"/>
      <c r="K49" s="133"/>
      <c r="L49" s="129"/>
      <c r="M49" s="134"/>
      <c r="N49" s="135"/>
      <c r="O49" s="134"/>
      <c r="P49" s="135"/>
      <c r="Q49" s="280"/>
      <c r="R49" s="135"/>
      <c r="S49" s="333"/>
      <c r="T49" s="340"/>
      <c r="U49" s="341"/>
      <c r="V49" s="340"/>
      <c r="W49" s="341"/>
      <c r="X49" s="340"/>
      <c r="Y49" s="341"/>
      <c r="Z49" s="340"/>
      <c r="AA49" s="341"/>
      <c r="AB49" s="301"/>
      <c r="AC49" s="134"/>
      <c r="AG49" s="117"/>
      <c r="AH49" s="117"/>
      <c r="AI49" s="130"/>
      <c r="AJ49" s="130"/>
      <c r="AK49" s="117"/>
      <c r="AL49" s="117"/>
      <c r="AM49" s="117"/>
      <c r="AN49" s="117"/>
      <c r="AO49" s="117"/>
      <c r="AP49" s="128"/>
      <c r="AQ49" s="117"/>
      <c r="AR49" s="89"/>
      <c r="AS49" s="89"/>
      <c r="AT49" s="87"/>
    </row>
    <row r="50" spans="1:47" s="77" customFormat="1" ht="15" customHeight="1" thickBot="1" x14ac:dyDescent="0.3">
      <c r="A50" s="186"/>
      <c r="B50" s="187"/>
      <c r="C50" s="131" t="s">
        <v>175</v>
      </c>
      <c r="D50" s="136">
        <f>D48</f>
        <v>1823</v>
      </c>
      <c r="E50" s="120"/>
      <c r="F50" s="121"/>
      <c r="G50" s="121"/>
      <c r="H50" s="121"/>
      <c r="I50" s="121"/>
      <c r="J50" s="132"/>
      <c r="K50" s="133"/>
      <c r="L50" s="129"/>
      <c r="M50" s="134"/>
      <c r="N50" s="135"/>
      <c r="O50" s="134"/>
      <c r="P50" s="135"/>
      <c r="Q50" s="280"/>
      <c r="R50" s="135"/>
      <c r="S50" s="333"/>
      <c r="T50" s="340"/>
      <c r="U50" s="341"/>
      <c r="V50" s="340"/>
      <c r="W50" s="341"/>
      <c r="X50" s="340"/>
      <c r="Y50" s="341"/>
      <c r="Z50" s="340"/>
      <c r="AA50" s="341"/>
      <c r="AB50" s="301"/>
      <c r="AC50" s="134"/>
      <c r="AG50" s="117"/>
      <c r="AH50" s="117"/>
      <c r="AI50" s="130"/>
      <c r="AJ50" s="130"/>
      <c r="AK50" s="117"/>
      <c r="AL50" s="117"/>
      <c r="AM50" s="117"/>
      <c r="AN50" s="117"/>
      <c r="AO50" s="117"/>
      <c r="AP50" s="128"/>
      <c r="AQ50" s="117"/>
      <c r="AR50" s="89"/>
      <c r="AS50" s="89"/>
      <c r="AT50" s="87"/>
    </row>
    <row r="51" spans="1:47" s="77" customFormat="1" ht="15" hidden="1" customHeight="1" x14ac:dyDescent="0.25">
      <c r="A51" s="190"/>
      <c r="B51" s="191"/>
      <c r="C51" s="163" t="s">
        <v>160</v>
      </c>
      <c r="D51" s="164"/>
      <c r="E51" s="165">
        <f t="shared" ref="E51:M51" si="25">(E42*$D42-E43*$D43-E44*$D44-E45*$D45-E46*$D46-E47*$D47-E48*$D48-E49*$D49-E50*$D50)/1000000</f>
        <v>0</v>
      </c>
      <c r="F51" s="165">
        <f t="shared" si="25"/>
        <v>0</v>
      </c>
      <c r="G51" s="165">
        <f t="shared" si="25"/>
        <v>0</v>
      </c>
      <c r="H51" s="165">
        <f t="shared" si="25"/>
        <v>11.473893</v>
      </c>
      <c r="I51" s="165">
        <f t="shared" si="25"/>
        <v>5.1850849999999999</v>
      </c>
      <c r="J51" s="166">
        <f t="shared" si="25"/>
        <v>14.079442999999999</v>
      </c>
      <c r="K51" s="167">
        <f t="shared" si="25"/>
        <v>0</v>
      </c>
      <c r="L51" s="165">
        <f t="shared" si="25"/>
        <v>0</v>
      </c>
      <c r="M51" s="165">
        <f t="shared" si="25"/>
        <v>0</v>
      </c>
      <c r="N51" s="169"/>
      <c r="O51" s="170"/>
      <c r="P51" s="169"/>
      <c r="Q51" s="281"/>
      <c r="R51" s="327">
        <f t="shared" ref="R51:AC51" si="26">(R42*$D42)/1000000</f>
        <v>0.34540999999999999</v>
      </c>
      <c r="S51" s="143">
        <f t="shared" si="26"/>
        <v>0.34540999999999999</v>
      </c>
      <c r="T51" s="342">
        <f t="shared" si="26"/>
        <v>0</v>
      </c>
      <c r="U51" s="343">
        <f t="shared" si="26"/>
        <v>0</v>
      </c>
      <c r="V51" s="342">
        <f t="shared" si="26"/>
        <v>0</v>
      </c>
      <c r="W51" s="343">
        <f t="shared" si="26"/>
        <v>0</v>
      </c>
      <c r="X51" s="342">
        <f t="shared" ref="X51:AA51" si="27">(X42*$D42)/1000000</f>
        <v>0</v>
      </c>
      <c r="Y51" s="343">
        <f t="shared" si="27"/>
        <v>0</v>
      </c>
      <c r="Z51" s="342">
        <f t="shared" si="27"/>
        <v>0</v>
      </c>
      <c r="AA51" s="343">
        <f t="shared" si="27"/>
        <v>0</v>
      </c>
      <c r="AB51" s="142">
        <f t="shared" si="26"/>
        <v>0</v>
      </c>
      <c r="AC51" s="168">
        <f t="shared" si="26"/>
        <v>0</v>
      </c>
      <c r="AG51" s="117"/>
      <c r="AH51" s="117"/>
      <c r="AI51" s="130"/>
      <c r="AJ51" s="130"/>
      <c r="AK51" s="117"/>
      <c r="AL51" s="117"/>
      <c r="AM51" s="117"/>
      <c r="AN51" s="117"/>
      <c r="AO51" s="117"/>
      <c r="AP51" s="128"/>
      <c r="AQ51" s="117"/>
      <c r="AR51" s="89"/>
      <c r="AS51" s="89"/>
      <c r="AT51" s="87"/>
    </row>
    <row r="52" spans="1:47" s="77" customFormat="1" ht="15" hidden="1" customHeight="1" x14ac:dyDescent="0.25">
      <c r="A52" s="186"/>
      <c r="B52" s="187"/>
      <c r="C52" s="109" t="s">
        <v>163</v>
      </c>
      <c r="D52" s="136"/>
      <c r="E52" s="137">
        <f t="shared" ref="E52:M52" si="28">E51*E41</f>
        <v>0</v>
      </c>
      <c r="F52" s="137">
        <f t="shared" si="28"/>
        <v>0</v>
      </c>
      <c r="G52" s="137">
        <f t="shared" si="28"/>
        <v>0</v>
      </c>
      <c r="H52" s="137">
        <f t="shared" si="28"/>
        <v>0</v>
      </c>
      <c r="I52" s="137">
        <f t="shared" si="28"/>
        <v>5.1850849999999999</v>
      </c>
      <c r="J52" s="138">
        <f t="shared" si="28"/>
        <v>14.079442999999999</v>
      </c>
      <c r="K52" s="139">
        <f t="shared" si="28"/>
        <v>0</v>
      </c>
      <c r="L52" s="137">
        <f t="shared" si="28"/>
        <v>0</v>
      </c>
      <c r="M52" s="140">
        <f t="shared" si="28"/>
        <v>0</v>
      </c>
      <c r="N52" s="141"/>
      <c r="O52" s="125"/>
      <c r="P52" s="141"/>
      <c r="Q52" s="282"/>
      <c r="R52" s="139">
        <f t="shared" ref="R52:AC52" si="29">R51*R41</f>
        <v>-0.34540999999999999</v>
      </c>
      <c r="S52" s="138">
        <f t="shared" si="29"/>
        <v>0</v>
      </c>
      <c r="T52" s="342">
        <f t="shared" si="29"/>
        <v>0</v>
      </c>
      <c r="U52" s="344">
        <f t="shared" si="29"/>
        <v>0</v>
      </c>
      <c r="V52" s="342">
        <f t="shared" si="29"/>
        <v>0</v>
      </c>
      <c r="W52" s="344">
        <f t="shared" si="29"/>
        <v>0</v>
      </c>
      <c r="X52" s="342">
        <f t="shared" ref="X52:AA52" si="30">X51*X41</f>
        <v>0</v>
      </c>
      <c r="Y52" s="344">
        <f t="shared" si="30"/>
        <v>0</v>
      </c>
      <c r="Z52" s="342">
        <f t="shared" si="30"/>
        <v>0</v>
      </c>
      <c r="AA52" s="344">
        <f t="shared" si="30"/>
        <v>0</v>
      </c>
      <c r="AB52" s="137">
        <f t="shared" si="29"/>
        <v>0</v>
      </c>
      <c r="AC52" s="140">
        <f t="shared" si="29"/>
        <v>0</v>
      </c>
      <c r="AG52" s="117"/>
      <c r="AH52" s="117"/>
      <c r="AI52" s="130"/>
      <c r="AJ52" s="130"/>
      <c r="AK52" s="117"/>
      <c r="AL52" s="117"/>
      <c r="AM52" s="117"/>
      <c r="AN52" s="117"/>
      <c r="AO52" s="117"/>
      <c r="AP52" s="128"/>
      <c r="AQ52" s="117"/>
      <c r="AR52" s="89"/>
      <c r="AS52" s="89"/>
      <c r="AT52" s="87"/>
    </row>
    <row r="53" spans="1:47" s="77" customFormat="1" ht="15" hidden="1" customHeight="1" x14ac:dyDescent="0.25">
      <c r="A53" s="186"/>
      <c r="B53" s="187"/>
      <c r="C53" s="109" t="s">
        <v>176</v>
      </c>
      <c r="D53" s="136"/>
      <c r="E53" s="137">
        <f t="shared" ref="E53:J55" si="31">IF(E48&gt;0, (E48+$D48*2)/1000, 0)</f>
        <v>0</v>
      </c>
      <c r="F53" s="142">
        <f t="shared" si="31"/>
        <v>0</v>
      </c>
      <c r="G53" s="142">
        <f t="shared" si="31"/>
        <v>0</v>
      </c>
      <c r="H53" s="142">
        <f t="shared" si="31"/>
        <v>0</v>
      </c>
      <c r="I53" s="142">
        <f t="shared" si="31"/>
        <v>5.8840000000000003</v>
      </c>
      <c r="J53" s="143">
        <f t="shared" si="31"/>
        <v>0</v>
      </c>
      <c r="K53" s="139"/>
      <c r="L53" s="142"/>
      <c r="M53" s="144"/>
      <c r="N53" s="141"/>
      <c r="O53" s="125"/>
      <c r="P53" s="141"/>
      <c r="Q53" s="282"/>
      <c r="R53" s="141"/>
      <c r="S53" s="334"/>
      <c r="T53" s="345"/>
      <c r="U53" s="346"/>
      <c r="V53" s="345"/>
      <c r="W53" s="346"/>
      <c r="X53" s="345"/>
      <c r="Y53" s="346"/>
      <c r="Z53" s="345"/>
      <c r="AA53" s="346"/>
      <c r="AB53" s="302"/>
      <c r="AC53" s="125"/>
      <c r="AG53" s="117"/>
      <c r="AH53" s="117"/>
      <c r="AI53" s="130"/>
      <c r="AJ53" s="130"/>
      <c r="AK53" s="117"/>
      <c r="AL53" s="117"/>
      <c r="AM53" s="117"/>
      <c r="AN53" s="117"/>
      <c r="AO53" s="117"/>
      <c r="AP53" s="128"/>
      <c r="AQ53" s="117"/>
      <c r="AR53" s="89"/>
      <c r="AS53" s="89"/>
      <c r="AT53" s="87"/>
    </row>
    <row r="54" spans="1:47" s="77" customFormat="1" ht="15" hidden="1" customHeight="1" x14ac:dyDescent="0.25">
      <c r="A54" s="192"/>
      <c r="B54" s="193"/>
      <c r="C54" s="109" t="s">
        <v>176</v>
      </c>
      <c r="D54" s="136"/>
      <c r="E54" s="137">
        <f t="shared" si="31"/>
        <v>0</v>
      </c>
      <c r="F54" s="142">
        <f t="shared" si="31"/>
        <v>0</v>
      </c>
      <c r="G54" s="142">
        <f t="shared" si="31"/>
        <v>0</v>
      </c>
      <c r="H54" s="142">
        <f t="shared" si="31"/>
        <v>0</v>
      </c>
      <c r="I54" s="142">
        <f t="shared" si="31"/>
        <v>0</v>
      </c>
      <c r="J54" s="143">
        <f t="shared" si="31"/>
        <v>0</v>
      </c>
      <c r="K54" s="139"/>
      <c r="L54" s="142"/>
      <c r="M54" s="144"/>
      <c r="N54" s="141"/>
      <c r="O54" s="125"/>
      <c r="P54" s="141"/>
      <c r="Q54" s="282"/>
      <c r="R54" s="141"/>
      <c r="S54" s="334"/>
      <c r="T54" s="345"/>
      <c r="U54" s="346"/>
      <c r="V54" s="345"/>
      <c r="W54" s="346"/>
      <c r="X54" s="345"/>
      <c r="Y54" s="346"/>
      <c r="Z54" s="345"/>
      <c r="AA54" s="346"/>
      <c r="AB54" s="302"/>
      <c r="AC54" s="125"/>
      <c r="AG54" s="117"/>
      <c r="AH54" s="117"/>
      <c r="AI54" s="130"/>
      <c r="AJ54" s="130"/>
      <c r="AK54" s="117"/>
      <c r="AL54" s="117"/>
      <c r="AM54" s="117"/>
      <c r="AN54" s="117"/>
      <c r="AO54" s="117"/>
      <c r="AP54" s="128"/>
      <c r="AQ54" s="117"/>
      <c r="AR54" s="89"/>
      <c r="AS54" s="89"/>
      <c r="AT54" s="87"/>
    </row>
    <row r="55" spans="1:47" s="77" customFormat="1" ht="15" hidden="1" customHeight="1" x14ac:dyDescent="0.25">
      <c r="A55" s="192"/>
      <c r="B55" s="193"/>
      <c r="C55" s="109" t="s">
        <v>176</v>
      </c>
      <c r="D55" s="136"/>
      <c r="E55" s="137">
        <f t="shared" si="31"/>
        <v>0</v>
      </c>
      <c r="F55" s="142">
        <f t="shared" si="31"/>
        <v>0</v>
      </c>
      <c r="G55" s="142">
        <f t="shared" si="31"/>
        <v>0</v>
      </c>
      <c r="H55" s="142">
        <f t="shared" si="31"/>
        <v>0</v>
      </c>
      <c r="I55" s="142">
        <f t="shared" si="31"/>
        <v>0</v>
      </c>
      <c r="J55" s="143">
        <f t="shared" si="31"/>
        <v>0</v>
      </c>
      <c r="K55" s="139"/>
      <c r="L55" s="142"/>
      <c r="M55" s="144"/>
      <c r="N55" s="141"/>
      <c r="O55" s="125"/>
      <c r="P55" s="141"/>
      <c r="Q55" s="282"/>
      <c r="R55" s="141"/>
      <c r="S55" s="334"/>
      <c r="T55" s="345"/>
      <c r="U55" s="346"/>
      <c r="V55" s="345"/>
      <c r="W55" s="346"/>
      <c r="X55" s="345"/>
      <c r="Y55" s="346"/>
      <c r="Z55" s="345"/>
      <c r="AA55" s="346"/>
      <c r="AB55" s="302"/>
      <c r="AC55" s="125"/>
      <c r="AG55" s="117"/>
      <c r="AH55" s="117"/>
      <c r="AI55" s="130"/>
      <c r="AJ55" s="130"/>
      <c r="AK55" s="117"/>
      <c r="AL55" s="117"/>
      <c r="AM55" s="117"/>
      <c r="AN55" s="117"/>
      <c r="AO55" s="117"/>
      <c r="AP55" s="128"/>
      <c r="AQ55" s="117"/>
      <c r="AR55" s="89"/>
      <c r="AS55" s="89"/>
      <c r="AT55" s="87"/>
    </row>
    <row r="56" spans="1:47" s="77" customFormat="1" ht="15" hidden="1" customHeight="1" x14ac:dyDescent="0.25">
      <c r="A56" s="194"/>
      <c r="B56" s="195"/>
      <c r="C56" s="109" t="s">
        <v>628</v>
      </c>
      <c r="D56" s="136"/>
      <c r="E56" s="137">
        <f t="shared" ref="E56:J58" si="32">IF(E48&gt;0, (E48+$D48)*2/1000, 0)</f>
        <v>0</v>
      </c>
      <c r="F56" s="142">
        <f t="shared" si="32"/>
        <v>0</v>
      </c>
      <c r="G56" s="142">
        <f t="shared" si="32"/>
        <v>0</v>
      </c>
      <c r="H56" s="142">
        <f t="shared" si="32"/>
        <v>0</v>
      </c>
      <c r="I56" s="142">
        <f t="shared" si="32"/>
        <v>8.1219999999999999</v>
      </c>
      <c r="J56" s="143">
        <f t="shared" si="32"/>
        <v>0</v>
      </c>
      <c r="K56" s="139"/>
      <c r="L56" s="142"/>
      <c r="M56" s="144"/>
      <c r="N56" s="141"/>
      <c r="O56" s="125"/>
      <c r="P56" s="141"/>
      <c r="Q56" s="282"/>
      <c r="R56" s="141"/>
      <c r="S56" s="334"/>
      <c r="T56" s="345"/>
      <c r="U56" s="346"/>
      <c r="V56" s="345"/>
      <c r="W56" s="346"/>
      <c r="X56" s="345"/>
      <c r="Y56" s="346"/>
      <c r="Z56" s="345"/>
      <c r="AA56" s="346"/>
      <c r="AB56" s="302"/>
      <c r="AC56" s="125"/>
      <c r="AG56" s="117"/>
      <c r="AH56" s="117"/>
      <c r="AI56" s="130"/>
      <c r="AJ56" s="130"/>
      <c r="AK56" s="117"/>
      <c r="AL56" s="117"/>
      <c r="AM56" s="117"/>
      <c r="AN56" s="117"/>
      <c r="AO56" s="117"/>
      <c r="AP56" s="128"/>
      <c r="AQ56" s="117"/>
      <c r="AR56" s="89"/>
      <c r="AS56" s="89"/>
      <c r="AT56" s="87"/>
    </row>
    <row r="57" spans="1:47" s="77" customFormat="1" ht="15" hidden="1" customHeight="1" x14ac:dyDescent="0.25">
      <c r="A57" s="186"/>
      <c r="B57" s="187"/>
      <c r="C57" s="109" t="s">
        <v>628</v>
      </c>
      <c r="D57" s="136"/>
      <c r="E57" s="137">
        <f t="shared" si="32"/>
        <v>0</v>
      </c>
      <c r="F57" s="142">
        <f t="shared" si="32"/>
        <v>0</v>
      </c>
      <c r="G57" s="142">
        <f t="shared" si="32"/>
        <v>0</v>
      </c>
      <c r="H57" s="142">
        <f t="shared" si="32"/>
        <v>0</v>
      </c>
      <c r="I57" s="142">
        <f t="shared" si="32"/>
        <v>0</v>
      </c>
      <c r="J57" s="143">
        <f t="shared" si="32"/>
        <v>0</v>
      </c>
      <c r="K57" s="139"/>
      <c r="L57" s="142"/>
      <c r="M57" s="144"/>
      <c r="N57" s="141"/>
      <c r="O57" s="125"/>
      <c r="P57" s="141"/>
      <c r="Q57" s="282"/>
      <c r="R57" s="141"/>
      <c r="S57" s="334"/>
      <c r="T57" s="345"/>
      <c r="U57" s="346"/>
      <c r="V57" s="345"/>
      <c r="W57" s="346"/>
      <c r="X57" s="345"/>
      <c r="Y57" s="346"/>
      <c r="Z57" s="345"/>
      <c r="AA57" s="346"/>
      <c r="AB57" s="302"/>
      <c r="AC57" s="125"/>
      <c r="AG57" s="117"/>
      <c r="AH57" s="117"/>
      <c r="AI57" s="130"/>
      <c r="AJ57" s="130"/>
      <c r="AK57" s="117"/>
      <c r="AL57" s="117"/>
      <c r="AM57" s="117"/>
      <c r="AN57" s="117"/>
      <c r="AO57" s="117"/>
      <c r="AP57" s="128"/>
      <c r="AQ57" s="117"/>
      <c r="AR57" s="89"/>
      <c r="AS57" s="89"/>
      <c r="AT57" s="87"/>
    </row>
    <row r="58" spans="1:47" s="77" customFormat="1" ht="15" hidden="1" customHeight="1" thickBot="1" x14ac:dyDescent="0.3">
      <c r="A58" s="188"/>
      <c r="B58" s="189"/>
      <c r="C58" s="109" t="s">
        <v>628</v>
      </c>
      <c r="D58" s="145"/>
      <c r="E58" s="146">
        <f t="shared" si="32"/>
        <v>0</v>
      </c>
      <c r="F58" s="147">
        <f t="shared" si="32"/>
        <v>0</v>
      </c>
      <c r="G58" s="147">
        <f t="shared" si="32"/>
        <v>0</v>
      </c>
      <c r="H58" s="147">
        <f t="shared" si="32"/>
        <v>0</v>
      </c>
      <c r="I58" s="147">
        <f t="shared" si="32"/>
        <v>0</v>
      </c>
      <c r="J58" s="148">
        <f t="shared" si="32"/>
        <v>0</v>
      </c>
      <c r="K58" s="149"/>
      <c r="L58" s="147"/>
      <c r="M58" s="150"/>
      <c r="N58" s="151"/>
      <c r="O58" s="152"/>
      <c r="P58" s="151"/>
      <c r="Q58" s="283"/>
      <c r="R58" s="151"/>
      <c r="S58" s="335"/>
      <c r="T58" s="347"/>
      <c r="U58" s="348"/>
      <c r="V58" s="347"/>
      <c r="W58" s="348"/>
      <c r="X58" s="347"/>
      <c r="Y58" s="348"/>
      <c r="Z58" s="347"/>
      <c r="AA58" s="348"/>
      <c r="AB58" s="303"/>
      <c r="AC58" s="152"/>
      <c r="AG58" s="117"/>
      <c r="AH58" s="117"/>
      <c r="AI58" s="130"/>
      <c r="AJ58" s="130"/>
      <c r="AK58" s="117"/>
      <c r="AL58" s="117"/>
      <c r="AM58" s="117"/>
      <c r="AN58" s="117"/>
      <c r="AO58" s="117"/>
      <c r="AP58" s="128"/>
      <c r="AQ58" s="117"/>
      <c r="AR58" s="89"/>
      <c r="AS58" s="89"/>
      <c r="AT58" s="87"/>
    </row>
    <row r="59" spans="1:47" ht="15" customHeight="1" x14ac:dyDescent="0.25">
      <c r="A59" s="181">
        <v>2</v>
      </c>
      <c r="B59" s="185" t="s">
        <v>622</v>
      </c>
      <c r="C59" s="105" t="s">
        <v>165</v>
      </c>
      <c r="D59" s="162"/>
      <c r="E59" s="306"/>
      <c r="F59" s="307">
        <v>1</v>
      </c>
      <c r="G59" s="307">
        <v>1</v>
      </c>
      <c r="H59" s="307"/>
      <c r="I59" s="307">
        <v>1</v>
      </c>
      <c r="J59" s="308"/>
      <c r="K59" s="309"/>
      <c r="L59" s="307"/>
      <c r="M59" s="310"/>
      <c r="N59" s="106"/>
      <c r="O59" s="107"/>
      <c r="P59" s="106"/>
      <c r="Q59" s="278"/>
      <c r="R59" s="309">
        <v>-1</v>
      </c>
      <c r="S59" s="308"/>
      <c r="T59" s="336"/>
      <c r="U59" s="337"/>
      <c r="V59" s="336"/>
      <c r="W59" s="337"/>
      <c r="X59" s="336"/>
      <c r="Y59" s="337"/>
      <c r="Z59" s="336"/>
      <c r="AA59" s="337"/>
      <c r="AB59" s="307"/>
      <c r="AC59" s="310"/>
      <c r="AG59" s="117" t="s">
        <v>77</v>
      </c>
      <c r="AH59" s="117" t="s">
        <v>167</v>
      </c>
      <c r="AI59" s="117" t="s">
        <v>164</v>
      </c>
      <c r="AJ59" s="117" t="s">
        <v>166</v>
      </c>
      <c r="AK59" s="94" t="s">
        <v>106</v>
      </c>
      <c r="AL59" s="117" t="s">
        <v>162</v>
      </c>
      <c r="AM59" s="117" t="s">
        <v>629</v>
      </c>
      <c r="AN59" s="117"/>
      <c r="AO59" s="117"/>
      <c r="AP59" s="128"/>
      <c r="AQ59" s="117"/>
      <c r="AR59" s="89"/>
      <c r="AS59" s="89"/>
      <c r="AT59" s="87"/>
      <c r="AU59" s="75"/>
    </row>
    <row r="60" spans="1:47" ht="15" customHeight="1" x14ac:dyDescent="0.25">
      <c r="A60" s="186"/>
      <c r="B60" s="187"/>
      <c r="C60" s="118" t="s">
        <v>627</v>
      </c>
      <c r="D60" s="119">
        <v>2648</v>
      </c>
      <c r="E60" s="120">
        <v>1394</v>
      </c>
      <c r="F60" s="121">
        <v>4161</v>
      </c>
      <c r="G60" s="120">
        <f>E60+2041</f>
        <v>3435</v>
      </c>
      <c r="H60" s="121">
        <v>4839</v>
      </c>
      <c r="I60" s="122">
        <f>G60-E60</f>
        <v>2041</v>
      </c>
      <c r="J60" s="123">
        <f>H60-F60</f>
        <v>678</v>
      </c>
      <c r="K60" s="124"/>
      <c r="L60" s="122">
        <f>K60</f>
        <v>0</v>
      </c>
      <c r="M60" s="125">
        <f>IF(L60&gt;0, 100, 0)</f>
        <v>0</v>
      </c>
      <c r="N60" s="126"/>
      <c r="O60" s="127"/>
      <c r="P60" s="126"/>
      <c r="Q60" s="279"/>
      <c r="R60" s="126">
        <v>120</v>
      </c>
      <c r="S60" s="332">
        <v>120</v>
      </c>
      <c r="T60" s="338"/>
      <c r="U60" s="339"/>
      <c r="V60" s="338"/>
      <c r="W60" s="339"/>
      <c r="X60" s="338"/>
      <c r="Y60" s="339"/>
      <c r="Z60" s="338"/>
      <c r="AA60" s="339"/>
      <c r="AB60" s="300"/>
      <c r="AC60" s="127"/>
      <c r="AG60" s="108">
        <f>SUM(E69:L69)</f>
        <v>37.849229999999999</v>
      </c>
      <c r="AH60" s="108">
        <f>SUM(E70:AC70)</f>
        <v>21.121142000000003</v>
      </c>
      <c r="AI60" s="286">
        <f>((E60*F60+H60*I60)-K60*M60-(R60*S60+T60*U60+V60*W60+X60*Y60+Z60*AA60+AB60*AC60)-P60*Q60)/1000000</f>
        <v>15.662433</v>
      </c>
      <c r="AJ60" s="117">
        <f>((E60*F60+H60*I60)-K60*M60-(R60*S60+T60*U60+V60*W60+X60*Y60+Z60*AA60+AB60*AC60)+N60*O60)/1000000</f>
        <v>15.662433</v>
      </c>
      <c r="AK60" s="108">
        <f>(SUM(E60:M60)-SUM(E61:M65))/1000</f>
        <v>15.648</v>
      </c>
      <c r="AL60" s="108">
        <f>SUM(E71:J73)</f>
        <v>5.8840000000000003</v>
      </c>
      <c r="AM60" s="159">
        <f>SUM(E74:J76)</f>
        <v>8.1219999999999999</v>
      </c>
      <c r="AN60" s="117"/>
      <c r="AO60" s="117"/>
      <c r="AP60" s="128"/>
      <c r="AQ60" s="117"/>
      <c r="AR60" s="89"/>
      <c r="AS60" s="89"/>
      <c r="AT60" s="87"/>
      <c r="AU60" s="75"/>
    </row>
    <row r="61" spans="1:47" ht="15" hidden="1" customHeight="1" x14ac:dyDescent="0.25">
      <c r="A61" s="186"/>
      <c r="B61" s="187"/>
      <c r="C61" s="131" t="s">
        <v>158</v>
      </c>
      <c r="D61" s="119">
        <f xml:space="preserve"> IF(D60 &lt;&gt; "",  D60,#REF!)</f>
        <v>2648</v>
      </c>
      <c r="E61" s="120"/>
      <c r="F61" s="121"/>
      <c r="G61" s="121"/>
      <c r="H61" s="121"/>
      <c r="I61" s="121"/>
      <c r="J61" s="132"/>
      <c r="K61" s="133"/>
      <c r="L61" s="129"/>
      <c r="M61" s="134"/>
      <c r="N61" s="135"/>
      <c r="O61" s="134"/>
      <c r="P61" s="135"/>
      <c r="Q61" s="280"/>
      <c r="R61" s="135"/>
      <c r="S61" s="333"/>
      <c r="T61" s="340"/>
      <c r="U61" s="341"/>
      <c r="V61" s="340"/>
      <c r="W61" s="341"/>
      <c r="X61" s="340"/>
      <c r="Y61" s="341"/>
      <c r="Z61" s="340"/>
      <c r="AA61" s="341"/>
      <c r="AB61" s="301"/>
      <c r="AC61" s="134"/>
      <c r="AG61" s="130"/>
      <c r="AH61" s="130"/>
      <c r="AI61" s="130"/>
      <c r="AJ61" s="130"/>
      <c r="AK61" s="130"/>
      <c r="AL61" s="130"/>
      <c r="AM61" s="130"/>
      <c r="AN61" s="117"/>
      <c r="AO61" s="117"/>
      <c r="AP61" s="128"/>
      <c r="AQ61" s="117"/>
      <c r="AR61" s="89"/>
      <c r="AS61" s="89"/>
      <c r="AT61" s="87"/>
      <c r="AU61" s="75"/>
    </row>
    <row r="62" spans="1:47" ht="15" hidden="1" customHeight="1" x14ac:dyDescent="0.25">
      <c r="A62" s="186"/>
      <c r="B62" s="187"/>
      <c r="C62" s="131" t="s">
        <v>158</v>
      </c>
      <c r="D62" s="119"/>
      <c r="E62" s="120"/>
      <c r="F62" s="121"/>
      <c r="G62" s="121"/>
      <c r="H62" s="121"/>
      <c r="I62" s="121"/>
      <c r="J62" s="132"/>
      <c r="K62" s="133"/>
      <c r="L62" s="129"/>
      <c r="M62" s="134"/>
      <c r="N62" s="135"/>
      <c r="O62" s="134"/>
      <c r="P62" s="135"/>
      <c r="Q62" s="280"/>
      <c r="R62" s="135"/>
      <c r="S62" s="333"/>
      <c r="T62" s="340"/>
      <c r="U62" s="341"/>
      <c r="V62" s="340"/>
      <c r="W62" s="341"/>
      <c r="X62" s="340"/>
      <c r="Y62" s="341"/>
      <c r="Z62" s="340"/>
      <c r="AA62" s="341"/>
      <c r="AB62" s="301"/>
      <c r="AC62" s="134"/>
      <c r="AG62" s="130"/>
      <c r="AH62" s="130"/>
      <c r="AI62" s="130"/>
      <c r="AJ62" s="130"/>
      <c r="AK62" s="130"/>
      <c r="AL62" s="130"/>
      <c r="AM62" s="130"/>
      <c r="AN62" s="117"/>
      <c r="AO62" s="117"/>
      <c r="AP62" s="128"/>
      <c r="AQ62" s="117"/>
      <c r="AR62" s="89"/>
      <c r="AS62" s="89"/>
      <c r="AT62" s="87"/>
      <c r="AU62" s="75"/>
    </row>
    <row r="63" spans="1:47" ht="15" customHeight="1" x14ac:dyDescent="0.25">
      <c r="A63" s="186"/>
      <c r="B63" s="187"/>
      <c r="C63" s="131" t="s">
        <v>159</v>
      </c>
      <c r="D63" s="136">
        <v>2100</v>
      </c>
      <c r="E63" s="120">
        <v>900</v>
      </c>
      <c r="F63" s="121"/>
      <c r="G63" s="121">
        <f>IF(AND(G60 &lt;&gt;"", E60=""), 900, 0)</f>
        <v>0</v>
      </c>
      <c r="H63" s="121"/>
      <c r="I63" s="121"/>
      <c r="J63" s="132"/>
      <c r="K63" s="133"/>
      <c r="L63" s="129"/>
      <c r="M63" s="134"/>
      <c r="N63" s="135"/>
      <c r="O63" s="134"/>
      <c r="P63" s="135"/>
      <c r="Q63" s="280"/>
      <c r="R63" s="135"/>
      <c r="S63" s="333"/>
      <c r="T63" s="340"/>
      <c r="U63" s="341"/>
      <c r="V63" s="340"/>
      <c r="W63" s="341"/>
      <c r="X63" s="340"/>
      <c r="Y63" s="341"/>
      <c r="Z63" s="340"/>
      <c r="AA63" s="341"/>
      <c r="AB63" s="301"/>
      <c r="AC63" s="134"/>
      <c r="AG63" s="117"/>
      <c r="AH63" s="117"/>
      <c r="AI63" s="117"/>
      <c r="AJ63" s="117"/>
      <c r="AK63" s="117"/>
      <c r="AL63" s="117"/>
      <c r="AM63" s="117"/>
      <c r="AN63" s="117"/>
      <c r="AO63" s="117"/>
      <c r="AP63" s="128"/>
      <c r="AQ63" s="117"/>
      <c r="AR63" s="89"/>
      <c r="AS63" s="89"/>
      <c r="AT63" s="87"/>
      <c r="AU63" s="75"/>
    </row>
    <row r="64" spans="1:47" ht="15" hidden="1" customHeight="1" x14ac:dyDescent="0.25">
      <c r="A64" s="186"/>
      <c r="B64" s="187"/>
      <c r="C64" s="131" t="s">
        <v>159</v>
      </c>
      <c r="D64" s="136">
        <v>2100</v>
      </c>
      <c r="E64" s="120"/>
      <c r="F64" s="121"/>
      <c r="G64" s="121"/>
      <c r="H64" s="121"/>
      <c r="I64" s="121"/>
      <c r="J64" s="132"/>
      <c r="K64" s="133"/>
      <c r="L64" s="129"/>
      <c r="M64" s="134"/>
      <c r="N64" s="135"/>
      <c r="O64" s="134"/>
      <c r="P64" s="135"/>
      <c r="Q64" s="280"/>
      <c r="R64" s="135"/>
      <c r="S64" s="333"/>
      <c r="T64" s="340"/>
      <c r="U64" s="341"/>
      <c r="V64" s="340"/>
      <c r="W64" s="341"/>
      <c r="X64" s="340"/>
      <c r="Y64" s="341"/>
      <c r="Z64" s="340"/>
      <c r="AA64" s="341"/>
      <c r="AB64" s="301"/>
      <c r="AC64" s="134"/>
      <c r="AG64" s="117"/>
      <c r="AH64" s="117"/>
      <c r="AI64" s="117"/>
      <c r="AJ64" s="117"/>
      <c r="AK64" s="117"/>
      <c r="AL64" s="117"/>
      <c r="AM64" s="117"/>
      <c r="AN64" s="117"/>
      <c r="AO64" s="117"/>
      <c r="AP64" s="128"/>
      <c r="AQ64" s="117"/>
      <c r="AR64" s="89"/>
      <c r="AS64" s="89"/>
      <c r="AT64" s="87"/>
      <c r="AU64" s="75"/>
    </row>
    <row r="65" spans="1:47" ht="15" hidden="1" customHeight="1" x14ac:dyDescent="0.25">
      <c r="A65" s="186"/>
      <c r="B65" s="187"/>
      <c r="C65" s="131" t="s">
        <v>159</v>
      </c>
      <c r="D65" s="136">
        <f>D63</f>
        <v>2100</v>
      </c>
      <c r="E65" s="120"/>
      <c r="F65" s="121"/>
      <c r="G65" s="121"/>
      <c r="H65" s="121"/>
      <c r="I65" s="121"/>
      <c r="J65" s="132"/>
      <c r="K65" s="133"/>
      <c r="L65" s="129"/>
      <c r="M65" s="134"/>
      <c r="N65" s="135"/>
      <c r="O65" s="134"/>
      <c r="P65" s="135"/>
      <c r="Q65" s="280"/>
      <c r="R65" s="135"/>
      <c r="S65" s="333"/>
      <c r="T65" s="340"/>
      <c r="U65" s="341"/>
      <c r="V65" s="340"/>
      <c r="W65" s="341"/>
      <c r="X65" s="340"/>
      <c r="Y65" s="341"/>
      <c r="Z65" s="340"/>
      <c r="AA65" s="341"/>
      <c r="AB65" s="301"/>
      <c r="AC65" s="134"/>
      <c r="AG65" s="117"/>
      <c r="AH65" s="117"/>
      <c r="AI65" s="117"/>
      <c r="AJ65" s="117"/>
      <c r="AK65" s="117"/>
      <c r="AL65" s="117"/>
      <c r="AM65" s="117"/>
      <c r="AN65" s="117"/>
      <c r="AO65" s="117"/>
      <c r="AP65" s="128"/>
      <c r="AQ65" s="117"/>
      <c r="AR65" s="89"/>
      <c r="AS65" s="89"/>
      <c r="AT65" s="87"/>
      <c r="AU65" s="75"/>
    </row>
    <row r="66" spans="1:47" ht="15" customHeight="1" x14ac:dyDescent="0.25">
      <c r="A66" s="186"/>
      <c r="B66" s="187"/>
      <c r="C66" s="131" t="s">
        <v>175</v>
      </c>
      <c r="D66" s="119">
        <f>D48</f>
        <v>1823</v>
      </c>
      <c r="E66" s="120"/>
      <c r="F66" s="121"/>
      <c r="G66" s="121">
        <v>2238</v>
      </c>
      <c r="H66" s="121"/>
      <c r="I66" s="121"/>
      <c r="J66" s="132"/>
      <c r="K66" s="133"/>
      <c r="L66" s="129"/>
      <c r="M66" s="134"/>
      <c r="N66" s="135"/>
      <c r="O66" s="134"/>
      <c r="P66" s="135"/>
      <c r="Q66" s="280"/>
      <c r="R66" s="135"/>
      <c r="S66" s="333"/>
      <c r="T66" s="340"/>
      <c r="U66" s="341"/>
      <c r="V66" s="340"/>
      <c r="W66" s="341"/>
      <c r="X66" s="340"/>
      <c r="Y66" s="341"/>
      <c r="Z66" s="340"/>
      <c r="AA66" s="341"/>
      <c r="AB66" s="301"/>
      <c r="AC66" s="134"/>
      <c r="AG66" s="117"/>
      <c r="AH66" s="117"/>
      <c r="AI66" s="130"/>
      <c r="AJ66" s="130"/>
      <c r="AK66" s="117"/>
      <c r="AL66" s="117"/>
      <c r="AM66" s="117"/>
      <c r="AN66" s="117"/>
      <c r="AO66" s="117"/>
      <c r="AP66" s="128"/>
      <c r="AQ66" s="117"/>
      <c r="AR66" s="89"/>
      <c r="AS66" s="89"/>
      <c r="AT66" s="87"/>
      <c r="AU66" s="75"/>
    </row>
    <row r="67" spans="1:47" ht="15" customHeight="1" x14ac:dyDescent="0.25">
      <c r="A67" s="186"/>
      <c r="B67" s="187"/>
      <c r="C67" s="131" t="s">
        <v>175</v>
      </c>
      <c r="D67" s="136">
        <f>D66</f>
        <v>1823</v>
      </c>
      <c r="E67" s="120"/>
      <c r="F67" s="121"/>
      <c r="G67" s="121"/>
      <c r="H67" s="121"/>
      <c r="I67" s="121"/>
      <c r="J67" s="132"/>
      <c r="K67" s="133"/>
      <c r="L67" s="129"/>
      <c r="M67" s="134"/>
      <c r="N67" s="135"/>
      <c r="O67" s="134"/>
      <c r="P67" s="135"/>
      <c r="Q67" s="280"/>
      <c r="R67" s="135"/>
      <c r="S67" s="333"/>
      <c r="T67" s="340"/>
      <c r="U67" s="341"/>
      <c r="V67" s="340"/>
      <c r="W67" s="341"/>
      <c r="X67" s="340"/>
      <c r="Y67" s="341"/>
      <c r="Z67" s="340"/>
      <c r="AA67" s="341"/>
      <c r="AB67" s="301"/>
      <c r="AC67" s="134"/>
      <c r="AG67" s="117"/>
      <c r="AH67" s="117"/>
      <c r="AI67" s="130"/>
      <c r="AJ67" s="130"/>
      <c r="AK67" s="117"/>
      <c r="AL67" s="117"/>
      <c r="AM67" s="117"/>
      <c r="AN67" s="117"/>
      <c r="AO67" s="117"/>
      <c r="AP67" s="128"/>
      <c r="AQ67" s="117"/>
      <c r="AR67" s="89"/>
      <c r="AS67" s="89"/>
      <c r="AT67" s="87"/>
      <c r="AU67" s="75"/>
    </row>
    <row r="68" spans="1:47" ht="15" customHeight="1" thickBot="1" x14ac:dyDescent="0.3">
      <c r="A68" s="186"/>
      <c r="B68" s="187"/>
      <c r="C68" s="131" t="s">
        <v>175</v>
      </c>
      <c r="D68" s="136">
        <f>D66</f>
        <v>1823</v>
      </c>
      <c r="E68" s="120"/>
      <c r="F68" s="121"/>
      <c r="G68" s="121"/>
      <c r="H68" s="121"/>
      <c r="I68" s="121"/>
      <c r="J68" s="132"/>
      <c r="K68" s="133"/>
      <c r="L68" s="129"/>
      <c r="M68" s="134"/>
      <c r="N68" s="135"/>
      <c r="O68" s="134"/>
      <c r="P68" s="135"/>
      <c r="Q68" s="280"/>
      <c r="R68" s="135"/>
      <c r="S68" s="333"/>
      <c r="T68" s="340"/>
      <c r="U68" s="341"/>
      <c r="V68" s="340"/>
      <c r="W68" s="341"/>
      <c r="X68" s="340"/>
      <c r="Y68" s="341"/>
      <c r="Z68" s="340"/>
      <c r="AA68" s="341"/>
      <c r="AB68" s="301"/>
      <c r="AC68" s="134"/>
      <c r="AG68" s="117"/>
      <c r="AH68" s="117"/>
      <c r="AI68" s="130"/>
      <c r="AJ68" s="130"/>
      <c r="AK68" s="117"/>
      <c r="AL68" s="117"/>
      <c r="AM68" s="117"/>
      <c r="AN68" s="117"/>
      <c r="AO68" s="117"/>
      <c r="AP68" s="128"/>
      <c r="AQ68" s="117"/>
      <c r="AR68" s="89"/>
      <c r="AS68" s="89"/>
      <c r="AT68" s="87"/>
      <c r="AU68" s="75"/>
    </row>
    <row r="69" spans="1:47" ht="15" hidden="1" customHeight="1" x14ac:dyDescent="0.25">
      <c r="A69" s="190"/>
      <c r="B69" s="191"/>
      <c r="C69" s="163" t="s">
        <v>160</v>
      </c>
      <c r="D69" s="164"/>
      <c r="E69" s="165">
        <f t="shared" ref="E69:M69" si="33">(E60*$D60-E61*$D61-E62*$D62-E63*$D63-E64*$D64-E65*$D65-E66*$D66-E67*$D67-E68*$D68)/1000000</f>
        <v>1.801312</v>
      </c>
      <c r="F69" s="165">
        <f t="shared" si="33"/>
        <v>11.018328</v>
      </c>
      <c r="G69" s="165">
        <f t="shared" si="33"/>
        <v>5.016006</v>
      </c>
      <c r="H69" s="165">
        <f t="shared" si="33"/>
        <v>12.813672</v>
      </c>
      <c r="I69" s="165">
        <f t="shared" si="33"/>
        <v>5.4045680000000003</v>
      </c>
      <c r="J69" s="166">
        <f t="shared" si="33"/>
        <v>1.7953440000000001</v>
      </c>
      <c r="K69" s="167">
        <f t="shared" si="33"/>
        <v>0</v>
      </c>
      <c r="L69" s="165">
        <f t="shared" si="33"/>
        <v>0</v>
      </c>
      <c r="M69" s="165">
        <f t="shared" si="33"/>
        <v>0</v>
      </c>
      <c r="N69" s="169"/>
      <c r="O69" s="170"/>
      <c r="P69" s="169"/>
      <c r="Q69" s="281"/>
      <c r="R69" s="327">
        <f t="shared" ref="R69:AC69" si="34">(R60*$D60)/1000000</f>
        <v>0.31775999999999999</v>
      </c>
      <c r="S69" s="143">
        <f t="shared" si="34"/>
        <v>0.31775999999999999</v>
      </c>
      <c r="T69" s="342">
        <f t="shared" si="34"/>
        <v>0</v>
      </c>
      <c r="U69" s="343">
        <f t="shared" si="34"/>
        <v>0</v>
      </c>
      <c r="V69" s="342">
        <f t="shared" si="34"/>
        <v>0</v>
      </c>
      <c r="W69" s="343">
        <f t="shared" si="34"/>
        <v>0</v>
      </c>
      <c r="X69" s="342">
        <f t="shared" ref="X69:AA69" si="35">(X60*$D60)/1000000</f>
        <v>0</v>
      </c>
      <c r="Y69" s="343">
        <f t="shared" si="35"/>
        <v>0</v>
      </c>
      <c r="Z69" s="342">
        <f t="shared" si="35"/>
        <v>0</v>
      </c>
      <c r="AA69" s="343">
        <f t="shared" si="35"/>
        <v>0</v>
      </c>
      <c r="AB69" s="142">
        <f t="shared" si="34"/>
        <v>0</v>
      </c>
      <c r="AC69" s="168">
        <f t="shared" si="34"/>
        <v>0</v>
      </c>
      <c r="AG69" s="117"/>
      <c r="AH69" s="117"/>
      <c r="AI69" s="130"/>
      <c r="AJ69" s="130"/>
      <c r="AK69" s="117"/>
      <c r="AL69" s="117"/>
      <c r="AM69" s="117"/>
      <c r="AN69" s="117"/>
      <c r="AO69" s="117"/>
      <c r="AP69" s="128"/>
      <c r="AQ69" s="117"/>
      <c r="AR69" s="89"/>
      <c r="AS69" s="89"/>
      <c r="AT69" s="87"/>
      <c r="AU69" s="75"/>
    </row>
    <row r="70" spans="1:47" ht="15" hidden="1" customHeight="1" x14ac:dyDescent="0.25">
      <c r="A70" s="186"/>
      <c r="B70" s="187"/>
      <c r="C70" s="109" t="s">
        <v>163</v>
      </c>
      <c r="D70" s="136"/>
      <c r="E70" s="137">
        <f t="shared" ref="E70:M70" si="36">E69*E59</f>
        <v>0</v>
      </c>
      <c r="F70" s="137">
        <f t="shared" si="36"/>
        <v>11.018328</v>
      </c>
      <c r="G70" s="137">
        <f t="shared" si="36"/>
        <v>5.016006</v>
      </c>
      <c r="H70" s="137">
        <f t="shared" si="36"/>
        <v>0</v>
      </c>
      <c r="I70" s="137">
        <f t="shared" si="36"/>
        <v>5.4045680000000003</v>
      </c>
      <c r="J70" s="138">
        <f t="shared" si="36"/>
        <v>0</v>
      </c>
      <c r="K70" s="139">
        <f t="shared" si="36"/>
        <v>0</v>
      </c>
      <c r="L70" s="137">
        <f t="shared" si="36"/>
        <v>0</v>
      </c>
      <c r="M70" s="140">
        <f t="shared" si="36"/>
        <v>0</v>
      </c>
      <c r="N70" s="141"/>
      <c r="O70" s="125"/>
      <c r="P70" s="141"/>
      <c r="Q70" s="282"/>
      <c r="R70" s="139">
        <f t="shared" ref="R70:AC70" si="37">R69*R59</f>
        <v>-0.31775999999999999</v>
      </c>
      <c r="S70" s="138">
        <f t="shared" si="37"/>
        <v>0</v>
      </c>
      <c r="T70" s="342">
        <f t="shared" si="37"/>
        <v>0</v>
      </c>
      <c r="U70" s="344">
        <f t="shared" si="37"/>
        <v>0</v>
      </c>
      <c r="V70" s="342">
        <f t="shared" si="37"/>
        <v>0</v>
      </c>
      <c r="W70" s="344">
        <f t="shared" si="37"/>
        <v>0</v>
      </c>
      <c r="X70" s="342">
        <f t="shared" ref="X70:AA70" si="38">X69*X59</f>
        <v>0</v>
      </c>
      <c r="Y70" s="344">
        <f t="shared" si="38"/>
        <v>0</v>
      </c>
      <c r="Z70" s="342">
        <f t="shared" si="38"/>
        <v>0</v>
      </c>
      <c r="AA70" s="344">
        <f t="shared" si="38"/>
        <v>0</v>
      </c>
      <c r="AB70" s="137">
        <f t="shared" si="37"/>
        <v>0</v>
      </c>
      <c r="AC70" s="140">
        <f t="shared" si="37"/>
        <v>0</v>
      </c>
      <c r="AG70" s="117"/>
      <c r="AH70" s="117"/>
      <c r="AI70" s="130"/>
      <c r="AJ70" s="130"/>
      <c r="AK70" s="117"/>
      <c r="AL70" s="117"/>
      <c r="AM70" s="117"/>
      <c r="AN70" s="117"/>
      <c r="AO70" s="117"/>
      <c r="AP70" s="128"/>
      <c r="AQ70" s="117"/>
      <c r="AR70" s="89"/>
      <c r="AS70" s="89"/>
      <c r="AT70" s="87"/>
      <c r="AU70" s="75"/>
    </row>
    <row r="71" spans="1:47" ht="15" hidden="1" customHeight="1" x14ac:dyDescent="0.25">
      <c r="A71" s="186"/>
      <c r="B71" s="187"/>
      <c r="C71" s="109" t="s">
        <v>176</v>
      </c>
      <c r="D71" s="136"/>
      <c r="E71" s="137">
        <f t="shared" ref="E71:J73" si="39">IF(E66&gt;0, (E66+$D66*2)/1000, 0)</f>
        <v>0</v>
      </c>
      <c r="F71" s="142">
        <f t="shared" si="39"/>
        <v>0</v>
      </c>
      <c r="G71" s="142">
        <f t="shared" si="39"/>
        <v>5.8840000000000003</v>
      </c>
      <c r="H71" s="142">
        <f t="shared" si="39"/>
        <v>0</v>
      </c>
      <c r="I71" s="142">
        <f t="shared" si="39"/>
        <v>0</v>
      </c>
      <c r="J71" s="143">
        <f t="shared" si="39"/>
        <v>0</v>
      </c>
      <c r="K71" s="139"/>
      <c r="L71" s="142"/>
      <c r="M71" s="144"/>
      <c r="N71" s="141"/>
      <c r="O71" s="125"/>
      <c r="P71" s="141"/>
      <c r="Q71" s="282"/>
      <c r="R71" s="141"/>
      <c r="S71" s="334"/>
      <c r="T71" s="345"/>
      <c r="U71" s="346"/>
      <c r="V71" s="345"/>
      <c r="W71" s="346"/>
      <c r="X71" s="345"/>
      <c r="Y71" s="346"/>
      <c r="Z71" s="345"/>
      <c r="AA71" s="346"/>
      <c r="AB71" s="302"/>
      <c r="AC71" s="125"/>
      <c r="AG71" s="117"/>
      <c r="AH71" s="117"/>
      <c r="AI71" s="130"/>
      <c r="AJ71" s="130"/>
      <c r="AK71" s="117"/>
      <c r="AL71" s="117"/>
      <c r="AM71" s="117"/>
      <c r="AN71" s="117"/>
      <c r="AO71" s="117"/>
      <c r="AP71" s="128"/>
      <c r="AQ71" s="117"/>
      <c r="AR71" s="89"/>
      <c r="AS71" s="89"/>
      <c r="AT71" s="87"/>
      <c r="AU71" s="75"/>
    </row>
    <row r="72" spans="1:47" ht="15" hidden="1" customHeight="1" x14ac:dyDescent="0.25">
      <c r="A72" s="192"/>
      <c r="B72" s="193"/>
      <c r="C72" s="109" t="s">
        <v>176</v>
      </c>
      <c r="D72" s="136"/>
      <c r="E72" s="137">
        <f t="shared" si="39"/>
        <v>0</v>
      </c>
      <c r="F72" s="142">
        <f t="shared" si="39"/>
        <v>0</v>
      </c>
      <c r="G72" s="142">
        <f t="shared" si="39"/>
        <v>0</v>
      </c>
      <c r="H72" s="142">
        <f t="shared" si="39"/>
        <v>0</v>
      </c>
      <c r="I72" s="142">
        <f t="shared" si="39"/>
        <v>0</v>
      </c>
      <c r="J72" s="143">
        <f t="shared" si="39"/>
        <v>0</v>
      </c>
      <c r="K72" s="139"/>
      <c r="L72" s="142"/>
      <c r="M72" s="144"/>
      <c r="N72" s="141"/>
      <c r="O72" s="125"/>
      <c r="P72" s="141"/>
      <c r="Q72" s="282"/>
      <c r="R72" s="141"/>
      <c r="S72" s="334"/>
      <c r="T72" s="345"/>
      <c r="U72" s="346"/>
      <c r="V72" s="345"/>
      <c r="W72" s="346"/>
      <c r="X72" s="345"/>
      <c r="Y72" s="346"/>
      <c r="Z72" s="345"/>
      <c r="AA72" s="346"/>
      <c r="AB72" s="302"/>
      <c r="AC72" s="125"/>
      <c r="AG72" s="117"/>
      <c r="AH72" s="117"/>
      <c r="AI72" s="130"/>
      <c r="AJ72" s="130"/>
      <c r="AK72" s="117"/>
      <c r="AL72" s="117"/>
      <c r="AM72" s="117"/>
      <c r="AN72" s="117"/>
      <c r="AO72" s="117"/>
      <c r="AP72" s="128"/>
      <c r="AQ72" s="117"/>
      <c r="AR72" s="89"/>
      <c r="AS72" s="89"/>
      <c r="AT72" s="87"/>
      <c r="AU72" s="75"/>
    </row>
    <row r="73" spans="1:47" ht="15" hidden="1" customHeight="1" x14ac:dyDescent="0.25">
      <c r="A73" s="192"/>
      <c r="B73" s="193"/>
      <c r="C73" s="109" t="s">
        <v>176</v>
      </c>
      <c r="D73" s="136"/>
      <c r="E73" s="137">
        <f t="shared" si="39"/>
        <v>0</v>
      </c>
      <c r="F73" s="142">
        <f t="shared" si="39"/>
        <v>0</v>
      </c>
      <c r="G73" s="142">
        <f t="shared" si="39"/>
        <v>0</v>
      </c>
      <c r="H73" s="142">
        <f t="shared" si="39"/>
        <v>0</v>
      </c>
      <c r="I73" s="142">
        <f t="shared" si="39"/>
        <v>0</v>
      </c>
      <c r="J73" s="143">
        <f t="shared" si="39"/>
        <v>0</v>
      </c>
      <c r="K73" s="139"/>
      <c r="L73" s="142"/>
      <c r="M73" s="144"/>
      <c r="N73" s="141"/>
      <c r="O73" s="125"/>
      <c r="P73" s="141"/>
      <c r="Q73" s="282"/>
      <c r="R73" s="141"/>
      <c r="S73" s="334"/>
      <c r="T73" s="345"/>
      <c r="U73" s="346"/>
      <c r="V73" s="345"/>
      <c r="W73" s="346"/>
      <c r="X73" s="345"/>
      <c r="Y73" s="346"/>
      <c r="Z73" s="345"/>
      <c r="AA73" s="346"/>
      <c r="AB73" s="302"/>
      <c r="AC73" s="125"/>
      <c r="AG73" s="117"/>
      <c r="AH73" s="117"/>
      <c r="AI73" s="130"/>
      <c r="AJ73" s="130"/>
      <c r="AK73" s="117"/>
      <c r="AL73" s="117"/>
      <c r="AM73" s="117"/>
      <c r="AN73" s="117"/>
      <c r="AO73" s="117"/>
      <c r="AP73" s="128"/>
      <c r="AQ73" s="117"/>
      <c r="AR73" s="89"/>
      <c r="AS73" s="89"/>
      <c r="AT73" s="87"/>
      <c r="AU73" s="75"/>
    </row>
    <row r="74" spans="1:47" ht="15" hidden="1" customHeight="1" x14ac:dyDescent="0.25">
      <c r="A74" s="194"/>
      <c r="B74" s="195"/>
      <c r="C74" s="109" t="s">
        <v>628</v>
      </c>
      <c r="D74" s="136"/>
      <c r="E74" s="137">
        <f t="shared" ref="E74:J76" si="40">IF(E66&gt;0, (E66+$D66)*2/1000, 0)</f>
        <v>0</v>
      </c>
      <c r="F74" s="142">
        <f t="shared" si="40"/>
        <v>0</v>
      </c>
      <c r="G74" s="142">
        <f t="shared" si="40"/>
        <v>8.1219999999999999</v>
      </c>
      <c r="H74" s="142">
        <f t="shared" si="40"/>
        <v>0</v>
      </c>
      <c r="I74" s="142">
        <f t="shared" si="40"/>
        <v>0</v>
      </c>
      <c r="J74" s="143">
        <f t="shared" si="40"/>
        <v>0</v>
      </c>
      <c r="K74" s="139"/>
      <c r="L74" s="142"/>
      <c r="M74" s="144"/>
      <c r="N74" s="141"/>
      <c r="O74" s="125"/>
      <c r="P74" s="141"/>
      <c r="Q74" s="282"/>
      <c r="R74" s="141"/>
      <c r="S74" s="334"/>
      <c r="T74" s="345"/>
      <c r="U74" s="346"/>
      <c r="V74" s="345"/>
      <c r="W74" s="346"/>
      <c r="X74" s="345"/>
      <c r="Y74" s="346"/>
      <c r="Z74" s="345"/>
      <c r="AA74" s="346"/>
      <c r="AB74" s="302"/>
      <c r="AC74" s="125"/>
      <c r="AG74" s="117"/>
      <c r="AH74" s="117"/>
      <c r="AI74" s="130"/>
      <c r="AJ74" s="130"/>
      <c r="AK74" s="117"/>
      <c r="AL74" s="117"/>
      <c r="AM74" s="117"/>
      <c r="AN74" s="117"/>
      <c r="AO74" s="117"/>
      <c r="AP74" s="128"/>
      <c r="AQ74" s="117"/>
      <c r="AR74" s="89"/>
      <c r="AS74" s="89"/>
      <c r="AT74" s="87"/>
      <c r="AU74" s="75"/>
    </row>
    <row r="75" spans="1:47" ht="15" hidden="1" customHeight="1" x14ac:dyDescent="0.25">
      <c r="A75" s="186"/>
      <c r="B75" s="187"/>
      <c r="C75" s="109" t="s">
        <v>628</v>
      </c>
      <c r="D75" s="136"/>
      <c r="E75" s="137">
        <f t="shared" si="40"/>
        <v>0</v>
      </c>
      <c r="F75" s="142">
        <f t="shared" si="40"/>
        <v>0</v>
      </c>
      <c r="G75" s="142">
        <f t="shared" si="40"/>
        <v>0</v>
      </c>
      <c r="H75" s="142">
        <f t="shared" si="40"/>
        <v>0</v>
      </c>
      <c r="I75" s="142">
        <f t="shared" si="40"/>
        <v>0</v>
      </c>
      <c r="J75" s="143">
        <f t="shared" si="40"/>
        <v>0</v>
      </c>
      <c r="K75" s="139"/>
      <c r="L75" s="142"/>
      <c r="M75" s="144"/>
      <c r="N75" s="141"/>
      <c r="O75" s="125"/>
      <c r="P75" s="141"/>
      <c r="Q75" s="282"/>
      <c r="R75" s="141"/>
      <c r="S75" s="334"/>
      <c r="T75" s="345"/>
      <c r="U75" s="346"/>
      <c r="V75" s="345"/>
      <c r="W75" s="346"/>
      <c r="X75" s="345"/>
      <c r="Y75" s="346"/>
      <c r="Z75" s="345"/>
      <c r="AA75" s="346"/>
      <c r="AB75" s="302"/>
      <c r="AC75" s="125"/>
      <c r="AG75" s="117"/>
      <c r="AH75" s="117"/>
      <c r="AI75" s="130"/>
      <c r="AJ75" s="130"/>
      <c r="AK75" s="117"/>
      <c r="AL75" s="117"/>
      <c r="AM75" s="117"/>
      <c r="AN75" s="117"/>
      <c r="AO75" s="117"/>
      <c r="AP75" s="128"/>
      <c r="AQ75" s="117"/>
      <c r="AR75" s="89"/>
      <c r="AS75" s="89"/>
      <c r="AT75" s="87"/>
      <c r="AU75" s="75"/>
    </row>
    <row r="76" spans="1:47" ht="15" hidden="1" customHeight="1" thickBot="1" x14ac:dyDescent="0.3">
      <c r="A76" s="188"/>
      <c r="B76" s="189"/>
      <c r="C76" s="109" t="s">
        <v>628</v>
      </c>
      <c r="D76" s="145"/>
      <c r="E76" s="146">
        <f t="shared" si="40"/>
        <v>0</v>
      </c>
      <c r="F76" s="147">
        <f t="shared" si="40"/>
        <v>0</v>
      </c>
      <c r="G76" s="147">
        <f t="shared" si="40"/>
        <v>0</v>
      </c>
      <c r="H76" s="147">
        <f t="shared" si="40"/>
        <v>0</v>
      </c>
      <c r="I76" s="147">
        <f t="shared" si="40"/>
        <v>0</v>
      </c>
      <c r="J76" s="148">
        <f t="shared" si="40"/>
        <v>0</v>
      </c>
      <c r="K76" s="149"/>
      <c r="L76" s="147"/>
      <c r="M76" s="150"/>
      <c r="N76" s="151"/>
      <c r="O76" s="152"/>
      <c r="P76" s="151"/>
      <c r="Q76" s="283"/>
      <c r="R76" s="151"/>
      <c r="S76" s="335"/>
      <c r="T76" s="347"/>
      <c r="U76" s="348"/>
      <c r="V76" s="347"/>
      <c r="W76" s="348"/>
      <c r="X76" s="347"/>
      <c r="Y76" s="348"/>
      <c r="Z76" s="347"/>
      <c r="AA76" s="348"/>
      <c r="AB76" s="303"/>
      <c r="AC76" s="152"/>
      <c r="AG76" s="117"/>
      <c r="AH76" s="117"/>
      <c r="AI76" s="130"/>
      <c r="AJ76" s="130"/>
      <c r="AK76" s="117"/>
      <c r="AL76" s="117"/>
      <c r="AM76" s="117"/>
      <c r="AN76" s="117"/>
      <c r="AO76" s="117"/>
      <c r="AP76" s="128"/>
      <c r="AQ76" s="117"/>
      <c r="AR76" s="89"/>
      <c r="AS76" s="89"/>
      <c r="AT76" s="87"/>
      <c r="AU76" s="75"/>
    </row>
    <row r="77" spans="1:47" s="82" customFormat="1" ht="15" customHeight="1" x14ac:dyDescent="0.25">
      <c r="A77" s="181">
        <v>3</v>
      </c>
      <c r="B77" s="185" t="s">
        <v>623</v>
      </c>
      <c r="C77" s="105" t="s">
        <v>165</v>
      </c>
      <c r="D77" s="162"/>
      <c r="E77" s="306"/>
      <c r="F77" s="307"/>
      <c r="G77" s="307">
        <v>1</v>
      </c>
      <c r="H77" s="307">
        <v>1</v>
      </c>
      <c r="I77" s="307">
        <v>1</v>
      </c>
      <c r="J77" s="308">
        <v>1</v>
      </c>
      <c r="K77" s="309"/>
      <c r="L77" s="307"/>
      <c r="M77" s="310"/>
      <c r="N77" s="106"/>
      <c r="O77" s="107"/>
      <c r="P77" s="106"/>
      <c r="Q77" s="278"/>
      <c r="R77" s="309">
        <v>-1</v>
      </c>
      <c r="S77" s="308">
        <v>-1</v>
      </c>
      <c r="T77" s="336"/>
      <c r="U77" s="337"/>
      <c r="V77" s="336"/>
      <c r="W77" s="337"/>
      <c r="X77" s="336"/>
      <c r="Y77" s="337"/>
      <c r="Z77" s="336"/>
      <c r="AA77" s="337"/>
      <c r="AB77" s="307"/>
      <c r="AC77" s="310"/>
      <c r="AG77" s="117" t="s">
        <v>77</v>
      </c>
      <c r="AH77" s="117" t="s">
        <v>167</v>
      </c>
      <c r="AI77" s="117" t="s">
        <v>164</v>
      </c>
      <c r="AJ77" s="117" t="s">
        <v>166</v>
      </c>
      <c r="AK77" s="94" t="s">
        <v>106</v>
      </c>
      <c r="AL77" s="117" t="s">
        <v>162</v>
      </c>
      <c r="AM77" s="117" t="s">
        <v>629</v>
      </c>
      <c r="AN77" s="117"/>
      <c r="AO77" s="117"/>
      <c r="AP77" s="128"/>
      <c r="AQ77" s="117"/>
      <c r="AR77" s="89"/>
      <c r="AS77" s="89"/>
      <c r="AT77" s="89"/>
    </row>
    <row r="78" spans="1:47" s="82" customFormat="1" ht="15" customHeight="1" x14ac:dyDescent="0.25">
      <c r="A78" s="186"/>
      <c r="B78" s="187"/>
      <c r="C78" s="118" t="s">
        <v>627</v>
      </c>
      <c r="D78" s="119">
        <v>2644</v>
      </c>
      <c r="E78" s="120"/>
      <c r="F78" s="121"/>
      <c r="G78" s="120">
        <v>3438</v>
      </c>
      <c r="H78" s="121">
        <v>4108</v>
      </c>
      <c r="I78" s="122">
        <f>G78-E78</f>
        <v>3438</v>
      </c>
      <c r="J78" s="123">
        <f>H78-F78</f>
        <v>4108</v>
      </c>
      <c r="K78" s="124"/>
      <c r="L78" s="122">
        <f>K78</f>
        <v>0</v>
      </c>
      <c r="M78" s="125">
        <f>IF(L78&gt;0, 100, 0)</f>
        <v>0</v>
      </c>
      <c r="N78" s="126"/>
      <c r="O78" s="127"/>
      <c r="P78" s="126"/>
      <c r="Q78" s="279"/>
      <c r="R78" s="126">
        <v>120</v>
      </c>
      <c r="S78" s="332">
        <v>120</v>
      </c>
      <c r="T78" s="338"/>
      <c r="U78" s="339"/>
      <c r="V78" s="338"/>
      <c r="W78" s="339"/>
      <c r="X78" s="338"/>
      <c r="Y78" s="339"/>
      <c r="Z78" s="338"/>
      <c r="AA78" s="339"/>
      <c r="AB78" s="300"/>
      <c r="AC78" s="127"/>
      <c r="AG78" s="108">
        <f>SUM(E87:L87)</f>
        <v>34.223488000000003</v>
      </c>
      <c r="AH78" s="108">
        <f>SUM(E88:AC88)</f>
        <v>33.58892800000001</v>
      </c>
      <c r="AI78" s="286">
        <f>((E78*F78+H78*I78)-K78*M78-(R78*S78+T78*U78+V78*W78+X78*Y78+Z78*AA78+AB78*AC78)-P78*Q78)/1000000</f>
        <v>14.108904000000001</v>
      </c>
      <c r="AJ78" s="117">
        <f>((E78*F78+H78*I78)-K78*M78-(R78*S78+T78*U78+V78*W78+X78*Y78+Z78*AA78+AB78*AC78)+N78*O78)/1000000</f>
        <v>14.108904000000001</v>
      </c>
      <c r="AK78" s="108">
        <f>(SUM(E78:M78)-SUM(E79:M83))/1000</f>
        <v>14.192</v>
      </c>
      <c r="AL78" s="108">
        <f>SUM(E89:J91)</f>
        <v>4.383</v>
      </c>
      <c r="AM78" s="159">
        <f>SUM(E92:J94)</f>
        <v>11.448</v>
      </c>
      <c r="AN78" s="117"/>
      <c r="AO78" s="117"/>
      <c r="AP78" s="128"/>
      <c r="AQ78" s="117"/>
      <c r="AR78" s="89"/>
      <c r="AS78" s="89"/>
      <c r="AT78" s="89"/>
    </row>
    <row r="79" spans="1:47" s="82" customFormat="1" ht="15" hidden="1" customHeight="1" x14ac:dyDescent="0.25">
      <c r="A79" s="186"/>
      <c r="B79" s="187"/>
      <c r="C79" s="131" t="s">
        <v>158</v>
      </c>
      <c r="D79" s="119">
        <f>D78</f>
        <v>2644</v>
      </c>
      <c r="E79" s="120"/>
      <c r="F79" s="121"/>
      <c r="G79" s="121"/>
      <c r="H79" s="121"/>
      <c r="I79" s="121"/>
      <c r="J79" s="132"/>
      <c r="K79" s="133"/>
      <c r="L79" s="129"/>
      <c r="M79" s="134"/>
      <c r="N79" s="135"/>
      <c r="O79" s="134"/>
      <c r="P79" s="135"/>
      <c r="Q79" s="280"/>
      <c r="R79" s="135"/>
      <c r="S79" s="333"/>
      <c r="T79" s="340"/>
      <c r="U79" s="341"/>
      <c r="V79" s="340"/>
      <c r="W79" s="341"/>
      <c r="X79" s="340"/>
      <c r="Y79" s="341"/>
      <c r="Z79" s="340"/>
      <c r="AA79" s="341"/>
      <c r="AB79" s="301"/>
      <c r="AC79" s="134"/>
      <c r="AG79" s="130"/>
      <c r="AH79" s="130"/>
      <c r="AI79" s="130"/>
      <c r="AJ79" s="130"/>
      <c r="AK79" s="130"/>
      <c r="AL79" s="130"/>
      <c r="AM79" s="130"/>
      <c r="AN79" s="117"/>
      <c r="AO79" s="117"/>
      <c r="AP79" s="128"/>
      <c r="AQ79" s="117"/>
      <c r="AR79" s="89"/>
      <c r="AS79" s="89"/>
      <c r="AT79" s="89"/>
    </row>
    <row r="80" spans="1:47" s="82" customFormat="1" ht="15" hidden="1" customHeight="1" x14ac:dyDescent="0.25">
      <c r="A80" s="186"/>
      <c r="B80" s="187"/>
      <c r="C80" s="131" t="s">
        <v>158</v>
      </c>
      <c r="D80" s="119"/>
      <c r="E80" s="120"/>
      <c r="F80" s="121"/>
      <c r="G80" s="121"/>
      <c r="H80" s="121"/>
      <c r="I80" s="121"/>
      <c r="J80" s="132"/>
      <c r="K80" s="133"/>
      <c r="L80" s="129"/>
      <c r="M80" s="134"/>
      <c r="N80" s="135"/>
      <c r="O80" s="134"/>
      <c r="P80" s="135"/>
      <c r="Q80" s="280"/>
      <c r="R80" s="135"/>
      <c r="S80" s="333"/>
      <c r="T80" s="340"/>
      <c r="U80" s="341"/>
      <c r="V80" s="340"/>
      <c r="W80" s="341"/>
      <c r="X80" s="340"/>
      <c r="Y80" s="341"/>
      <c r="Z80" s="340"/>
      <c r="AA80" s="341"/>
      <c r="AB80" s="301"/>
      <c r="AC80" s="134"/>
      <c r="AG80" s="117"/>
      <c r="AH80" s="117"/>
      <c r="AI80" s="117"/>
      <c r="AJ80" s="117"/>
      <c r="AK80" s="117"/>
      <c r="AL80" s="117"/>
      <c r="AM80" s="117"/>
      <c r="AN80" s="117"/>
      <c r="AO80" s="117"/>
      <c r="AP80" s="128"/>
      <c r="AQ80" s="117"/>
      <c r="AR80" s="89"/>
      <c r="AS80" s="89"/>
      <c r="AT80" s="89"/>
    </row>
    <row r="81" spans="1:46" s="82" customFormat="1" ht="15" customHeight="1" x14ac:dyDescent="0.25">
      <c r="A81" s="186"/>
      <c r="B81" s="187"/>
      <c r="C81" s="131" t="s">
        <v>159</v>
      </c>
      <c r="D81" s="136">
        <v>2100</v>
      </c>
      <c r="E81" s="120"/>
      <c r="F81" s="121"/>
      <c r="G81" s="121">
        <f>IF(AND(G78 &lt;&gt;"", E78=""), 900, 0)</f>
        <v>900</v>
      </c>
      <c r="H81" s="121"/>
      <c r="I81" s="121"/>
      <c r="J81" s="132"/>
      <c r="K81" s="133"/>
      <c r="L81" s="129"/>
      <c r="M81" s="134"/>
      <c r="N81" s="135"/>
      <c r="O81" s="134"/>
      <c r="P81" s="135"/>
      <c r="Q81" s="280"/>
      <c r="R81" s="135"/>
      <c r="S81" s="333"/>
      <c r="T81" s="340"/>
      <c r="U81" s="341"/>
      <c r="V81" s="340"/>
      <c r="W81" s="341"/>
      <c r="X81" s="340"/>
      <c r="Y81" s="341"/>
      <c r="Z81" s="340"/>
      <c r="AA81" s="341"/>
      <c r="AB81" s="301"/>
      <c r="AC81" s="134"/>
      <c r="AG81" s="117"/>
      <c r="AH81" s="117"/>
      <c r="AI81" s="117"/>
      <c r="AJ81" s="117"/>
      <c r="AK81" s="117"/>
      <c r="AL81" s="117"/>
      <c r="AM81" s="117"/>
      <c r="AN81" s="117"/>
      <c r="AO81" s="117"/>
      <c r="AP81" s="128"/>
      <c r="AQ81" s="117"/>
      <c r="AR81" s="89"/>
      <c r="AS81" s="89"/>
      <c r="AT81" s="89"/>
    </row>
    <row r="82" spans="1:46" s="82" customFormat="1" ht="15" hidden="1" customHeight="1" x14ac:dyDescent="0.25">
      <c r="A82" s="186"/>
      <c r="B82" s="187"/>
      <c r="C82" s="131" t="s">
        <v>159</v>
      </c>
      <c r="D82" s="136">
        <v>2100</v>
      </c>
      <c r="E82" s="120"/>
      <c r="F82" s="121"/>
      <c r="G82" s="121"/>
      <c r="H82" s="121"/>
      <c r="I82" s="121"/>
      <c r="J82" s="132"/>
      <c r="K82" s="133"/>
      <c r="L82" s="129"/>
      <c r="M82" s="134"/>
      <c r="N82" s="135"/>
      <c r="O82" s="134"/>
      <c r="P82" s="135"/>
      <c r="Q82" s="280"/>
      <c r="R82" s="135"/>
      <c r="S82" s="333"/>
      <c r="T82" s="340"/>
      <c r="U82" s="341"/>
      <c r="V82" s="340"/>
      <c r="W82" s="341"/>
      <c r="X82" s="340"/>
      <c r="Y82" s="341"/>
      <c r="Z82" s="340"/>
      <c r="AA82" s="341"/>
      <c r="AB82" s="301"/>
      <c r="AC82" s="134"/>
      <c r="AG82" s="117"/>
      <c r="AH82" s="117"/>
      <c r="AI82" s="117"/>
      <c r="AJ82" s="117"/>
      <c r="AK82" s="117"/>
      <c r="AL82" s="117"/>
      <c r="AM82" s="117"/>
      <c r="AN82" s="117"/>
      <c r="AO82" s="117"/>
      <c r="AP82" s="128"/>
      <c r="AQ82" s="117"/>
      <c r="AR82" s="89"/>
      <c r="AS82" s="89"/>
      <c r="AT82" s="89"/>
    </row>
    <row r="83" spans="1:46" s="82" customFormat="1" ht="15" customHeight="1" x14ac:dyDescent="0.25">
      <c r="A83" s="186"/>
      <c r="B83" s="187"/>
      <c r="C83" s="131" t="s">
        <v>159</v>
      </c>
      <c r="D83" s="136"/>
      <c r="E83" s="120"/>
      <c r="F83" s="121"/>
      <c r="G83" s="121"/>
      <c r="H83" s="121"/>
      <c r="I83" s="121"/>
      <c r="J83" s="132"/>
      <c r="K83" s="133"/>
      <c r="L83" s="129"/>
      <c r="M83" s="134"/>
      <c r="N83" s="135"/>
      <c r="O83" s="134"/>
      <c r="P83" s="135"/>
      <c r="Q83" s="280"/>
      <c r="R83" s="135"/>
      <c r="S83" s="333"/>
      <c r="T83" s="340"/>
      <c r="U83" s="341"/>
      <c r="V83" s="340"/>
      <c r="W83" s="341"/>
      <c r="X83" s="340"/>
      <c r="Y83" s="341"/>
      <c r="Z83" s="340"/>
      <c r="AA83" s="341"/>
      <c r="AB83" s="301"/>
      <c r="AC83" s="134"/>
      <c r="AG83" s="117"/>
      <c r="AH83" s="117"/>
      <c r="AI83" s="117"/>
      <c r="AJ83" s="117"/>
      <c r="AK83" s="117"/>
      <c r="AL83" s="117"/>
      <c r="AM83" s="117"/>
      <c r="AN83" s="117"/>
      <c r="AO83" s="117"/>
      <c r="AP83" s="128"/>
      <c r="AQ83" s="117"/>
      <c r="AR83" s="89"/>
      <c r="AS83" s="89"/>
      <c r="AT83" s="89"/>
    </row>
    <row r="84" spans="1:46" s="82" customFormat="1" ht="15" customHeight="1" x14ac:dyDescent="0.25">
      <c r="A84" s="186"/>
      <c r="B84" s="187"/>
      <c r="C84" s="131" t="s">
        <v>175</v>
      </c>
      <c r="D84" s="119">
        <v>1822</v>
      </c>
      <c r="E84" s="120"/>
      <c r="F84" s="121"/>
      <c r="G84" s="121"/>
      <c r="H84" s="121"/>
      <c r="I84" s="121">
        <v>739</v>
      </c>
      <c r="J84" s="132"/>
      <c r="K84" s="133"/>
      <c r="L84" s="129"/>
      <c r="M84" s="134"/>
      <c r="N84" s="135"/>
      <c r="O84" s="134"/>
      <c r="P84" s="135"/>
      <c r="Q84" s="280"/>
      <c r="R84" s="135"/>
      <c r="S84" s="333"/>
      <c r="T84" s="340"/>
      <c r="U84" s="341"/>
      <c r="V84" s="340"/>
      <c r="W84" s="341"/>
      <c r="X84" s="340"/>
      <c r="Y84" s="341"/>
      <c r="Z84" s="340"/>
      <c r="AA84" s="341"/>
      <c r="AB84" s="301"/>
      <c r="AC84" s="134"/>
      <c r="AG84" s="117"/>
      <c r="AH84" s="117"/>
      <c r="AI84" s="130"/>
      <c r="AJ84" s="130"/>
      <c r="AK84" s="117"/>
      <c r="AL84" s="117"/>
      <c r="AM84" s="117"/>
      <c r="AN84" s="117"/>
      <c r="AO84" s="117"/>
      <c r="AP84" s="128"/>
      <c r="AQ84" s="117"/>
      <c r="AR84" s="89"/>
      <c r="AS84" s="89"/>
      <c r="AT84" s="89"/>
    </row>
    <row r="85" spans="1:46" s="82" customFormat="1" ht="15" customHeight="1" x14ac:dyDescent="0.25">
      <c r="A85" s="186"/>
      <c r="B85" s="187"/>
      <c r="C85" s="131" t="s">
        <v>175</v>
      </c>
      <c r="D85" s="136">
        <f>D84</f>
        <v>1822</v>
      </c>
      <c r="E85" s="120"/>
      <c r="F85" s="121"/>
      <c r="G85" s="121"/>
      <c r="H85" s="121"/>
      <c r="I85" s="121">
        <v>1341</v>
      </c>
      <c r="J85" s="132"/>
      <c r="K85" s="133"/>
      <c r="L85" s="129"/>
      <c r="M85" s="134"/>
      <c r="N85" s="135"/>
      <c r="O85" s="134"/>
      <c r="P85" s="135"/>
      <c r="Q85" s="280"/>
      <c r="R85" s="135"/>
      <c r="S85" s="333"/>
      <c r="T85" s="340"/>
      <c r="U85" s="341"/>
      <c r="V85" s="340"/>
      <c r="W85" s="341"/>
      <c r="X85" s="340"/>
      <c r="Y85" s="341"/>
      <c r="Z85" s="340"/>
      <c r="AA85" s="341"/>
      <c r="AB85" s="301"/>
      <c r="AC85" s="134"/>
      <c r="AG85" s="117"/>
      <c r="AH85" s="117"/>
      <c r="AI85" s="130"/>
      <c r="AJ85" s="130"/>
      <c r="AK85" s="117"/>
      <c r="AL85" s="117"/>
      <c r="AM85" s="117"/>
      <c r="AN85" s="117"/>
      <c r="AO85" s="117"/>
      <c r="AP85" s="128"/>
      <c r="AQ85" s="117"/>
      <c r="AR85" s="89"/>
      <c r="AS85" s="89"/>
      <c r="AT85" s="89"/>
    </row>
    <row r="86" spans="1:46" s="82" customFormat="1" ht="15" customHeight="1" x14ac:dyDescent="0.25">
      <c r="A86" s="186"/>
      <c r="B86" s="187"/>
      <c r="C86" s="131" t="s">
        <v>175</v>
      </c>
      <c r="D86" s="136">
        <f>D84</f>
        <v>1822</v>
      </c>
      <c r="E86" s="120"/>
      <c r="F86" s="121"/>
      <c r="G86" s="121"/>
      <c r="H86" s="121"/>
      <c r="I86" s="121"/>
      <c r="J86" s="132"/>
      <c r="K86" s="133"/>
      <c r="L86" s="129"/>
      <c r="M86" s="134"/>
      <c r="N86" s="135"/>
      <c r="O86" s="134"/>
      <c r="P86" s="135"/>
      <c r="Q86" s="280"/>
      <c r="R86" s="135"/>
      <c r="S86" s="333"/>
      <c r="T86" s="340"/>
      <c r="U86" s="341"/>
      <c r="V86" s="340"/>
      <c r="W86" s="341"/>
      <c r="X86" s="340"/>
      <c r="Y86" s="341"/>
      <c r="Z86" s="340"/>
      <c r="AA86" s="341"/>
      <c r="AB86" s="301"/>
      <c r="AC86" s="134"/>
      <c r="AG86" s="117"/>
      <c r="AH86" s="117"/>
      <c r="AI86" s="130"/>
      <c r="AJ86" s="130"/>
      <c r="AK86" s="117"/>
      <c r="AL86" s="117"/>
      <c r="AM86" s="117"/>
      <c r="AN86" s="117"/>
      <c r="AO86" s="117"/>
      <c r="AP86" s="128"/>
      <c r="AQ86" s="117"/>
      <c r="AR86" s="89"/>
      <c r="AS86" s="89"/>
      <c r="AT86" s="89"/>
    </row>
    <row r="87" spans="1:46" s="82" customFormat="1" ht="15" customHeight="1" x14ac:dyDescent="0.25">
      <c r="A87" s="190"/>
      <c r="B87" s="191"/>
      <c r="C87" s="163" t="s">
        <v>160</v>
      </c>
      <c r="D87" s="164"/>
      <c r="E87" s="165">
        <f t="shared" ref="E87:M87" si="41">(E78*$D78-E79*$D79-E80*$D80-E81*$D81-E82*$D82-E83*$D83-E84*$D84-E85*$D85-E86*$D86)/1000000</f>
        <v>0</v>
      </c>
      <c r="F87" s="165">
        <f t="shared" si="41"/>
        <v>0</v>
      </c>
      <c r="G87" s="165">
        <f t="shared" si="41"/>
        <v>7.2000719999999996</v>
      </c>
      <c r="H87" s="165">
        <f t="shared" si="41"/>
        <v>10.861552</v>
      </c>
      <c r="I87" s="165">
        <f t="shared" si="41"/>
        <v>5.3003119999999999</v>
      </c>
      <c r="J87" s="166">
        <f t="shared" si="41"/>
        <v>10.861552</v>
      </c>
      <c r="K87" s="167">
        <f t="shared" si="41"/>
        <v>0</v>
      </c>
      <c r="L87" s="165">
        <f t="shared" si="41"/>
        <v>0</v>
      </c>
      <c r="M87" s="165">
        <f t="shared" si="41"/>
        <v>0</v>
      </c>
      <c r="N87" s="169"/>
      <c r="O87" s="170"/>
      <c r="P87" s="169"/>
      <c r="Q87" s="281"/>
      <c r="R87" s="327">
        <f t="shared" ref="R87:AC87" si="42">(R78*$D78)/1000000</f>
        <v>0.31728000000000001</v>
      </c>
      <c r="S87" s="143">
        <f t="shared" si="42"/>
        <v>0.31728000000000001</v>
      </c>
      <c r="T87" s="342">
        <f t="shared" si="42"/>
        <v>0</v>
      </c>
      <c r="U87" s="343">
        <f t="shared" si="42"/>
        <v>0</v>
      </c>
      <c r="V87" s="342">
        <f t="shared" si="42"/>
        <v>0</v>
      </c>
      <c r="W87" s="343">
        <f t="shared" si="42"/>
        <v>0</v>
      </c>
      <c r="X87" s="342">
        <f t="shared" ref="X87:AA87" si="43">(X78*$D78)/1000000</f>
        <v>0</v>
      </c>
      <c r="Y87" s="343">
        <f t="shared" si="43"/>
        <v>0</v>
      </c>
      <c r="Z87" s="342">
        <f t="shared" si="43"/>
        <v>0</v>
      </c>
      <c r="AA87" s="343">
        <f t="shared" si="43"/>
        <v>0</v>
      </c>
      <c r="AB87" s="142">
        <f t="shared" si="42"/>
        <v>0</v>
      </c>
      <c r="AC87" s="168">
        <f t="shared" si="42"/>
        <v>0</v>
      </c>
      <c r="AG87" s="117"/>
      <c r="AH87" s="117"/>
      <c r="AI87" s="130"/>
      <c r="AJ87" s="130"/>
      <c r="AK87" s="117"/>
      <c r="AL87" s="117"/>
      <c r="AM87" s="117"/>
      <c r="AN87" s="117"/>
      <c r="AO87" s="117"/>
      <c r="AP87" s="128"/>
      <c r="AQ87" s="117"/>
      <c r="AR87" s="89"/>
      <c r="AS87" s="89"/>
      <c r="AT87" s="89"/>
    </row>
    <row r="88" spans="1:46" s="82" customFormat="1" ht="15" customHeight="1" x14ac:dyDescent="0.25">
      <c r="A88" s="186"/>
      <c r="B88" s="187"/>
      <c r="C88" s="109" t="s">
        <v>163</v>
      </c>
      <c r="D88" s="136"/>
      <c r="E88" s="137">
        <f t="shared" ref="E88:M88" si="44">E87*E77</f>
        <v>0</v>
      </c>
      <c r="F88" s="137">
        <f t="shared" si="44"/>
        <v>0</v>
      </c>
      <c r="G88" s="137">
        <f t="shared" si="44"/>
        <v>7.2000719999999996</v>
      </c>
      <c r="H88" s="137">
        <f t="shared" si="44"/>
        <v>10.861552</v>
      </c>
      <c r="I88" s="137">
        <f t="shared" si="44"/>
        <v>5.3003119999999999</v>
      </c>
      <c r="J88" s="138">
        <f t="shared" si="44"/>
        <v>10.861552</v>
      </c>
      <c r="K88" s="139">
        <f t="shared" si="44"/>
        <v>0</v>
      </c>
      <c r="L88" s="137">
        <f t="shared" si="44"/>
        <v>0</v>
      </c>
      <c r="M88" s="140">
        <f t="shared" si="44"/>
        <v>0</v>
      </c>
      <c r="N88" s="141"/>
      <c r="O88" s="125"/>
      <c r="P88" s="141"/>
      <c r="Q88" s="282"/>
      <c r="R88" s="139">
        <f t="shared" ref="R88:AC88" si="45">R87*R77</f>
        <v>-0.31728000000000001</v>
      </c>
      <c r="S88" s="138">
        <f t="shared" si="45"/>
        <v>-0.31728000000000001</v>
      </c>
      <c r="T88" s="342">
        <f t="shared" si="45"/>
        <v>0</v>
      </c>
      <c r="U88" s="344">
        <f t="shared" si="45"/>
        <v>0</v>
      </c>
      <c r="V88" s="342">
        <f t="shared" si="45"/>
        <v>0</v>
      </c>
      <c r="W88" s="344">
        <f t="shared" si="45"/>
        <v>0</v>
      </c>
      <c r="X88" s="342">
        <f t="shared" ref="X88:AA88" si="46">X87*X77</f>
        <v>0</v>
      </c>
      <c r="Y88" s="344">
        <f t="shared" si="46"/>
        <v>0</v>
      </c>
      <c r="Z88" s="342">
        <f t="shared" si="46"/>
        <v>0</v>
      </c>
      <c r="AA88" s="344">
        <f t="shared" si="46"/>
        <v>0</v>
      </c>
      <c r="AB88" s="137">
        <f t="shared" si="45"/>
        <v>0</v>
      </c>
      <c r="AC88" s="140">
        <f t="shared" si="45"/>
        <v>0</v>
      </c>
      <c r="AG88" s="117"/>
      <c r="AH88" s="117"/>
      <c r="AI88" s="130"/>
      <c r="AJ88" s="130"/>
      <c r="AK88" s="117"/>
      <c r="AL88" s="117"/>
      <c r="AM88" s="117"/>
      <c r="AN88" s="117"/>
      <c r="AO88" s="117"/>
      <c r="AP88" s="128"/>
      <c r="AQ88" s="117"/>
      <c r="AR88" s="89"/>
      <c r="AS88" s="89"/>
      <c r="AT88" s="89"/>
    </row>
    <row r="89" spans="1:46" s="82" customFormat="1" ht="15" customHeight="1" x14ac:dyDescent="0.25">
      <c r="A89" s="186"/>
      <c r="B89" s="187"/>
      <c r="C89" s="109" t="s">
        <v>176</v>
      </c>
      <c r="D89" s="136"/>
      <c r="E89" s="137">
        <f t="shared" ref="E89:J91" si="47">IF(E84&gt;0, (E84+$D84*2)/1000, 0)</f>
        <v>0</v>
      </c>
      <c r="F89" s="142">
        <f t="shared" si="47"/>
        <v>0</v>
      </c>
      <c r="G89" s="142">
        <f t="shared" si="47"/>
        <v>0</v>
      </c>
      <c r="H89" s="142">
        <f t="shared" si="47"/>
        <v>0</v>
      </c>
      <c r="I89" s="422">
        <f t="shared" si="47"/>
        <v>4.383</v>
      </c>
      <c r="J89" s="143">
        <f t="shared" si="47"/>
        <v>0</v>
      </c>
      <c r="K89" s="139"/>
      <c r="L89" s="142"/>
      <c r="M89" s="144"/>
      <c r="N89" s="141"/>
      <c r="O89" s="125"/>
      <c r="P89" s="141"/>
      <c r="Q89" s="282"/>
      <c r="R89" s="141"/>
      <c r="S89" s="334"/>
      <c r="T89" s="345"/>
      <c r="U89" s="346"/>
      <c r="V89" s="345"/>
      <c r="W89" s="346"/>
      <c r="X89" s="345"/>
      <c r="Y89" s="346"/>
      <c r="Z89" s="345"/>
      <c r="AA89" s="346"/>
      <c r="AB89" s="302"/>
      <c r="AC89" s="125"/>
      <c r="AG89" s="117"/>
      <c r="AH89" s="117"/>
      <c r="AI89" s="130"/>
      <c r="AJ89" s="130"/>
      <c r="AK89" s="117"/>
      <c r="AL89" s="117"/>
      <c r="AM89" s="117"/>
      <c r="AN89" s="117"/>
      <c r="AO89" s="117"/>
      <c r="AP89" s="128"/>
      <c r="AQ89" s="117"/>
      <c r="AR89" s="89"/>
      <c r="AS89" s="89"/>
      <c r="AT89" s="89"/>
    </row>
    <row r="90" spans="1:46" s="82" customFormat="1" ht="15" customHeight="1" x14ac:dyDescent="0.25">
      <c r="A90" s="192"/>
      <c r="B90" s="193"/>
      <c r="C90" s="109" t="s">
        <v>176</v>
      </c>
      <c r="D90" s="136"/>
      <c r="E90" s="137">
        <f t="shared" si="47"/>
        <v>0</v>
      </c>
      <c r="F90" s="142">
        <f t="shared" si="47"/>
        <v>0</v>
      </c>
      <c r="G90" s="142">
        <f t="shared" si="47"/>
        <v>0</v>
      </c>
      <c r="H90" s="142">
        <f t="shared" si="47"/>
        <v>0</v>
      </c>
      <c r="I90" s="142">
        <v>0</v>
      </c>
      <c r="J90" s="143">
        <f t="shared" si="47"/>
        <v>0</v>
      </c>
      <c r="K90" s="139"/>
      <c r="L90" s="142"/>
      <c r="M90" s="144"/>
      <c r="N90" s="141"/>
      <c r="O90" s="125"/>
      <c r="P90" s="141"/>
      <c r="Q90" s="282"/>
      <c r="R90" s="141"/>
      <c r="S90" s="334"/>
      <c r="T90" s="345"/>
      <c r="U90" s="346"/>
      <c r="V90" s="345"/>
      <c r="W90" s="346"/>
      <c r="X90" s="345"/>
      <c r="Y90" s="346"/>
      <c r="Z90" s="345"/>
      <c r="AA90" s="346"/>
      <c r="AB90" s="302"/>
      <c r="AC90" s="125"/>
      <c r="AG90" s="117"/>
      <c r="AH90" s="117"/>
      <c r="AI90" s="130"/>
      <c r="AJ90" s="130"/>
      <c r="AK90" s="117"/>
      <c r="AL90" s="117"/>
      <c r="AM90" s="117"/>
      <c r="AN90" s="117"/>
      <c r="AO90" s="117"/>
      <c r="AP90" s="128"/>
      <c r="AQ90" s="117"/>
      <c r="AR90" s="89"/>
      <c r="AS90" s="89"/>
      <c r="AT90" s="89"/>
    </row>
    <row r="91" spans="1:46" s="82" customFormat="1" ht="15" customHeight="1" x14ac:dyDescent="0.25">
      <c r="A91" s="192"/>
      <c r="B91" s="193"/>
      <c r="C91" s="109" t="s">
        <v>176</v>
      </c>
      <c r="D91" s="136"/>
      <c r="E91" s="137">
        <f t="shared" si="47"/>
        <v>0</v>
      </c>
      <c r="F91" s="142">
        <f t="shared" si="47"/>
        <v>0</v>
      </c>
      <c r="G91" s="142">
        <f t="shared" si="47"/>
        <v>0</v>
      </c>
      <c r="H91" s="142">
        <f t="shared" si="47"/>
        <v>0</v>
      </c>
      <c r="I91" s="142">
        <f t="shared" si="47"/>
        <v>0</v>
      </c>
      <c r="J91" s="143">
        <f t="shared" si="47"/>
        <v>0</v>
      </c>
      <c r="K91" s="139"/>
      <c r="L91" s="142"/>
      <c r="M91" s="144"/>
      <c r="N91" s="141"/>
      <c r="O91" s="125"/>
      <c r="P91" s="141"/>
      <c r="Q91" s="282"/>
      <c r="R91" s="141"/>
      <c r="S91" s="334"/>
      <c r="T91" s="345"/>
      <c r="U91" s="346"/>
      <c r="V91" s="345"/>
      <c r="W91" s="346"/>
      <c r="X91" s="345"/>
      <c r="Y91" s="346"/>
      <c r="Z91" s="345"/>
      <c r="AA91" s="346"/>
      <c r="AB91" s="302"/>
      <c r="AC91" s="125"/>
      <c r="AG91" s="117"/>
      <c r="AH91" s="117"/>
      <c r="AI91" s="130"/>
      <c r="AJ91" s="130"/>
      <c r="AK91" s="117"/>
      <c r="AL91" s="117"/>
      <c r="AM91" s="117"/>
      <c r="AN91" s="117"/>
      <c r="AO91" s="117"/>
      <c r="AP91" s="128"/>
      <c r="AQ91" s="117"/>
      <c r="AR91" s="89"/>
      <c r="AS91" s="89"/>
      <c r="AT91" s="89"/>
    </row>
    <row r="92" spans="1:46" s="82" customFormat="1" ht="15" customHeight="1" x14ac:dyDescent="0.25">
      <c r="A92" s="194"/>
      <c r="B92" s="195"/>
      <c r="C92" s="109" t="s">
        <v>628</v>
      </c>
      <c r="D92" s="136"/>
      <c r="E92" s="137">
        <f t="shared" ref="E92:J94" si="48">IF(E84&gt;0, (E84+$D84)*2/1000, 0)</f>
        <v>0</v>
      </c>
      <c r="F92" s="142">
        <f t="shared" si="48"/>
        <v>0</v>
      </c>
      <c r="G92" s="142">
        <f t="shared" si="48"/>
        <v>0</v>
      </c>
      <c r="H92" s="142">
        <f t="shared" si="48"/>
        <v>0</v>
      </c>
      <c r="I92" s="142">
        <f t="shared" si="48"/>
        <v>5.1219999999999999</v>
      </c>
      <c r="J92" s="143">
        <f t="shared" si="48"/>
        <v>0</v>
      </c>
      <c r="K92" s="139"/>
      <c r="L92" s="142"/>
      <c r="M92" s="144"/>
      <c r="N92" s="141"/>
      <c r="O92" s="125"/>
      <c r="P92" s="141"/>
      <c r="Q92" s="282"/>
      <c r="R92" s="141"/>
      <c r="S92" s="334"/>
      <c r="T92" s="345"/>
      <c r="U92" s="346"/>
      <c r="V92" s="345"/>
      <c r="W92" s="346"/>
      <c r="X92" s="345"/>
      <c r="Y92" s="346"/>
      <c r="Z92" s="345"/>
      <c r="AA92" s="346"/>
      <c r="AB92" s="302"/>
      <c r="AC92" s="125"/>
      <c r="AG92" s="117"/>
      <c r="AH92" s="117"/>
      <c r="AI92" s="130"/>
      <c r="AJ92" s="130"/>
      <c r="AK92" s="117"/>
      <c r="AL92" s="117"/>
      <c r="AM92" s="117"/>
      <c r="AN92" s="117"/>
      <c r="AO92" s="117"/>
      <c r="AP92" s="128"/>
      <c r="AQ92" s="117"/>
      <c r="AR92" s="89"/>
      <c r="AS92" s="89"/>
      <c r="AT92" s="89"/>
    </row>
    <row r="93" spans="1:46" s="82" customFormat="1" ht="15" customHeight="1" x14ac:dyDescent="0.25">
      <c r="A93" s="186"/>
      <c r="B93" s="187"/>
      <c r="C93" s="109" t="s">
        <v>628</v>
      </c>
      <c r="D93" s="136"/>
      <c r="E93" s="137">
        <f t="shared" si="48"/>
        <v>0</v>
      </c>
      <c r="F93" s="142">
        <f t="shared" si="48"/>
        <v>0</v>
      </c>
      <c r="G93" s="142">
        <f t="shared" si="48"/>
        <v>0</v>
      </c>
      <c r="H93" s="142">
        <f t="shared" si="48"/>
        <v>0</v>
      </c>
      <c r="I93" s="142">
        <f t="shared" si="48"/>
        <v>6.3259999999999996</v>
      </c>
      <c r="J93" s="143">
        <f t="shared" si="48"/>
        <v>0</v>
      </c>
      <c r="K93" s="139"/>
      <c r="L93" s="142"/>
      <c r="M93" s="144"/>
      <c r="N93" s="141"/>
      <c r="O93" s="125"/>
      <c r="P93" s="141"/>
      <c r="Q93" s="282"/>
      <c r="R93" s="141"/>
      <c r="S93" s="334"/>
      <c r="T93" s="345"/>
      <c r="U93" s="346"/>
      <c r="V93" s="345"/>
      <c r="W93" s="346"/>
      <c r="X93" s="345"/>
      <c r="Y93" s="346"/>
      <c r="Z93" s="345"/>
      <c r="AA93" s="346"/>
      <c r="AB93" s="302"/>
      <c r="AC93" s="125"/>
      <c r="AG93" s="117"/>
      <c r="AH93" s="117"/>
      <c r="AI93" s="130"/>
      <c r="AJ93" s="130"/>
      <c r="AK93" s="117"/>
      <c r="AL93" s="117"/>
      <c r="AM93" s="117"/>
      <c r="AN93" s="117"/>
      <c r="AO93" s="117"/>
      <c r="AP93" s="128"/>
      <c r="AQ93" s="117"/>
      <c r="AR93" s="89"/>
      <c r="AS93" s="89"/>
      <c r="AT93" s="89"/>
    </row>
    <row r="94" spans="1:46" s="82" customFormat="1" ht="15" customHeight="1" thickBot="1" x14ac:dyDescent="0.3">
      <c r="A94" s="188"/>
      <c r="B94" s="189"/>
      <c r="C94" s="109" t="s">
        <v>628</v>
      </c>
      <c r="D94" s="145"/>
      <c r="E94" s="146">
        <f t="shared" si="48"/>
        <v>0</v>
      </c>
      <c r="F94" s="147">
        <f t="shared" si="48"/>
        <v>0</v>
      </c>
      <c r="G94" s="147">
        <f t="shared" si="48"/>
        <v>0</v>
      </c>
      <c r="H94" s="147">
        <f t="shared" si="48"/>
        <v>0</v>
      </c>
      <c r="I94" s="147">
        <f t="shared" si="48"/>
        <v>0</v>
      </c>
      <c r="J94" s="148">
        <f t="shared" si="48"/>
        <v>0</v>
      </c>
      <c r="K94" s="149"/>
      <c r="L94" s="147"/>
      <c r="M94" s="150"/>
      <c r="N94" s="151"/>
      <c r="O94" s="152"/>
      <c r="P94" s="151"/>
      <c r="Q94" s="283"/>
      <c r="R94" s="151"/>
      <c r="S94" s="335"/>
      <c r="T94" s="347"/>
      <c r="U94" s="348"/>
      <c r="V94" s="347"/>
      <c r="W94" s="348"/>
      <c r="X94" s="347"/>
      <c r="Y94" s="348"/>
      <c r="Z94" s="347"/>
      <c r="AA94" s="348"/>
      <c r="AB94" s="303"/>
      <c r="AC94" s="152"/>
      <c r="AG94" s="117"/>
      <c r="AH94" s="117"/>
      <c r="AI94" s="130"/>
      <c r="AJ94" s="130"/>
      <c r="AK94" s="117"/>
      <c r="AL94" s="117"/>
      <c r="AM94" s="117"/>
      <c r="AN94" s="117"/>
      <c r="AO94" s="117"/>
      <c r="AP94" s="128"/>
      <c r="AQ94" s="117"/>
      <c r="AR94" s="89"/>
      <c r="AS94" s="89"/>
      <c r="AT94" s="89"/>
    </row>
    <row r="95" spans="1:46" s="82" customFormat="1" ht="15" customHeight="1" x14ac:dyDescent="0.25">
      <c r="A95" s="181">
        <v>4</v>
      </c>
      <c r="B95" s="185" t="s">
        <v>624</v>
      </c>
      <c r="C95" s="105" t="s">
        <v>165</v>
      </c>
      <c r="D95" s="162"/>
      <c r="E95" s="306"/>
      <c r="F95" s="307"/>
      <c r="G95" s="307"/>
      <c r="H95" s="307"/>
      <c r="I95" s="307"/>
      <c r="J95" s="308"/>
      <c r="K95" s="309"/>
      <c r="L95" s="307"/>
      <c r="M95" s="310"/>
      <c r="N95" s="106"/>
      <c r="O95" s="107"/>
      <c r="P95" s="106"/>
      <c r="Q95" s="278"/>
      <c r="R95" s="309"/>
      <c r="S95" s="308"/>
      <c r="T95" s="336"/>
      <c r="U95" s="337"/>
      <c r="V95" s="336"/>
      <c r="W95" s="337"/>
      <c r="X95" s="336"/>
      <c r="Y95" s="337"/>
      <c r="Z95" s="336"/>
      <c r="AA95" s="337"/>
      <c r="AB95" s="307"/>
      <c r="AC95" s="310"/>
      <c r="AG95" s="117" t="s">
        <v>77</v>
      </c>
      <c r="AH95" s="117" t="s">
        <v>167</v>
      </c>
      <c r="AI95" s="117" t="s">
        <v>164</v>
      </c>
      <c r="AJ95" s="117" t="s">
        <v>166</v>
      </c>
      <c r="AK95" s="94" t="s">
        <v>106</v>
      </c>
      <c r="AL95" s="117" t="s">
        <v>162</v>
      </c>
      <c r="AM95" s="117" t="s">
        <v>629</v>
      </c>
      <c r="AN95" s="117"/>
      <c r="AO95" s="117"/>
      <c r="AP95" s="128"/>
      <c r="AQ95" s="117"/>
      <c r="AR95" s="89"/>
      <c r="AS95" s="89"/>
      <c r="AT95" s="89"/>
    </row>
    <row r="96" spans="1:46" s="82" customFormat="1" ht="15" customHeight="1" x14ac:dyDescent="0.25">
      <c r="A96" s="186"/>
      <c r="B96" s="187"/>
      <c r="C96" s="118" t="s">
        <v>627</v>
      </c>
      <c r="D96" s="119">
        <f>D78</f>
        <v>2644</v>
      </c>
      <c r="E96" s="120"/>
      <c r="F96" s="121"/>
      <c r="G96" s="121"/>
      <c r="H96" s="121"/>
      <c r="I96" s="122">
        <f>G96-E96</f>
        <v>0</v>
      </c>
      <c r="J96" s="123">
        <f>H96-F96</f>
        <v>0</v>
      </c>
      <c r="K96" s="124"/>
      <c r="L96" s="122">
        <f>K96</f>
        <v>0</v>
      </c>
      <c r="M96" s="125">
        <f>IF(L96&gt;0, 100, 0)</f>
        <v>0</v>
      </c>
      <c r="N96" s="126"/>
      <c r="O96" s="127"/>
      <c r="P96" s="126"/>
      <c r="Q96" s="279"/>
      <c r="R96" s="126"/>
      <c r="S96" s="332"/>
      <c r="T96" s="338"/>
      <c r="U96" s="339"/>
      <c r="V96" s="338"/>
      <c r="W96" s="339"/>
      <c r="X96" s="338"/>
      <c r="Y96" s="339"/>
      <c r="Z96" s="338"/>
      <c r="AA96" s="339"/>
      <c r="AB96" s="300"/>
      <c r="AC96" s="127"/>
      <c r="AG96" s="108">
        <f>SUM(E105:L105)</f>
        <v>0</v>
      </c>
      <c r="AH96" s="108">
        <f>SUM(E106:AC106)</f>
        <v>0</v>
      </c>
      <c r="AI96" s="286">
        <f>((E96*F96+H96*I96)-K96*M96-(R96*S96+T96*U96+V96*W96+X96*Y96+Z96*AA96+AB96*AC96)-P96*Q96)/1000000</f>
        <v>0</v>
      </c>
      <c r="AJ96" s="117">
        <f>((E96*F96+H96*I96)-K96*M96-(R96*S96+T96*U96+V96*W96+X96*Y96+Z96*AA96+AB96*AC96)+N96*O96)/1000000</f>
        <v>0</v>
      </c>
      <c r="AK96" s="108">
        <f>(SUM(E96:M96)-SUM(E97:M101))/1000</f>
        <v>0</v>
      </c>
      <c r="AL96" s="108">
        <f>SUM(E107:J109)</f>
        <v>0</v>
      </c>
      <c r="AM96" s="159">
        <f>SUM(E110:J112)</f>
        <v>0</v>
      </c>
      <c r="AN96" s="117"/>
      <c r="AO96" s="117"/>
      <c r="AP96" s="128"/>
      <c r="AQ96" s="117"/>
      <c r="AR96" s="89"/>
      <c r="AS96" s="89"/>
      <c r="AT96" s="89"/>
    </row>
    <row r="97" spans="1:46" s="82" customFormat="1" ht="15" hidden="1" customHeight="1" x14ac:dyDescent="0.25">
      <c r="A97" s="186"/>
      <c r="B97" s="187"/>
      <c r="C97" s="131" t="s">
        <v>158</v>
      </c>
      <c r="D97" s="119">
        <f>D96</f>
        <v>2644</v>
      </c>
      <c r="E97" s="120"/>
      <c r="F97" s="121"/>
      <c r="G97" s="121"/>
      <c r="H97" s="121"/>
      <c r="I97" s="121"/>
      <c r="J97" s="132"/>
      <c r="K97" s="133"/>
      <c r="L97" s="129"/>
      <c r="M97" s="134"/>
      <c r="N97" s="135"/>
      <c r="O97" s="134"/>
      <c r="P97" s="135"/>
      <c r="Q97" s="280"/>
      <c r="R97" s="135"/>
      <c r="S97" s="333"/>
      <c r="T97" s="340"/>
      <c r="U97" s="341"/>
      <c r="V97" s="340"/>
      <c r="W97" s="341"/>
      <c r="X97" s="340"/>
      <c r="Y97" s="341"/>
      <c r="Z97" s="340"/>
      <c r="AA97" s="341"/>
      <c r="AB97" s="301"/>
      <c r="AC97" s="134"/>
      <c r="AG97" s="130"/>
      <c r="AH97" s="130"/>
      <c r="AI97" s="130"/>
      <c r="AJ97" s="130"/>
      <c r="AK97" s="130"/>
      <c r="AL97" s="130"/>
      <c r="AM97" s="130"/>
      <c r="AN97" s="117"/>
      <c r="AO97" s="117"/>
      <c r="AP97" s="128"/>
      <c r="AQ97" s="117"/>
      <c r="AR97" s="89"/>
      <c r="AS97" s="89"/>
      <c r="AT97" s="89"/>
    </row>
    <row r="98" spans="1:46" s="82" customFormat="1" ht="15" hidden="1" customHeight="1" x14ac:dyDescent="0.25">
      <c r="A98" s="186"/>
      <c r="B98" s="187"/>
      <c r="C98" s="131" t="s">
        <v>158</v>
      </c>
      <c r="D98" s="119"/>
      <c r="E98" s="120"/>
      <c r="F98" s="121"/>
      <c r="G98" s="121"/>
      <c r="H98" s="121"/>
      <c r="I98" s="121"/>
      <c r="J98" s="132"/>
      <c r="K98" s="133"/>
      <c r="L98" s="129"/>
      <c r="M98" s="134"/>
      <c r="N98" s="135"/>
      <c r="O98" s="134"/>
      <c r="P98" s="135"/>
      <c r="Q98" s="280"/>
      <c r="R98" s="135"/>
      <c r="S98" s="333"/>
      <c r="T98" s="340"/>
      <c r="U98" s="341"/>
      <c r="V98" s="340"/>
      <c r="W98" s="341"/>
      <c r="X98" s="340"/>
      <c r="Y98" s="341"/>
      <c r="Z98" s="340"/>
      <c r="AA98" s="341"/>
      <c r="AB98" s="301"/>
      <c r="AC98" s="134"/>
      <c r="AG98" s="130"/>
      <c r="AH98" s="130"/>
      <c r="AI98" s="130"/>
      <c r="AJ98" s="130"/>
      <c r="AK98" s="130"/>
      <c r="AL98" s="130"/>
      <c r="AM98" s="130"/>
      <c r="AN98" s="117"/>
      <c r="AO98" s="117"/>
      <c r="AP98" s="128"/>
      <c r="AQ98" s="117"/>
      <c r="AR98" s="89"/>
      <c r="AS98" s="89"/>
      <c r="AT98" s="89"/>
    </row>
    <row r="99" spans="1:46" s="82" customFormat="1" ht="15" customHeight="1" x14ac:dyDescent="0.25">
      <c r="A99" s="186"/>
      <c r="B99" s="187"/>
      <c r="C99" s="131" t="s">
        <v>159</v>
      </c>
      <c r="D99" s="136">
        <v>2100</v>
      </c>
      <c r="E99" s="120"/>
      <c r="F99" s="121"/>
      <c r="G99" s="121">
        <f>IF(AND(G96 &lt;&gt;"", E96=""), 900, 0)</f>
        <v>0</v>
      </c>
      <c r="H99" s="121"/>
      <c r="I99" s="121"/>
      <c r="J99" s="132"/>
      <c r="K99" s="133"/>
      <c r="L99" s="129"/>
      <c r="M99" s="134"/>
      <c r="N99" s="135"/>
      <c r="O99" s="134"/>
      <c r="P99" s="135"/>
      <c r="Q99" s="280"/>
      <c r="R99" s="135"/>
      <c r="S99" s="333"/>
      <c r="T99" s="340"/>
      <c r="U99" s="341"/>
      <c r="V99" s="340"/>
      <c r="W99" s="341"/>
      <c r="X99" s="340"/>
      <c r="Y99" s="341"/>
      <c r="Z99" s="340"/>
      <c r="AA99" s="341"/>
      <c r="AB99" s="301"/>
      <c r="AC99" s="134"/>
      <c r="AG99" s="117"/>
      <c r="AH99" s="117"/>
      <c r="AI99" s="117"/>
      <c r="AJ99" s="117"/>
      <c r="AK99" s="117"/>
      <c r="AL99" s="117"/>
      <c r="AM99" s="117"/>
      <c r="AN99" s="117"/>
      <c r="AO99" s="117"/>
      <c r="AP99" s="128"/>
      <c r="AQ99" s="117"/>
      <c r="AR99" s="89"/>
      <c r="AS99" s="89"/>
      <c r="AT99" s="89"/>
    </row>
    <row r="100" spans="1:46" s="82" customFormat="1" ht="15" hidden="1" customHeight="1" x14ac:dyDescent="0.25">
      <c r="A100" s="186"/>
      <c r="B100" s="187"/>
      <c r="C100" s="131" t="s">
        <v>159</v>
      </c>
      <c r="D100" s="136">
        <v>2100</v>
      </c>
      <c r="E100" s="120"/>
      <c r="F100" s="121"/>
      <c r="G100" s="121"/>
      <c r="H100" s="121"/>
      <c r="I100" s="121"/>
      <c r="J100" s="132"/>
      <c r="K100" s="133"/>
      <c r="L100" s="129"/>
      <c r="M100" s="134"/>
      <c r="N100" s="135"/>
      <c r="O100" s="134"/>
      <c r="P100" s="135"/>
      <c r="Q100" s="280"/>
      <c r="R100" s="135"/>
      <c r="S100" s="333"/>
      <c r="T100" s="340"/>
      <c r="U100" s="341"/>
      <c r="V100" s="340"/>
      <c r="W100" s="341"/>
      <c r="X100" s="340"/>
      <c r="Y100" s="341"/>
      <c r="Z100" s="340"/>
      <c r="AA100" s="341"/>
      <c r="AB100" s="301"/>
      <c r="AC100" s="134"/>
      <c r="AG100" s="117"/>
      <c r="AH100" s="117"/>
      <c r="AI100" s="117"/>
      <c r="AJ100" s="117"/>
      <c r="AK100" s="117"/>
      <c r="AL100" s="117"/>
      <c r="AM100" s="117"/>
      <c r="AN100" s="117"/>
      <c r="AO100" s="117"/>
      <c r="AP100" s="128"/>
      <c r="AQ100" s="117"/>
      <c r="AR100" s="89"/>
      <c r="AS100" s="89"/>
      <c r="AT100" s="89"/>
    </row>
    <row r="101" spans="1:46" s="82" customFormat="1" ht="15" hidden="1" customHeight="1" x14ac:dyDescent="0.25">
      <c r="A101" s="186"/>
      <c r="B101" s="187"/>
      <c r="C101" s="131" t="s">
        <v>159</v>
      </c>
      <c r="D101" s="136">
        <f>D99</f>
        <v>2100</v>
      </c>
      <c r="E101" s="120"/>
      <c r="F101" s="121"/>
      <c r="G101" s="121"/>
      <c r="H101" s="121"/>
      <c r="I101" s="121"/>
      <c r="J101" s="132"/>
      <c r="K101" s="133"/>
      <c r="L101" s="129"/>
      <c r="M101" s="134"/>
      <c r="N101" s="135"/>
      <c r="O101" s="134"/>
      <c r="P101" s="135"/>
      <c r="Q101" s="280"/>
      <c r="R101" s="135"/>
      <c r="S101" s="333"/>
      <c r="T101" s="340"/>
      <c r="U101" s="341"/>
      <c r="V101" s="340"/>
      <c r="W101" s="341"/>
      <c r="X101" s="340"/>
      <c r="Y101" s="341"/>
      <c r="Z101" s="340"/>
      <c r="AA101" s="341"/>
      <c r="AB101" s="301"/>
      <c r="AC101" s="134"/>
      <c r="AG101" s="117"/>
      <c r="AH101" s="117"/>
      <c r="AI101" s="117"/>
      <c r="AJ101" s="117"/>
      <c r="AK101" s="117"/>
      <c r="AL101" s="117"/>
      <c r="AM101" s="117"/>
      <c r="AN101" s="117"/>
      <c r="AO101" s="117"/>
      <c r="AP101" s="128"/>
      <c r="AQ101" s="117"/>
      <c r="AR101" s="89"/>
      <c r="AS101" s="89"/>
      <c r="AT101" s="89"/>
    </row>
    <row r="102" spans="1:46" s="82" customFormat="1" ht="15" customHeight="1" x14ac:dyDescent="0.25">
      <c r="A102" s="186"/>
      <c r="B102" s="187"/>
      <c r="C102" s="131" t="s">
        <v>175</v>
      </c>
      <c r="D102" s="119">
        <f>D84</f>
        <v>1822</v>
      </c>
      <c r="E102" s="120"/>
      <c r="F102" s="121"/>
      <c r="G102" s="121"/>
      <c r="H102" s="121"/>
      <c r="I102" s="121"/>
      <c r="J102" s="132"/>
      <c r="K102" s="133"/>
      <c r="L102" s="129"/>
      <c r="M102" s="134"/>
      <c r="N102" s="135"/>
      <c r="O102" s="134"/>
      <c r="P102" s="135"/>
      <c r="Q102" s="280"/>
      <c r="R102" s="135"/>
      <c r="S102" s="333"/>
      <c r="T102" s="340"/>
      <c r="U102" s="341"/>
      <c r="V102" s="340"/>
      <c r="W102" s="341"/>
      <c r="X102" s="340"/>
      <c r="Y102" s="341"/>
      <c r="Z102" s="340"/>
      <c r="AA102" s="341"/>
      <c r="AB102" s="301"/>
      <c r="AC102" s="134"/>
      <c r="AG102" s="117"/>
      <c r="AH102" s="117"/>
      <c r="AI102" s="130"/>
      <c r="AJ102" s="130"/>
      <c r="AK102" s="117"/>
      <c r="AL102" s="117"/>
      <c r="AM102" s="117"/>
      <c r="AN102" s="117"/>
      <c r="AO102" s="117"/>
      <c r="AP102" s="128"/>
      <c r="AQ102" s="117"/>
      <c r="AR102" s="89"/>
      <c r="AS102" s="89"/>
      <c r="AT102" s="89"/>
    </row>
    <row r="103" spans="1:46" s="82" customFormat="1" ht="15" customHeight="1" x14ac:dyDescent="0.25">
      <c r="A103" s="186"/>
      <c r="B103" s="187"/>
      <c r="C103" s="131" t="s">
        <v>175</v>
      </c>
      <c r="D103" s="136">
        <f>D102</f>
        <v>1822</v>
      </c>
      <c r="E103" s="120"/>
      <c r="F103" s="121"/>
      <c r="G103" s="121"/>
      <c r="H103" s="121"/>
      <c r="I103" s="121"/>
      <c r="J103" s="132"/>
      <c r="K103" s="133"/>
      <c r="L103" s="129"/>
      <c r="M103" s="134"/>
      <c r="N103" s="135"/>
      <c r="O103" s="134"/>
      <c r="P103" s="135"/>
      <c r="Q103" s="280"/>
      <c r="R103" s="135"/>
      <c r="S103" s="333"/>
      <c r="T103" s="340"/>
      <c r="U103" s="341"/>
      <c r="V103" s="340"/>
      <c r="W103" s="341"/>
      <c r="X103" s="340"/>
      <c r="Y103" s="341"/>
      <c r="Z103" s="340"/>
      <c r="AA103" s="341"/>
      <c r="AB103" s="301"/>
      <c r="AC103" s="134"/>
      <c r="AG103" s="117"/>
      <c r="AH103" s="117"/>
      <c r="AI103" s="130"/>
      <c r="AJ103" s="130"/>
      <c r="AK103" s="117"/>
      <c r="AL103" s="117"/>
      <c r="AM103" s="117"/>
      <c r="AN103" s="117"/>
      <c r="AO103" s="117"/>
      <c r="AP103" s="128"/>
      <c r="AQ103" s="117"/>
      <c r="AR103" s="89"/>
      <c r="AS103" s="89"/>
      <c r="AT103" s="89"/>
    </row>
    <row r="104" spans="1:46" s="82" customFormat="1" ht="15" customHeight="1" thickBot="1" x14ac:dyDescent="0.3">
      <c r="A104" s="186"/>
      <c r="B104" s="187"/>
      <c r="C104" s="131" t="s">
        <v>175</v>
      </c>
      <c r="D104" s="136">
        <f>D102</f>
        <v>1822</v>
      </c>
      <c r="E104" s="120"/>
      <c r="F104" s="121"/>
      <c r="G104" s="121"/>
      <c r="H104" s="121"/>
      <c r="I104" s="121"/>
      <c r="J104" s="132"/>
      <c r="K104" s="133"/>
      <c r="L104" s="129"/>
      <c r="M104" s="134"/>
      <c r="N104" s="135"/>
      <c r="O104" s="134"/>
      <c r="P104" s="135"/>
      <c r="Q104" s="280"/>
      <c r="R104" s="135"/>
      <c r="S104" s="333"/>
      <c r="T104" s="340"/>
      <c r="U104" s="341"/>
      <c r="V104" s="340"/>
      <c r="W104" s="341"/>
      <c r="X104" s="340"/>
      <c r="Y104" s="341"/>
      <c r="Z104" s="340"/>
      <c r="AA104" s="341"/>
      <c r="AB104" s="301"/>
      <c r="AC104" s="134"/>
      <c r="AG104" s="117"/>
      <c r="AH104" s="117"/>
      <c r="AI104" s="130"/>
      <c r="AJ104" s="130"/>
      <c r="AK104" s="117"/>
      <c r="AL104" s="117"/>
      <c r="AM104" s="117"/>
      <c r="AN104" s="117"/>
      <c r="AO104" s="117"/>
      <c r="AP104" s="128"/>
      <c r="AQ104" s="117"/>
      <c r="AR104" s="89"/>
      <c r="AS104" s="89"/>
      <c r="AT104" s="89"/>
    </row>
    <row r="105" spans="1:46" s="82" customFormat="1" ht="15" hidden="1" customHeight="1" x14ac:dyDescent="0.25">
      <c r="A105" s="190"/>
      <c r="B105" s="191"/>
      <c r="C105" s="163" t="s">
        <v>160</v>
      </c>
      <c r="D105" s="164"/>
      <c r="E105" s="165">
        <f t="shared" ref="E105:M105" si="49">(E96*$D96-E97*$D97-E98*$D98-E99*$D99-E100*$D100-E101*$D101-E102*$D102-E103*$D103-E104*$D104)/1000000</f>
        <v>0</v>
      </c>
      <c r="F105" s="165">
        <f t="shared" si="49"/>
        <v>0</v>
      </c>
      <c r="G105" s="165">
        <f t="shared" si="49"/>
        <v>0</v>
      </c>
      <c r="H105" s="165">
        <f t="shared" si="49"/>
        <v>0</v>
      </c>
      <c r="I105" s="165">
        <f t="shared" si="49"/>
        <v>0</v>
      </c>
      <c r="J105" s="166">
        <f t="shared" si="49"/>
        <v>0</v>
      </c>
      <c r="K105" s="167">
        <f t="shared" si="49"/>
        <v>0</v>
      </c>
      <c r="L105" s="165">
        <f t="shared" si="49"/>
        <v>0</v>
      </c>
      <c r="M105" s="165">
        <f t="shared" si="49"/>
        <v>0</v>
      </c>
      <c r="N105" s="169"/>
      <c r="O105" s="170"/>
      <c r="P105" s="169"/>
      <c r="Q105" s="281"/>
      <c r="R105" s="327">
        <f t="shared" ref="R105:AC105" si="50">(R96*$D96)/1000000</f>
        <v>0</v>
      </c>
      <c r="S105" s="143">
        <f t="shared" si="50"/>
        <v>0</v>
      </c>
      <c r="T105" s="342">
        <f t="shared" si="50"/>
        <v>0</v>
      </c>
      <c r="U105" s="343">
        <f t="shared" si="50"/>
        <v>0</v>
      </c>
      <c r="V105" s="342">
        <f t="shared" si="50"/>
        <v>0</v>
      </c>
      <c r="W105" s="343">
        <f t="shared" si="50"/>
        <v>0</v>
      </c>
      <c r="X105" s="342">
        <f t="shared" ref="X105:AA105" si="51">(X96*$D96)/1000000</f>
        <v>0</v>
      </c>
      <c r="Y105" s="343">
        <f t="shared" si="51"/>
        <v>0</v>
      </c>
      <c r="Z105" s="342">
        <f t="shared" si="51"/>
        <v>0</v>
      </c>
      <c r="AA105" s="343">
        <f t="shared" si="51"/>
        <v>0</v>
      </c>
      <c r="AB105" s="142">
        <f t="shared" si="50"/>
        <v>0</v>
      </c>
      <c r="AC105" s="168">
        <f t="shared" si="50"/>
        <v>0</v>
      </c>
      <c r="AG105" s="117"/>
      <c r="AH105" s="117"/>
      <c r="AI105" s="130"/>
      <c r="AJ105" s="130"/>
      <c r="AK105" s="117"/>
      <c r="AL105" s="117"/>
      <c r="AM105" s="117"/>
      <c r="AN105" s="117"/>
      <c r="AO105" s="117"/>
      <c r="AP105" s="128"/>
      <c r="AQ105" s="117"/>
      <c r="AR105" s="89"/>
      <c r="AS105" s="89"/>
      <c r="AT105" s="89"/>
    </row>
    <row r="106" spans="1:46" s="82" customFormat="1" ht="15" hidden="1" customHeight="1" x14ac:dyDescent="0.25">
      <c r="A106" s="186"/>
      <c r="B106" s="187"/>
      <c r="C106" s="109" t="s">
        <v>163</v>
      </c>
      <c r="D106" s="136"/>
      <c r="E106" s="137">
        <f t="shared" ref="E106:M106" si="52">E105*E95</f>
        <v>0</v>
      </c>
      <c r="F106" s="137">
        <f t="shared" si="52"/>
        <v>0</v>
      </c>
      <c r="G106" s="137">
        <f t="shared" si="52"/>
        <v>0</v>
      </c>
      <c r="H106" s="137">
        <f t="shared" si="52"/>
        <v>0</v>
      </c>
      <c r="I106" s="137">
        <f t="shared" si="52"/>
        <v>0</v>
      </c>
      <c r="J106" s="138">
        <f t="shared" si="52"/>
        <v>0</v>
      </c>
      <c r="K106" s="139">
        <f t="shared" si="52"/>
        <v>0</v>
      </c>
      <c r="L106" s="137">
        <f t="shared" si="52"/>
        <v>0</v>
      </c>
      <c r="M106" s="140">
        <f t="shared" si="52"/>
        <v>0</v>
      </c>
      <c r="N106" s="141"/>
      <c r="O106" s="125"/>
      <c r="P106" s="141"/>
      <c r="Q106" s="282"/>
      <c r="R106" s="139">
        <f t="shared" ref="R106:AC106" si="53">R105*R95</f>
        <v>0</v>
      </c>
      <c r="S106" s="138">
        <f t="shared" si="53"/>
        <v>0</v>
      </c>
      <c r="T106" s="342">
        <f t="shared" si="53"/>
        <v>0</v>
      </c>
      <c r="U106" s="344">
        <f t="shared" si="53"/>
        <v>0</v>
      </c>
      <c r="V106" s="342">
        <f t="shared" si="53"/>
        <v>0</v>
      </c>
      <c r="W106" s="344">
        <f t="shared" si="53"/>
        <v>0</v>
      </c>
      <c r="X106" s="342">
        <f t="shared" ref="X106:AA106" si="54">X105*X95</f>
        <v>0</v>
      </c>
      <c r="Y106" s="344">
        <f t="shared" si="54"/>
        <v>0</v>
      </c>
      <c r="Z106" s="342">
        <f t="shared" si="54"/>
        <v>0</v>
      </c>
      <c r="AA106" s="344">
        <f t="shared" si="54"/>
        <v>0</v>
      </c>
      <c r="AB106" s="137">
        <f t="shared" si="53"/>
        <v>0</v>
      </c>
      <c r="AC106" s="140">
        <f t="shared" si="53"/>
        <v>0</v>
      </c>
      <c r="AG106" s="117"/>
      <c r="AH106" s="117"/>
      <c r="AI106" s="130"/>
      <c r="AJ106" s="130"/>
      <c r="AK106" s="117"/>
      <c r="AL106" s="117"/>
      <c r="AM106" s="117"/>
      <c r="AN106" s="117"/>
      <c r="AO106" s="117"/>
      <c r="AP106" s="128"/>
      <c r="AQ106" s="117"/>
      <c r="AR106" s="89"/>
      <c r="AS106" s="89"/>
      <c r="AT106" s="89"/>
    </row>
    <row r="107" spans="1:46" s="82" customFormat="1" ht="15" hidden="1" customHeight="1" x14ac:dyDescent="0.25">
      <c r="A107" s="186"/>
      <c r="B107" s="187"/>
      <c r="C107" s="109" t="s">
        <v>176</v>
      </c>
      <c r="D107" s="136"/>
      <c r="E107" s="137">
        <f t="shared" ref="E107:J109" si="55">IF(E102&gt;0, (E102+$D102*2)/1000, 0)</f>
        <v>0</v>
      </c>
      <c r="F107" s="142">
        <f t="shared" si="55"/>
        <v>0</v>
      </c>
      <c r="G107" s="142">
        <f t="shared" si="55"/>
        <v>0</v>
      </c>
      <c r="H107" s="142">
        <f t="shared" si="55"/>
        <v>0</v>
      </c>
      <c r="I107" s="142">
        <f t="shared" si="55"/>
        <v>0</v>
      </c>
      <c r="J107" s="143">
        <f t="shared" si="55"/>
        <v>0</v>
      </c>
      <c r="K107" s="139"/>
      <c r="L107" s="142"/>
      <c r="M107" s="144"/>
      <c r="N107" s="141"/>
      <c r="O107" s="125"/>
      <c r="P107" s="141"/>
      <c r="Q107" s="282"/>
      <c r="R107" s="141"/>
      <c r="S107" s="334"/>
      <c r="T107" s="345"/>
      <c r="U107" s="346"/>
      <c r="V107" s="345"/>
      <c r="W107" s="346"/>
      <c r="X107" s="345"/>
      <c r="Y107" s="346"/>
      <c r="Z107" s="345"/>
      <c r="AA107" s="346"/>
      <c r="AB107" s="302"/>
      <c r="AC107" s="125"/>
      <c r="AG107" s="117"/>
      <c r="AH107" s="117"/>
      <c r="AI107" s="130"/>
      <c r="AJ107" s="130"/>
      <c r="AK107" s="117"/>
      <c r="AL107" s="117"/>
      <c r="AM107" s="117"/>
      <c r="AN107" s="117"/>
      <c r="AO107" s="117"/>
      <c r="AP107" s="128"/>
      <c r="AQ107" s="117"/>
      <c r="AR107" s="89"/>
      <c r="AS107" s="89"/>
      <c r="AT107" s="89"/>
    </row>
    <row r="108" spans="1:46" s="82" customFormat="1" ht="15" hidden="1" customHeight="1" x14ac:dyDescent="0.25">
      <c r="A108" s="192"/>
      <c r="B108" s="193"/>
      <c r="C108" s="109" t="s">
        <v>176</v>
      </c>
      <c r="D108" s="136"/>
      <c r="E108" s="137">
        <f t="shared" si="55"/>
        <v>0</v>
      </c>
      <c r="F108" s="142">
        <f t="shared" si="55"/>
        <v>0</v>
      </c>
      <c r="G108" s="142">
        <f t="shared" si="55"/>
        <v>0</v>
      </c>
      <c r="H108" s="142">
        <f t="shared" si="55"/>
        <v>0</v>
      </c>
      <c r="I108" s="142">
        <f t="shared" si="55"/>
        <v>0</v>
      </c>
      <c r="J108" s="143">
        <f t="shared" si="55"/>
        <v>0</v>
      </c>
      <c r="K108" s="139"/>
      <c r="L108" s="142"/>
      <c r="M108" s="144"/>
      <c r="N108" s="141"/>
      <c r="O108" s="125"/>
      <c r="P108" s="141"/>
      <c r="Q108" s="282"/>
      <c r="R108" s="141"/>
      <c r="S108" s="334"/>
      <c r="T108" s="345"/>
      <c r="U108" s="346"/>
      <c r="V108" s="345"/>
      <c r="W108" s="346"/>
      <c r="X108" s="345"/>
      <c r="Y108" s="346"/>
      <c r="Z108" s="345"/>
      <c r="AA108" s="346"/>
      <c r="AB108" s="302"/>
      <c r="AC108" s="125"/>
      <c r="AG108" s="117"/>
      <c r="AH108" s="117"/>
      <c r="AI108" s="130"/>
      <c r="AJ108" s="130"/>
      <c r="AK108" s="117"/>
      <c r="AL108" s="117"/>
      <c r="AM108" s="117"/>
      <c r="AN108" s="117"/>
      <c r="AO108" s="117"/>
      <c r="AP108" s="128"/>
      <c r="AQ108" s="117"/>
      <c r="AR108" s="89"/>
      <c r="AS108" s="89"/>
      <c r="AT108" s="89"/>
    </row>
    <row r="109" spans="1:46" s="82" customFormat="1" ht="15" hidden="1" customHeight="1" x14ac:dyDescent="0.25">
      <c r="A109" s="192"/>
      <c r="B109" s="193"/>
      <c r="C109" s="109" t="s">
        <v>176</v>
      </c>
      <c r="D109" s="136"/>
      <c r="E109" s="137">
        <f t="shared" si="55"/>
        <v>0</v>
      </c>
      <c r="F109" s="142">
        <f t="shared" si="55"/>
        <v>0</v>
      </c>
      <c r="G109" s="142">
        <f t="shared" si="55"/>
        <v>0</v>
      </c>
      <c r="H109" s="142">
        <f t="shared" si="55"/>
        <v>0</v>
      </c>
      <c r="I109" s="142">
        <f t="shared" si="55"/>
        <v>0</v>
      </c>
      <c r="J109" s="143">
        <f t="shared" si="55"/>
        <v>0</v>
      </c>
      <c r="K109" s="139"/>
      <c r="L109" s="142"/>
      <c r="M109" s="144"/>
      <c r="N109" s="141"/>
      <c r="O109" s="125"/>
      <c r="P109" s="141"/>
      <c r="Q109" s="282"/>
      <c r="R109" s="141"/>
      <c r="S109" s="334"/>
      <c r="T109" s="345"/>
      <c r="U109" s="346"/>
      <c r="V109" s="345"/>
      <c r="W109" s="346"/>
      <c r="X109" s="345"/>
      <c r="Y109" s="346"/>
      <c r="Z109" s="345"/>
      <c r="AA109" s="346"/>
      <c r="AB109" s="302"/>
      <c r="AC109" s="125"/>
      <c r="AG109" s="117"/>
      <c r="AH109" s="117"/>
      <c r="AI109" s="130"/>
      <c r="AJ109" s="130"/>
      <c r="AK109" s="117"/>
      <c r="AL109" s="117"/>
      <c r="AM109" s="117"/>
      <c r="AN109" s="117"/>
      <c r="AO109" s="117"/>
      <c r="AP109" s="128"/>
      <c r="AQ109" s="117"/>
      <c r="AR109" s="89"/>
      <c r="AS109" s="89"/>
      <c r="AT109" s="89"/>
    </row>
    <row r="110" spans="1:46" s="82" customFormat="1" ht="15" hidden="1" customHeight="1" x14ac:dyDescent="0.25">
      <c r="A110" s="194"/>
      <c r="B110" s="195"/>
      <c r="C110" s="109" t="s">
        <v>628</v>
      </c>
      <c r="D110" s="136"/>
      <c r="E110" s="137">
        <f t="shared" ref="E110:J112" si="56">IF(E102&gt;0, (E102+$D102)*2/1000, 0)</f>
        <v>0</v>
      </c>
      <c r="F110" s="142">
        <f t="shared" si="56"/>
        <v>0</v>
      </c>
      <c r="G110" s="142">
        <f t="shared" si="56"/>
        <v>0</v>
      </c>
      <c r="H110" s="142">
        <f t="shared" si="56"/>
        <v>0</v>
      </c>
      <c r="I110" s="142">
        <f t="shared" si="56"/>
        <v>0</v>
      </c>
      <c r="J110" s="143">
        <f t="shared" si="56"/>
        <v>0</v>
      </c>
      <c r="K110" s="139"/>
      <c r="L110" s="142"/>
      <c r="M110" s="144"/>
      <c r="N110" s="141"/>
      <c r="O110" s="125"/>
      <c r="P110" s="141"/>
      <c r="Q110" s="282"/>
      <c r="R110" s="141"/>
      <c r="S110" s="334"/>
      <c r="T110" s="345"/>
      <c r="U110" s="346"/>
      <c r="V110" s="345"/>
      <c r="W110" s="346"/>
      <c r="X110" s="345"/>
      <c r="Y110" s="346"/>
      <c r="Z110" s="345"/>
      <c r="AA110" s="346"/>
      <c r="AB110" s="302"/>
      <c r="AC110" s="125"/>
      <c r="AG110" s="117"/>
      <c r="AH110" s="117"/>
      <c r="AI110" s="130"/>
      <c r="AJ110" s="130"/>
      <c r="AK110" s="117"/>
      <c r="AL110" s="117"/>
      <c r="AM110" s="117"/>
      <c r="AN110" s="117"/>
      <c r="AO110" s="117"/>
      <c r="AP110" s="128"/>
      <c r="AQ110" s="117"/>
      <c r="AR110" s="89"/>
      <c r="AS110" s="89"/>
      <c r="AT110" s="89"/>
    </row>
    <row r="111" spans="1:46" s="82" customFormat="1" ht="15" hidden="1" customHeight="1" x14ac:dyDescent="0.25">
      <c r="A111" s="186"/>
      <c r="B111" s="187"/>
      <c r="C111" s="109" t="s">
        <v>628</v>
      </c>
      <c r="D111" s="136"/>
      <c r="E111" s="137">
        <f t="shared" si="56"/>
        <v>0</v>
      </c>
      <c r="F111" s="142">
        <f t="shared" si="56"/>
        <v>0</v>
      </c>
      <c r="G111" s="142">
        <f t="shared" si="56"/>
        <v>0</v>
      </c>
      <c r="H111" s="142">
        <f t="shared" si="56"/>
        <v>0</v>
      </c>
      <c r="I111" s="142">
        <f t="shared" si="56"/>
        <v>0</v>
      </c>
      <c r="J111" s="143">
        <f t="shared" si="56"/>
        <v>0</v>
      </c>
      <c r="K111" s="139"/>
      <c r="L111" s="142"/>
      <c r="M111" s="144"/>
      <c r="N111" s="141"/>
      <c r="O111" s="125"/>
      <c r="P111" s="141"/>
      <c r="Q111" s="282"/>
      <c r="R111" s="141"/>
      <c r="S111" s="334"/>
      <c r="T111" s="345"/>
      <c r="U111" s="346"/>
      <c r="V111" s="345"/>
      <c r="W111" s="346"/>
      <c r="X111" s="345"/>
      <c r="Y111" s="346"/>
      <c r="Z111" s="345"/>
      <c r="AA111" s="346"/>
      <c r="AB111" s="302"/>
      <c r="AC111" s="125"/>
      <c r="AG111" s="117"/>
      <c r="AH111" s="117"/>
      <c r="AI111" s="130"/>
      <c r="AJ111" s="130"/>
      <c r="AK111" s="117"/>
      <c r="AL111" s="117"/>
      <c r="AM111" s="117"/>
      <c r="AN111" s="117"/>
      <c r="AO111" s="117"/>
      <c r="AP111" s="128"/>
      <c r="AQ111" s="117"/>
      <c r="AR111" s="89"/>
      <c r="AS111" s="89"/>
      <c r="AT111" s="89"/>
    </row>
    <row r="112" spans="1:46" s="82" customFormat="1" ht="15" hidden="1" customHeight="1" thickBot="1" x14ac:dyDescent="0.3">
      <c r="A112" s="188"/>
      <c r="B112" s="189"/>
      <c r="C112" s="109" t="s">
        <v>628</v>
      </c>
      <c r="D112" s="145"/>
      <c r="E112" s="146">
        <f t="shared" si="56"/>
        <v>0</v>
      </c>
      <c r="F112" s="147">
        <f t="shared" si="56"/>
        <v>0</v>
      </c>
      <c r="G112" s="147">
        <f t="shared" si="56"/>
        <v>0</v>
      </c>
      <c r="H112" s="147">
        <f t="shared" si="56"/>
        <v>0</v>
      </c>
      <c r="I112" s="147">
        <f t="shared" si="56"/>
        <v>0</v>
      </c>
      <c r="J112" s="148">
        <f t="shared" si="56"/>
        <v>0</v>
      </c>
      <c r="K112" s="149"/>
      <c r="L112" s="147"/>
      <c r="M112" s="150"/>
      <c r="N112" s="151"/>
      <c r="O112" s="152"/>
      <c r="P112" s="151"/>
      <c r="Q112" s="283"/>
      <c r="R112" s="151"/>
      <c r="S112" s="335"/>
      <c r="T112" s="347"/>
      <c r="U112" s="348"/>
      <c r="V112" s="347"/>
      <c r="W112" s="348"/>
      <c r="X112" s="347"/>
      <c r="Y112" s="348"/>
      <c r="Z112" s="347"/>
      <c r="AA112" s="348"/>
      <c r="AB112" s="303"/>
      <c r="AC112" s="152"/>
      <c r="AG112" s="117"/>
      <c r="AH112" s="117"/>
      <c r="AI112" s="130"/>
      <c r="AJ112" s="130"/>
      <c r="AK112" s="117"/>
      <c r="AL112" s="117"/>
      <c r="AM112" s="117"/>
      <c r="AN112" s="117"/>
      <c r="AO112" s="117"/>
      <c r="AP112" s="128"/>
      <c r="AQ112" s="117"/>
      <c r="AR112" s="89"/>
      <c r="AS112" s="89"/>
      <c r="AT112" s="89"/>
    </row>
    <row r="113" spans="1:46" s="82" customFormat="1" ht="15" customHeight="1" x14ac:dyDescent="0.25">
      <c r="A113" s="181">
        <v>4</v>
      </c>
      <c r="B113" s="185" t="s">
        <v>625</v>
      </c>
      <c r="C113" s="105" t="s">
        <v>165</v>
      </c>
      <c r="D113" s="325"/>
      <c r="E113" s="306"/>
      <c r="F113" s="307"/>
      <c r="G113" s="307"/>
      <c r="H113" s="307"/>
      <c r="I113" s="307"/>
      <c r="J113" s="308"/>
      <c r="K113" s="309"/>
      <c r="L113" s="307"/>
      <c r="M113" s="310"/>
      <c r="N113" s="106"/>
      <c r="O113" s="107"/>
      <c r="P113" s="106"/>
      <c r="Q113" s="278"/>
      <c r="R113" s="309"/>
      <c r="S113" s="308"/>
      <c r="T113" s="336"/>
      <c r="U113" s="337"/>
      <c r="V113" s="336"/>
      <c r="W113" s="337"/>
      <c r="X113" s="336"/>
      <c r="Y113" s="337"/>
      <c r="Z113" s="336"/>
      <c r="AA113" s="337"/>
      <c r="AB113" s="307"/>
      <c r="AC113" s="310"/>
      <c r="AG113" s="117" t="s">
        <v>77</v>
      </c>
      <c r="AH113" s="117" t="s">
        <v>167</v>
      </c>
      <c r="AI113" s="117" t="s">
        <v>164</v>
      </c>
      <c r="AJ113" s="117" t="s">
        <v>166</v>
      </c>
      <c r="AK113" s="94" t="s">
        <v>106</v>
      </c>
      <c r="AL113" s="117" t="s">
        <v>162</v>
      </c>
      <c r="AM113" s="117" t="s">
        <v>629</v>
      </c>
      <c r="AN113" s="117"/>
      <c r="AO113" s="117"/>
      <c r="AP113" s="128"/>
      <c r="AQ113" s="117"/>
      <c r="AR113" s="89"/>
      <c r="AS113" s="89"/>
      <c r="AT113" s="89"/>
    </row>
    <row r="114" spans="1:46" s="82" customFormat="1" ht="15" customHeight="1" x14ac:dyDescent="0.25">
      <c r="A114" s="186"/>
      <c r="B114" s="187"/>
      <c r="C114" s="118" t="s">
        <v>627</v>
      </c>
      <c r="D114" s="119">
        <f>D96</f>
        <v>2644</v>
      </c>
      <c r="E114" s="120"/>
      <c r="F114" s="121"/>
      <c r="G114" s="121"/>
      <c r="H114" s="121"/>
      <c r="I114" s="122">
        <f>G114-E114</f>
        <v>0</v>
      </c>
      <c r="J114" s="123">
        <f>H114-F114</f>
        <v>0</v>
      </c>
      <c r="K114" s="124"/>
      <c r="L114" s="122">
        <f>K114</f>
        <v>0</v>
      </c>
      <c r="M114" s="125">
        <f>IF(L114&gt;0, 100, 0)</f>
        <v>0</v>
      </c>
      <c r="N114" s="126"/>
      <c r="O114" s="127"/>
      <c r="P114" s="126"/>
      <c r="Q114" s="279"/>
      <c r="R114" s="126"/>
      <c r="S114" s="332"/>
      <c r="T114" s="338"/>
      <c r="U114" s="339"/>
      <c r="V114" s="338"/>
      <c r="W114" s="339"/>
      <c r="X114" s="338"/>
      <c r="Y114" s="339"/>
      <c r="Z114" s="338"/>
      <c r="AA114" s="339"/>
      <c r="AB114" s="300"/>
      <c r="AC114" s="127"/>
      <c r="AG114" s="108">
        <f>SUM(E123:L123)</f>
        <v>0</v>
      </c>
      <c r="AH114" s="108">
        <f>SUM(E124:AC124)</f>
        <v>0</v>
      </c>
      <c r="AI114" s="286">
        <f>((E114*F114+H114*I114)-K114*M114-(R114*S114+T114*U114+V114*W114+X114*Y114+Z114*AA114+AB114*AC114)-P114*Q114)/1000000</f>
        <v>0</v>
      </c>
      <c r="AJ114" s="117">
        <f>((E114*F114+H114*I114)-K114*M114-(R114*S114+T114*U114+V114*W114+X114*Y114+Z114*AA114+AB114*AC114)+N114*O114)/1000000</f>
        <v>0</v>
      </c>
      <c r="AK114" s="108">
        <f>(SUM(E114:M114)-SUM(E115:M119))/1000</f>
        <v>0</v>
      </c>
      <c r="AL114" s="108">
        <f>SUM(E125:J127)</f>
        <v>0</v>
      </c>
      <c r="AM114" s="159">
        <f>SUM(E128:J130)</f>
        <v>0</v>
      </c>
      <c r="AN114" s="117"/>
      <c r="AO114" s="117"/>
      <c r="AP114" s="128"/>
      <c r="AQ114" s="117"/>
      <c r="AR114" s="89"/>
      <c r="AS114" s="89"/>
      <c r="AT114" s="89"/>
    </row>
    <row r="115" spans="1:46" s="82" customFormat="1" ht="15" hidden="1" customHeight="1" x14ac:dyDescent="0.25">
      <c r="A115" s="186"/>
      <c r="B115" s="187"/>
      <c r="C115" s="131" t="s">
        <v>158</v>
      </c>
      <c r="D115" s="119">
        <f>D114</f>
        <v>2644</v>
      </c>
      <c r="E115" s="120"/>
      <c r="F115" s="121"/>
      <c r="G115" s="121"/>
      <c r="H115" s="121"/>
      <c r="I115" s="121"/>
      <c r="J115" s="132"/>
      <c r="K115" s="133"/>
      <c r="L115" s="129"/>
      <c r="M115" s="134"/>
      <c r="N115" s="135"/>
      <c r="O115" s="134"/>
      <c r="P115" s="135"/>
      <c r="Q115" s="280"/>
      <c r="R115" s="135"/>
      <c r="S115" s="333"/>
      <c r="T115" s="340"/>
      <c r="U115" s="341"/>
      <c r="V115" s="340"/>
      <c r="W115" s="341"/>
      <c r="X115" s="340"/>
      <c r="Y115" s="341"/>
      <c r="Z115" s="340"/>
      <c r="AA115" s="341"/>
      <c r="AB115" s="301"/>
      <c r="AC115" s="134"/>
      <c r="AG115" s="130"/>
      <c r="AH115" s="130"/>
      <c r="AI115" s="130"/>
      <c r="AJ115" s="130"/>
      <c r="AK115" s="130"/>
      <c r="AL115" s="130"/>
      <c r="AM115" s="130"/>
      <c r="AN115" s="117"/>
      <c r="AO115" s="117"/>
      <c r="AP115" s="128"/>
      <c r="AQ115" s="117"/>
      <c r="AR115" s="89"/>
      <c r="AS115" s="89"/>
      <c r="AT115" s="89"/>
    </row>
    <row r="116" spans="1:46" s="82" customFormat="1" ht="15" hidden="1" customHeight="1" x14ac:dyDescent="0.25">
      <c r="A116" s="186"/>
      <c r="B116" s="187"/>
      <c r="C116" s="131" t="s">
        <v>158</v>
      </c>
      <c r="D116" s="119"/>
      <c r="E116" s="120"/>
      <c r="F116" s="121"/>
      <c r="G116" s="121"/>
      <c r="H116" s="121"/>
      <c r="I116" s="121"/>
      <c r="J116" s="132"/>
      <c r="K116" s="133"/>
      <c r="L116" s="129"/>
      <c r="M116" s="134"/>
      <c r="N116" s="135"/>
      <c r="O116" s="134"/>
      <c r="P116" s="135"/>
      <c r="Q116" s="280"/>
      <c r="R116" s="135"/>
      <c r="S116" s="333"/>
      <c r="T116" s="340"/>
      <c r="U116" s="341"/>
      <c r="V116" s="340"/>
      <c r="W116" s="341"/>
      <c r="X116" s="340"/>
      <c r="Y116" s="341"/>
      <c r="Z116" s="340"/>
      <c r="AA116" s="341"/>
      <c r="AB116" s="301"/>
      <c r="AC116" s="134"/>
      <c r="AG116" s="130"/>
      <c r="AH116" s="130"/>
      <c r="AI116" s="130"/>
      <c r="AJ116" s="130"/>
      <c r="AK116" s="130"/>
      <c r="AL116" s="130"/>
      <c r="AM116" s="130"/>
      <c r="AN116" s="117"/>
      <c r="AO116" s="117"/>
      <c r="AP116" s="128"/>
      <c r="AQ116" s="117"/>
      <c r="AR116" s="89"/>
      <c r="AS116" s="89"/>
      <c r="AT116" s="89"/>
    </row>
    <row r="117" spans="1:46" s="82" customFormat="1" ht="15" customHeight="1" x14ac:dyDescent="0.25">
      <c r="A117" s="186"/>
      <c r="B117" s="187"/>
      <c r="C117" s="131" t="s">
        <v>159</v>
      </c>
      <c r="D117" s="136">
        <v>2100</v>
      </c>
      <c r="E117" s="120"/>
      <c r="F117" s="121"/>
      <c r="G117" s="121">
        <f>IF(AND(G114 &lt;&gt;"", E114=""), 900, 0)</f>
        <v>0</v>
      </c>
      <c r="H117" s="121"/>
      <c r="I117" s="121"/>
      <c r="J117" s="132"/>
      <c r="K117" s="133"/>
      <c r="L117" s="129"/>
      <c r="M117" s="134"/>
      <c r="N117" s="135"/>
      <c r="O117" s="134"/>
      <c r="P117" s="135"/>
      <c r="Q117" s="280"/>
      <c r="R117" s="135"/>
      <c r="S117" s="333"/>
      <c r="T117" s="340"/>
      <c r="U117" s="341"/>
      <c r="V117" s="340"/>
      <c r="W117" s="341"/>
      <c r="X117" s="340"/>
      <c r="Y117" s="341"/>
      <c r="Z117" s="340"/>
      <c r="AA117" s="341"/>
      <c r="AB117" s="301"/>
      <c r="AC117" s="134"/>
      <c r="AG117" s="117"/>
      <c r="AH117" s="117"/>
      <c r="AI117" s="117"/>
      <c r="AJ117" s="117"/>
      <c r="AK117" s="117"/>
      <c r="AL117" s="117"/>
      <c r="AM117" s="117"/>
      <c r="AN117" s="117"/>
      <c r="AO117" s="117"/>
      <c r="AP117" s="128"/>
      <c r="AQ117" s="117"/>
      <c r="AR117" s="89"/>
      <c r="AS117" s="89"/>
      <c r="AT117" s="89"/>
    </row>
    <row r="118" spans="1:46" s="82" customFormat="1" ht="15" hidden="1" customHeight="1" x14ac:dyDescent="0.25">
      <c r="A118" s="186"/>
      <c r="B118" s="187"/>
      <c r="C118" s="131" t="s">
        <v>159</v>
      </c>
      <c r="D118" s="136">
        <v>2100</v>
      </c>
      <c r="E118" s="120"/>
      <c r="F118" s="121"/>
      <c r="G118" s="121"/>
      <c r="H118" s="121"/>
      <c r="I118" s="121"/>
      <c r="J118" s="132"/>
      <c r="K118" s="133"/>
      <c r="L118" s="129"/>
      <c r="M118" s="134"/>
      <c r="N118" s="135"/>
      <c r="O118" s="134"/>
      <c r="P118" s="135"/>
      <c r="Q118" s="280"/>
      <c r="R118" s="135"/>
      <c r="S118" s="333"/>
      <c r="T118" s="340"/>
      <c r="U118" s="341"/>
      <c r="V118" s="340"/>
      <c r="W118" s="341"/>
      <c r="X118" s="340"/>
      <c r="Y118" s="341"/>
      <c r="Z118" s="340"/>
      <c r="AA118" s="341"/>
      <c r="AB118" s="301"/>
      <c r="AC118" s="134"/>
      <c r="AG118" s="117"/>
      <c r="AH118" s="117"/>
      <c r="AI118" s="117"/>
      <c r="AJ118" s="117"/>
      <c r="AK118" s="117"/>
      <c r="AL118" s="117"/>
      <c r="AM118" s="117"/>
      <c r="AN118" s="117"/>
      <c r="AO118" s="117"/>
      <c r="AP118" s="128"/>
      <c r="AQ118" s="117"/>
      <c r="AR118" s="89"/>
      <c r="AS118" s="89"/>
      <c r="AT118" s="89"/>
    </row>
    <row r="119" spans="1:46" s="82" customFormat="1" ht="15" hidden="1" customHeight="1" x14ac:dyDescent="0.25">
      <c r="A119" s="186"/>
      <c r="B119" s="187"/>
      <c r="C119" s="131" t="s">
        <v>159</v>
      </c>
      <c r="D119" s="136">
        <f>D117</f>
        <v>2100</v>
      </c>
      <c r="E119" s="120"/>
      <c r="F119" s="121"/>
      <c r="G119" s="121"/>
      <c r="H119" s="121"/>
      <c r="I119" s="121"/>
      <c r="J119" s="132"/>
      <c r="K119" s="133"/>
      <c r="L119" s="129"/>
      <c r="M119" s="134"/>
      <c r="N119" s="135"/>
      <c r="O119" s="134"/>
      <c r="P119" s="135"/>
      <c r="Q119" s="280"/>
      <c r="R119" s="135"/>
      <c r="S119" s="333"/>
      <c r="T119" s="340"/>
      <c r="U119" s="341"/>
      <c r="V119" s="340"/>
      <c r="W119" s="341"/>
      <c r="X119" s="340"/>
      <c r="Y119" s="341"/>
      <c r="Z119" s="340"/>
      <c r="AA119" s="341"/>
      <c r="AB119" s="301"/>
      <c r="AC119" s="134"/>
      <c r="AG119" s="117"/>
      <c r="AH119" s="117"/>
      <c r="AI119" s="117"/>
      <c r="AJ119" s="117"/>
      <c r="AK119" s="117"/>
      <c r="AL119" s="117"/>
      <c r="AM119" s="117"/>
      <c r="AN119" s="117"/>
      <c r="AO119" s="117"/>
      <c r="AP119" s="128"/>
      <c r="AQ119" s="117"/>
      <c r="AR119" s="89"/>
      <c r="AS119" s="89"/>
      <c r="AT119" s="89"/>
    </row>
    <row r="120" spans="1:46" s="82" customFormat="1" ht="15" customHeight="1" x14ac:dyDescent="0.25">
      <c r="A120" s="186"/>
      <c r="B120" s="187"/>
      <c r="C120" s="131" t="s">
        <v>175</v>
      </c>
      <c r="D120" s="119">
        <f>D102</f>
        <v>1822</v>
      </c>
      <c r="E120" s="120"/>
      <c r="F120" s="121"/>
      <c r="G120" s="121"/>
      <c r="H120" s="121"/>
      <c r="I120" s="121"/>
      <c r="J120" s="132"/>
      <c r="K120" s="133"/>
      <c r="L120" s="129"/>
      <c r="M120" s="134"/>
      <c r="N120" s="135"/>
      <c r="O120" s="134"/>
      <c r="P120" s="135"/>
      <c r="Q120" s="280"/>
      <c r="R120" s="135"/>
      <c r="S120" s="333"/>
      <c r="T120" s="340"/>
      <c r="U120" s="341"/>
      <c r="V120" s="340"/>
      <c r="W120" s="341"/>
      <c r="X120" s="340"/>
      <c r="Y120" s="341"/>
      <c r="Z120" s="340"/>
      <c r="AA120" s="341"/>
      <c r="AB120" s="301"/>
      <c r="AC120" s="134"/>
      <c r="AG120" s="117"/>
      <c r="AH120" s="117"/>
      <c r="AI120" s="130"/>
      <c r="AJ120" s="130"/>
      <c r="AK120" s="117"/>
      <c r="AL120" s="117"/>
      <c r="AM120" s="117"/>
      <c r="AN120" s="117"/>
      <c r="AO120" s="117"/>
      <c r="AP120" s="128"/>
      <c r="AQ120" s="117"/>
      <c r="AR120" s="89"/>
      <c r="AS120" s="89"/>
      <c r="AT120" s="89"/>
    </row>
    <row r="121" spans="1:46" s="82" customFormat="1" ht="15" customHeight="1" x14ac:dyDescent="0.25">
      <c r="A121" s="186"/>
      <c r="B121" s="187"/>
      <c r="C121" s="131" t="s">
        <v>175</v>
      </c>
      <c r="D121" s="136">
        <f>D120</f>
        <v>1822</v>
      </c>
      <c r="E121" s="120"/>
      <c r="F121" s="121"/>
      <c r="G121" s="121"/>
      <c r="H121" s="121"/>
      <c r="I121" s="121"/>
      <c r="J121" s="132"/>
      <c r="K121" s="133"/>
      <c r="L121" s="129"/>
      <c r="M121" s="134"/>
      <c r="N121" s="135"/>
      <c r="O121" s="134"/>
      <c r="P121" s="135"/>
      <c r="Q121" s="280"/>
      <c r="R121" s="135"/>
      <c r="S121" s="333"/>
      <c r="T121" s="340"/>
      <c r="U121" s="341"/>
      <c r="V121" s="340"/>
      <c r="W121" s="341"/>
      <c r="X121" s="340"/>
      <c r="Y121" s="341"/>
      <c r="Z121" s="340"/>
      <c r="AA121" s="341"/>
      <c r="AB121" s="301"/>
      <c r="AC121" s="134"/>
      <c r="AG121" s="117"/>
      <c r="AH121" s="117"/>
      <c r="AI121" s="130"/>
      <c r="AJ121" s="130"/>
      <c r="AK121" s="117"/>
      <c r="AL121" s="117"/>
      <c r="AM121" s="117"/>
      <c r="AN121" s="117"/>
      <c r="AO121" s="117"/>
      <c r="AP121" s="128"/>
      <c r="AQ121" s="117"/>
      <c r="AR121" s="89"/>
      <c r="AS121" s="89"/>
      <c r="AT121" s="89"/>
    </row>
    <row r="122" spans="1:46" s="82" customFormat="1" ht="15" customHeight="1" thickBot="1" x14ac:dyDescent="0.3">
      <c r="A122" s="186"/>
      <c r="B122" s="187"/>
      <c r="C122" s="131" t="s">
        <v>175</v>
      </c>
      <c r="D122" s="136">
        <f>D120</f>
        <v>1822</v>
      </c>
      <c r="E122" s="120"/>
      <c r="F122" s="121"/>
      <c r="G122" s="121"/>
      <c r="H122" s="121"/>
      <c r="I122" s="121"/>
      <c r="J122" s="132"/>
      <c r="K122" s="133"/>
      <c r="L122" s="129"/>
      <c r="M122" s="134"/>
      <c r="N122" s="135"/>
      <c r="O122" s="134"/>
      <c r="P122" s="135"/>
      <c r="Q122" s="280"/>
      <c r="R122" s="135"/>
      <c r="S122" s="333"/>
      <c r="T122" s="340"/>
      <c r="U122" s="341"/>
      <c r="V122" s="340"/>
      <c r="W122" s="341"/>
      <c r="X122" s="340"/>
      <c r="Y122" s="341"/>
      <c r="Z122" s="340"/>
      <c r="AA122" s="341"/>
      <c r="AB122" s="301"/>
      <c r="AC122" s="134"/>
      <c r="AG122" s="117"/>
      <c r="AH122" s="117"/>
      <c r="AI122" s="130"/>
      <c r="AJ122" s="130"/>
      <c r="AK122" s="117"/>
      <c r="AL122" s="117"/>
      <c r="AM122" s="117"/>
      <c r="AN122" s="117"/>
      <c r="AO122" s="117"/>
      <c r="AP122" s="128"/>
      <c r="AQ122" s="117"/>
      <c r="AR122" s="89"/>
      <c r="AS122" s="89"/>
      <c r="AT122" s="89"/>
    </row>
    <row r="123" spans="1:46" s="82" customFormat="1" ht="15" hidden="1" customHeight="1" x14ac:dyDescent="0.25">
      <c r="A123" s="190"/>
      <c r="B123" s="191"/>
      <c r="C123" s="163" t="s">
        <v>160</v>
      </c>
      <c r="D123" s="164"/>
      <c r="E123" s="165">
        <f t="shared" ref="E123:M123" si="57">(E114*$D114-E115*$D115-E116*$D116-E117*$D117-E118*$D118-E119*$D119-E120*$D120-E121*$D121-E122*$D122)/1000000</f>
        <v>0</v>
      </c>
      <c r="F123" s="165">
        <f t="shared" si="57"/>
        <v>0</v>
      </c>
      <c r="G123" s="165">
        <f t="shared" si="57"/>
        <v>0</v>
      </c>
      <c r="H123" s="165">
        <f t="shared" si="57"/>
        <v>0</v>
      </c>
      <c r="I123" s="165">
        <f t="shared" si="57"/>
        <v>0</v>
      </c>
      <c r="J123" s="166">
        <f t="shared" si="57"/>
        <v>0</v>
      </c>
      <c r="K123" s="167">
        <f t="shared" si="57"/>
        <v>0</v>
      </c>
      <c r="L123" s="165">
        <f t="shared" si="57"/>
        <v>0</v>
      </c>
      <c r="M123" s="165">
        <f t="shared" si="57"/>
        <v>0</v>
      </c>
      <c r="N123" s="169"/>
      <c r="O123" s="170"/>
      <c r="P123" s="169"/>
      <c r="Q123" s="281"/>
      <c r="R123" s="327">
        <f t="shared" ref="R123:AC123" si="58">(R114*$D114)/1000000</f>
        <v>0</v>
      </c>
      <c r="S123" s="143">
        <f t="shared" si="58"/>
        <v>0</v>
      </c>
      <c r="T123" s="342">
        <f t="shared" si="58"/>
        <v>0</v>
      </c>
      <c r="U123" s="343">
        <f t="shared" si="58"/>
        <v>0</v>
      </c>
      <c r="V123" s="342">
        <f t="shared" si="58"/>
        <v>0</v>
      </c>
      <c r="W123" s="343">
        <f t="shared" si="58"/>
        <v>0</v>
      </c>
      <c r="X123" s="342">
        <f t="shared" ref="X123:AA123" si="59">(X114*$D114)/1000000</f>
        <v>0</v>
      </c>
      <c r="Y123" s="343">
        <f t="shared" si="59"/>
        <v>0</v>
      </c>
      <c r="Z123" s="342">
        <f t="shared" si="59"/>
        <v>0</v>
      </c>
      <c r="AA123" s="343">
        <f t="shared" si="59"/>
        <v>0</v>
      </c>
      <c r="AB123" s="142">
        <f t="shared" si="58"/>
        <v>0</v>
      </c>
      <c r="AC123" s="168">
        <f t="shared" si="58"/>
        <v>0</v>
      </c>
      <c r="AG123" s="117"/>
      <c r="AH123" s="117"/>
      <c r="AI123" s="130"/>
      <c r="AJ123" s="130"/>
      <c r="AK123" s="117"/>
      <c r="AL123" s="117"/>
      <c r="AM123" s="117"/>
      <c r="AN123" s="117"/>
      <c r="AO123" s="117"/>
      <c r="AP123" s="128"/>
      <c r="AQ123" s="117"/>
      <c r="AR123" s="89"/>
      <c r="AS123" s="89"/>
      <c r="AT123" s="89"/>
    </row>
    <row r="124" spans="1:46" s="82" customFormat="1" ht="15" hidden="1" customHeight="1" x14ac:dyDescent="0.25">
      <c r="A124" s="186"/>
      <c r="B124" s="187"/>
      <c r="C124" s="109" t="s">
        <v>163</v>
      </c>
      <c r="D124" s="136"/>
      <c r="E124" s="137">
        <f t="shared" ref="E124:M124" si="60">E123*E113</f>
        <v>0</v>
      </c>
      <c r="F124" s="137">
        <f t="shared" si="60"/>
        <v>0</v>
      </c>
      <c r="G124" s="137">
        <f t="shared" si="60"/>
        <v>0</v>
      </c>
      <c r="H124" s="137">
        <f t="shared" si="60"/>
        <v>0</v>
      </c>
      <c r="I124" s="137">
        <f t="shared" si="60"/>
        <v>0</v>
      </c>
      <c r="J124" s="138">
        <f t="shared" si="60"/>
        <v>0</v>
      </c>
      <c r="K124" s="139">
        <f t="shared" si="60"/>
        <v>0</v>
      </c>
      <c r="L124" s="137">
        <f t="shared" si="60"/>
        <v>0</v>
      </c>
      <c r="M124" s="140">
        <f t="shared" si="60"/>
        <v>0</v>
      </c>
      <c r="N124" s="141"/>
      <c r="O124" s="125"/>
      <c r="P124" s="141"/>
      <c r="Q124" s="282"/>
      <c r="R124" s="139">
        <f t="shared" ref="R124:AC124" si="61">R123*R113</f>
        <v>0</v>
      </c>
      <c r="S124" s="138">
        <f t="shared" si="61"/>
        <v>0</v>
      </c>
      <c r="T124" s="342">
        <f t="shared" si="61"/>
        <v>0</v>
      </c>
      <c r="U124" s="344">
        <f t="shared" si="61"/>
        <v>0</v>
      </c>
      <c r="V124" s="342">
        <f t="shared" si="61"/>
        <v>0</v>
      </c>
      <c r="W124" s="344">
        <f t="shared" si="61"/>
        <v>0</v>
      </c>
      <c r="X124" s="342">
        <f t="shared" ref="X124:AA124" si="62">X123*X113</f>
        <v>0</v>
      </c>
      <c r="Y124" s="344">
        <f t="shared" si="62"/>
        <v>0</v>
      </c>
      <c r="Z124" s="342">
        <f t="shared" si="62"/>
        <v>0</v>
      </c>
      <c r="AA124" s="344">
        <f t="shared" si="62"/>
        <v>0</v>
      </c>
      <c r="AB124" s="137">
        <f t="shared" si="61"/>
        <v>0</v>
      </c>
      <c r="AC124" s="140">
        <f t="shared" si="61"/>
        <v>0</v>
      </c>
      <c r="AG124" s="117"/>
      <c r="AH124" s="117"/>
      <c r="AI124" s="130"/>
      <c r="AJ124" s="130"/>
      <c r="AK124" s="117"/>
      <c r="AL124" s="117"/>
      <c r="AM124" s="117"/>
      <c r="AN124" s="117"/>
      <c r="AO124" s="117"/>
      <c r="AP124" s="128"/>
      <c r="AQ124" s="117"/>
      <c r="AR124" s="89"/>
      <c r="AS124" s="89"/>
      <c r="AT124" s="89"/>
    </row>
    <row r="125" spans="1:46" s="82" customFormat="1" ht="15" hidden="1" customHeight="1" x14ac:dyDescent="0.25">
      <c r="A125" s="186"/>
      <c r="B125" s="187"/>
      <c r="C125" s="109" t="s">
        <v>176</v>
      </c>
      <c r="D125" s="136"/>
      <c r="E125" s="137">
        <f t="shared" ref="E125:J127" si="63">IF(E120&gt;0, (E120+$D120*2)/1000, 0)</f>
        <v>0</v>
      </c>
      <c r="F125" s="142">
        <f t="shared" si="63"/>
        <v>0</v>
      </c>
      <c r="G125" s="142">
        <f t="shared" si="63"/>
        <v>0</v>
      </c>
      <c r="H125" s="142">
        <f t="shared" si="63"/>
        <v>0</v>
      </c>
      <c r="I125" s="142">
        <f t="shared" si="63"/>
        <v>0</v>
      </c>
      <c r="J125" s="143">
        <f t="shared" si="63"/>
        <v>0</v>
      </c>
      <c r="K125" s="139"/>
      <c r="L125" s="142"/>
      <c r="M125" s="144"/>
      <c r="N125" s="141"/>
      <c r="O125" s="125"/>
      <c r="P125" s="141"/>
      <c r="Q125" s="282"/>
      <c r="R125" s="141"/>
      <c r="S125" s="334"/>
      <c r="T125" s="345"/>
      <c r="U125" s="346"/>
      <c r="V125" s="345"/>
      <c r="W125" s="346"/>
      <c r="X125" s="345"/>
      <c r="Y125" s="346"/>
      <c r="Z125" s="345"/>
      <c r="AA125" s="346"/>
      <c r="AB125" s="302"/>
      <c r="AC125" s="125"/>
      <c r="AG125" s="117"/>
      <c r="AH125" s="117"/>
      <c r="AI125" s="130"/>
      <c r="AJ125" s="130"/>
      <c r="AK125" s="117"/>
      <c r="AL125" s="117"/>
      <c r="AM125" s="117"/>
      <c r="AN125" s="117"/>
      <c r="AO125" s="117"/>
      <c r="AP125" s="128"/>
      <c r="AQ125" s="117"/>
      <c r="AR125" s="89"/>
      <c r="AS125" s="89"/>
      <c r="AT125" s="89"/>
    </row>
    <row r="126" spans="1:46" s="82" customFormat="1" ht="15" hidden="1" customHeight="1" x14ac:dyDescent="0.25">
      <c r="A126" s="192"/>
      <c r="B126" s="193"/>
      <c r="C126" s="109" t="s">
        <v>176</v>
      </c>
      <c r="D126" s="136"/>
      <c r="E126" s="137">
        <f t="shared" si="63"/>
        <v>0</v>
      </c>
      <c r="F126" s="142">
        <f t="shared" si="63"/>
        <v>0</v>
      </c>
      <c r="G126" s="142">
        <f t="shared" si="63"/>
        <v>0</v>
      </c>
      <c r="H126" s="142">
        <f t="shared" si="63"/>
        <v>0</v>
      </c>
      <c r="I126" s="142">
        <f t="shared" si="63"/>
        <v>0</v>
      </c>
      <c r="J126" s="143">
        <f t="shared" si="63"/>
        <v>0</v>
      </c>
      <c r="K126" s="139"/>
      <c r="L126" s="142"/>
      <c r="M126" s="144"/>
      <c r="N126" s="141"/>
      <c r="O126" s="125"/>
      <c r="P126" s="141"/>
      <c r="Q126" s="282"/>
      <c r="R126" s="141"/>
      <c r="S126" s="334"/>
      <c r="T126" s="345"/>
      <c r="U126" s="346"/>
      <c r="V126" s="345"/>
      <c r="W126" s="346"/>
      <c r="X126" s="345"/>
      <c r="Y126" s="346"/>
      <c r="Z126" s="345"/>
      <c r="AA126" s="346"/>
      <c r="AB126" s="302"/>
      <c r="AC126" s="125"/>
      <c r="AG126" s="117"/>
      <c r="AH126" s="117"/>
      <c r="AI126" s="130"/>
      <c r="AJ126" s="130"/>
      <c r="AK126" s="117"/>
      <c r="AL126" s="117"/>
      <c r="AM126" s="117"/>
      <c r="AN126" s="117"/>
      <c r="AO126" s="117"/>
      <c r="AP126" s="128"/>
      <c r="AQ126" s="117"/>
      <c r="AR126" s="89"/>
      <c r="AS126" s="89"/>
      <c r="AT126" s="89"/>
    </row>
    <row r="127" spans="1:46" s="82" customFormat="1" ht="15" hidden="1" customHeight="1" x14ac:dyDescent="0.25">
      <c r="A127" s="192"/>
      <c r="B127" s="193"/>
      <c r="C127" s="109" t="s">
        <v>176</v>
      </c>
      <c r="D127" s="136"/>
      <c r="E127" s="137">
        <f t="shared" si="63"/>
        <v>0</v>
      </c>
      <c r="F127" s="142">
        <f t="shared" si="63"/>
        <v>0</v>
      </c>
      <c r="G127" s="142">
        <f t="shared" si="63"/>
        <v>0</v>
      </c>
      <c r="H127" s="142">
        <f t="shared" si="63"/>
        <v>0</v>
      </c>
      <c r="I127" s="142">
        <f t="shared" si="63"/>
        <v>0</v>
      </c>
      <c r="J127" s="143">
        <f t="shared" si="63"/>
        <v>0</v>
      </c>
      <c r="K127" s="139"/>
      <c r="L127" s="142"/>
      <c r="M127" s="144"/>
      <c r="N127" s="141"/>
      <c r="O127" s="125"/>
      <c r="P127" s="141"/>
      <c r="Q127" s="282"/>
      <c r="R127" s="141"/>
      <c r="S127" s="334"/>
      <c r="T127" s="345"/>
      <c r="U127" s="346"/>
      <c r="V127" s="345"/>
      <c r="W127" s="346"/>
      <c r="X127" s="345"/>
      <c r="Y127" s="346"/>
      <c r="Z127" s="345"/>
      <c r="AA127" s="346"/>
      <c r="AB127" s="302"/>
      <c r="AC127" s="125"/>
      <c r="AG127" s="117"/>
      <c r="AH127" s="117"/>
      <c r="AI127" s="130"/>
      <c r="AJ127" s="130"/>
      <c r="AK127" s="117"/>
      <c r="AL127" s="117"/>
      <c r="AM127" s="117"/>
      <c r="AN127" s="117"/>
      <c r="AO127" s="117"/>
      <c r="AP127" s="128"/>
      <c r="AQ127" s="117"/>
      <c r="AR127" s="89"/>
      <c r="AS127" s="89"/>
      <c r="AT127" s="89"/>
    </row>
    <row r="128" spans="1:46" s="326" customFormat="1" ht="15" hidden="1" customHeight="1" x14ac:dyDescent="0.25">
      <c r="A128" s="194"/>
      <c r="B128" s="195"/>
      <c r="C128" s="109" t="s">
        <v>628</v>
      </c>
      <c r="D128" s="136"/>
      <c r="E128" s="137">
        <f t="shared" ref="E128:J130" si="64">IF(E120&gt;0, (E120+$D120)*2/1000, 0)</f>
        <v>0</v>
      </c>
      <c r="F128" s="142">
        <f t="shared" si="64"/>
        <v>0</v>
      </c>
      <c r="G128" s="142">
        <f t="shared" si="64"/>
        <v>0</v>
      </c>
      <c r="H128" s="142">
        <f t="shared" si="64"/>
        <v>0</v>
      </c>
      <c r="I128" s="142">
        <f t="shared" si="64"/>
        <v>0</v>
      </c>
      <c r="J128" s="143">
        <f t="shared" si="64"/>
        <v>0</v>
      </c>
      <c r="K128" s="139"/>
      <c r="L128" s="142"/>
      <c r="M128" s="144"/>
      <c r="N128" s="141"/>
      <c r="O128" s="125"/>
      <c r="P128" s="141"/>
      <c r="Q128" s="282"/>
      <c r="R128" s="141"/>
      <c r="S128" s="334"/>
      <c r="T128" s="345"/>
      <c r="U128" s="346"/>
      <c r="V128" s="345"/>
      <c r="W128" s="346"/>
      <c r="X128" s="345"/>
      <c r="Y128" s="346"/>
      <c r="Z128" s="345"/>
      <c r="AA128" s="346"/>
      <c r="AB128" s="302"/>
      <c r="AC128" s="125"/>
      <c r="AD128" s="82"/>
      <c r="AE128" s="82"/>
      <c r="AF128" s="82"/>
      <c r="AG128" s="117"/>
      <c r="AH128" s="117"/>
      <c r="AI128" s="130"/>
      <c r="AJ128" s="130"/>
      <c r="AK128" s="117"/>
      <c r="AL128" s="117"/>
      <c r="AM128" s="117"/>
      <c r="AN128" s="117"/>
      <c r="AO128" s="117"/>
      <c r="AP128" s="128"/>
      <c r="AQ128" s="117"/>
      <c r="AR128" s="103"/>
      <c r="AS128" s="103"/>
      <c r="AT128" s="103"/>
    </row>
    <row r="129" spans="1:46" s="326" customFormat="1" ht="15" hidden="1" customHeight="1" x14ac:dyDescent="0.25">
      <c r="A129" s="186"/>
      <c r="B129" s="187"/>
      <c r="C129" s="109" t="s">
        <v>628</v>
      </c>
      <c r="D129" s="136"/>
      <c r="E129" s="137">
        <f t="shared" si="64"/>
        <v>0</v>
      </c>
      <c r="F129" s="142">
        <f t="shared" si="64"/>
        <v>0</v>
      </c>
      <c r="G129" s="142">
        <f t="shared" si="64"/>
        <v>0</v>
      </c>
      <c r="H129" s="142">
        <f t="shared" si="64"/>
        <v>0</v>
      </c>
      <c r="I129" s="142">
        <f t="shared" si="64"/>
        <v>0</v>
      </c>
      <c r="J129" s="143">
        <f t="shared" si="64"/>
        <v>0</v>
      </c>
      <c r="K129" s="139"/>
      <c r="L129" s="142"/>
      <c r="M129" s="144"/>
      <c r="N129" s="141"/>
      <c r="O129" s="125"/>
      <c r="P129" s="141"/>
      <c r="Q129" s="282"/>
      <c r="R129" s="141"/>
      <c r="S129" s="334"/>
      <c r="T129" s="345"/>
      <c r="U129" s="346"/>
      <c r="V129" s="345"/>
      <c r="W129" s="346"/>
      <c r="X129" s="345"/>
      <c r="Y129" s="346"/>
      <c r="Z129" s="345"/>
      <c r="AA129" s="346"/>
      <c r="AB129" s="302"/>
      <c r="AC129" s="125"/>
      <c r="AD129" s="82"/>
      <c r="AE129" s="82"/>
      <c r="AF129" s="82"/>
      <c r="AG129" s="117"/>
      <c r="AH129" s="117"/>
      <c r="AI129" s="130"/>
      <c r="AJ129" s="130"/>
      <c r="AK129" s="117"/>
      <c r="AL129" s="117"/>
      <c r="AM129" s="117"/>
      <c r="AN129" s="117"/>
      <c r="AO129" s="117"/>
      <c r="AP129" s="128"/>
      <c r="AQ129" s="117"/>
      <c r="AR129" s="103"/>
      <c r="AS129" s="103"/>
      <c r="AT129" s="103"/>
    </row>
    <row r="130" spans="1:46" s="326" customFormat="1" ht="15" hidden="1" customHeight="1" thickBot="1" x14ac:dyDescent="0.3">
      <c r="A130" s="188"/>
      <c r="B130" s="189"/>
      <c r="C130" s="109" t="s">
        <v>628</v>
      </c>
      <c r="D130" s="145"/>
      <c r="E130" s="146">
        <f t="shared" si="64"/>
        <v>0</v>
      </c>
      <c r="F130" s="147">
        <f t="shared" si="64"/>
        <v>0</v>
      </c>
      <c r="G130" s="147">
        <f t="shared" si="64"/>
        <v>0</v>
      </c>
      <c r="H130" s="147">
        <f t="shared" si="64"/>
        <v>0</v>
      </c>
      <c r="I130" s="147">
        <f t="shared" si="64"/>
        <v>0</v>
      </c>
      <c r="J130" s="148">
        <f t="shared" si="64"/>
        <v>0</v>
      </c>
      <c r="K130" s="149"/>
      <c r="L130" s="147"/>
      <c r="M130" s="150"/>
      <c r="N130" s="151"/>
      <c r="O130" s="152"/>
      <c r="P130" s="151"/>
      <c r="Q130" s="283"/>
      <c r="R130" s="151"/>
      <c r="S130" s="335"/>
      <c r="T130" s="347"/>
      <c r="U130" s="348"/>
      <c r="V130" s="347"/>
      <c r="W130" s="348"/>
      <c r="X130" s="347"/>
      <c r="Y130" s="348"/>
      <c r="Z130" s="347"/>
      <c r="AA130" s="348"/>
      <c r="AB130" s="303"/>
      <c r="AC130" s="152"/>
      <c r="AD130" s="82"/>
      <c r="AE130" s="82"/>
      <c r="AF130" s="82"/>
      <c r="AG130" s="117"/>
      <c r="AH130" s="117"/>
      <c r="AI130" s="130"/>
      <c r="AJ130" s="130"/>
      <c r="AK130" s="117"/>
      <c r="AL130" s="117"/>
      <c r="AM130" s="117"/>
      <c r="AN130" s="117"/>
      <c r="AO130" s="117"/>
      <c r="AP130" s="128"/>
      <c r="AQ130" s="117"/>
      <c r="AR130" s="103"/>
      <c r="AS130" s="103"/>
      <c r="AT130" s="103"/>
    </row>
    <row r="131" spans="1:46" s="82" customFormat="1" ht="15" customHeight="1" x14ac:dyDescent="0.25">
      <c r="A131" s="181">
        <v>4</v>
      </c>
      <c r="B131" s="185" t="s">
        <v>626</v>
      </c>
      <c r="C131" s="105" t="s">
        <v>165</v>
      </c>
      <c r="D131" s="325"/>
      <c r="E131" s="306"/>
      <c r="F131" s="307"/>
      <c r="G131" s="307"/>
      <c r="H131" s="307"/>
      <c r="I131" s="307"/>
      <c r="J131" s="308"/>
      <c r="K131" s="309"/>
      <c r="L131" s="307"/>
      <c r="M131" s="310"/>
      <c r="N131" s="106"/>
      <c r="O131" s="107"/>
      <c r="P131" s="106"/>
      <c r="Q131" s="278"/>
      <c r="R131" s="309"/>
      <c r="S131" s="308"/>
      <c r="T131" s="336"/>
      <c r="U131" s="337"/>
      <c r="V131" s="336"/>
      <c r="W131" s="337"/>
      <c r="X131" s="336"/>
      <c r="Y131" s="337"/>
      <c r="Z131" s="336"/>
      <c r="AA131" s="337"/>
      <c r="AB131" s="307"/>
      <c r="AC131" s="310"/>
      <c r="AG131" s="117" t="s">
        <v>77</v>
      </c>
      <c r="AH131" s="117" t="s">
        <v>167</v>
      </c>
      <c r="AI131" s="117" t="s">
        <v>164</v>
      </c>
      <c r="AJ131" s="117" t="s">
        <v>166</v>
      </c>
      <c r="AK131" s="94" t="s">
        <v>106</v>
      </c>
      <c r="AL131" s="117" t="s">
        <v>162</v>
      </c>
      <c r="AM131" s="117" t="s">
        <v>629</v>
      </c>
      <c r="AN131" s="117"/>
      <c r="AO131" s="117"/>
      <c r="AP131" s="128"/>
      <c r="AQ131" s="117"/>
      <c r="AR131" s="89"/>
      <c r="AS131" s="89"/>
      <c r="AT131" s="89"/>
    </row>
    <row r="132" spans="1:46" s="82" customFormat="1" ht="15" customHeight="1" x14ac:dyDescent="0.25">
      <c r="A132" s="186"/>
      <c r="B132" s="187"/>
      <c r="C132" s="118" t="s">
        <v>627</v>
      </c>
      <c r="D132" s="119">
        <f>D114</f>
        <v>2644</v>
      </c>
      <c r="E132" s="120"/>
      <c r="F132" s="121"/>
      <c r="G132" s="121"/>
      <c r="H132" s="121"/>
      <c r="I132" s="122">
        <f>G132-E132</f>
        <v>0</v>
      </c>
      <c r="J132" s="123">
        <f>H132-F132</f>
        <v>0</v>
      </c>
      <c r="K132" s="124"/>
      <c r="L132" s="122">
        <f>K132</f>
        <v>0</v>
      </c>
      <c r="M132" s="125">
        <f>IF(L132&gt;0, 100, 0)</f>
        <v>0</v>
      </c>
      <c r="N132" s="126"/>
      <c r="O132" s="127"/>
      <c r="P132" s="126"/>
      <c r="Q132" s="279"/>
      <c r="R132" s="126"/>
      <c r="S132" s="332"/>
      <c r="T132" s="338"/>
      <c r="U132" s="339"/>
      <c r="V132" s="338"/>
      <c r="W132" s="339"/>
      <c r="X132" s="338"/>
      <c r="Y132" s="339"/>
      <c r="Z132" s="338"/>
      <c r="AA132" s="339"/>
      <c r="AB132" s="300"/>
      <c r="AC132" s="127"/>
      <c r="AG132" s="108">
        <f>SUM(E141:L141)</f>
        <v>0</v>
      </c>
      <c r="AH132" s="108">
        <f>SUM(E142:AC142)</f>
        <v>0</v>
      </c>
      <c r="AI132" s="286">
        <f>((E132*F132+H132*I132)-K132*M132-(R132*S132+T132*U132+V132*W132+X132*Y132+Z132*AA132+AB132*AC132)-P132*Q132)/1000000</f>
        <v>0</v>
      </c>
      <c r="AJ132" s="117">
        <f>((E132*F132+H132*I132)-K132*M132-(R132*S132+T132*U132+V132*W132+X132*Y132+Z132*AA132+AB132*AC132)+N132*O132)/1000000</f>
        <v>0</v>
      </c>
      <c r="AK132" s="108">
        <f>(SUM(E132:M132)-SUM(E133:M137))/1000</f>
        <v>0</v>
      </c>
      <c r="AL132" s="108">
        <f>SUM(E143:J145)</f>
        <v>0</v>
      </c>
      <c r="AM132" s="159">
        <f>SUM(E146:J148)</f>
        <v>0</v>
      </c>
      <c r="AN132" s="117"/>
      <c r="AO132" s="117"/>
      <c r="AP132" s="128"/>
      <c r="AQ132" s="117"/>
      <c r="AR132" s="89"/>
      <c r="AS132" s="89"/>
      <c r="AT132" s="89"/>
    </row>
    <row r="133" spans="1:46" s="82" customFormat="1" ht="15" hidden="1" customHeight="1" x14ac:dyDescent="0.25">
      <c r="A133" s="186"/>
      <c r="B133" s="187"/>
      <c r="C133" s="131" t="s">
        <v>158</v>
      </c>
      <c r="D133" s="119">
        <f>D132</f>
        <v>2644</v>
      </c>
      <c r="E133" s="120"/>
      <c r="F133" s="121"/>
      <c r="G133" s="121"/>
      <c r="H133" s="121"/>
      <c r="I133" s="121"/>
      <c r="J133" s="132"/>
      <c r="K133" s="133"/>
      <c r="L133" s="129"/>
      <c r="M133" s="134"/>
      <c r="N133" s="135"/>
      <c r="O133" s="134"/>
      <c r="P133" s="135"/>
      <c r="Q133" s="280"/>
      <c r="R133" s="135"/>
      <c r="S133" s="333"/>
      <c r="T133" s="340"/>
      <c r="U133" s="341"/>
      <c r="V133" s="340"/>
      <c r="W133" s="341"/>
      <c r="X133" s="340"/>
      <c r="Y133" s="341"/>
      <c r="Z133" s="340"/>
      <c r="AA133" s="341"/>
      <c r="AB133" s="301"/>
      <c r="AC133" s="134"/>
      <c r="AG133" s="130"/>
      <c r="AH133" s="130"/>
      <c r="AI133" s="130"/>
      <c r="AJ133" s="130"/>
      <c r="AK133" s="130"/>
      <c r="AL133" s="130"/>
      <c r="AM133" s="130"/>
      <c r="AN133" s="117"/>
      <c r="AO133" s="117"/>
      <c r="AP133" s="128"/>
      <c r="AQ133" s="117"/>
      <c r="AR133" s="89"/>
      <c r="AS133" s="89"/>
      <c r="AT133" s="89"/>
    </row>
    <row r="134" spans="1:46" s="82" customFormat="1" ht="15" hidden="1" customHeight="1" x14ac:dyDescent="0.25">
      <c r="A134" s="186"/>
      <c r="B134" s="187"/>
      <c r="C134" s="131" t="s">
        <v>158</v>
      </c>
      <c r="D134" s="119"/>
      <c r="E134" s="120"/>
      <c r="F134" s="121"/>
      <c r="G134" s="121"/>
      <c r="H134" s="121"/>
      <c r="I134" s="121"/>
      <c r="J134" s="132"/>
      <c r="K134" s="133"/>
      <c r="L134" s="129"/>
      <c r="M134" s="134"/>
      <c r="N134" s="135"/>
      <c r="O134" s="134"/>
      <c r="P134" s="135"/>
      <c r="Q134" s="280"/>
      <c r="R134" s="135"/>
      <c r="S134" s="333"/>
      <c r="T134" s="340"/>
      <c r="U134" s="341"/>
      <c r="V134" s="340"/>
      <c r="W134" s="341"/>
      <c r="X134" s="340"/>
      <c r="Y134" s="341"/>
      <c r="Z134" s="340"/>
      <c r="AA134" s="341"/>
      <c r="AB134" s="301"/>
      <c r="AC134" s="134"/>
      <c r="AG134" s="130"/>
      <c r="AH134" s="130"/>
      <c r="AI134" s="130"/>
      <c r="AJ134" s="130"/>
      <c r="AK134" s="130"/>
      <c r="AL134" s="130"/>
      <c r="AM134" s="130"/>
      <c r="AN134" s="117"/>
      <c r="AO134" s="117"/>
      <c r="AP134" s="128"/>
      <c r="AQ134" s="117"/>
      <c r="AR134" s="89"/>
      <c r="AS134" s="89"/>
      <c r="AT134" s="89"/>
    </row>
    <row r="135" spans="1:46" s="82" customFormat="1" ht="15" customHeight="1" x14ac:dyDescent="0.25">
      <c r="A135" s="186"/>
      <c r="B135" s="187"/>
      <c r="C135" s="131" t="s">
        <v>159</v>
      </c>
      <c r="D135" s="136">
        <v>2100</v>
      </c>
      <c r="E135" s="120"/>
      <c r="F135" s="121"/>
      <c r="G135" s="121">
        <f>IF(AND(G132 &lt;&gt;"", E132=""), 900, 0)</f>
        <v>0</v>
      </c>
      <c r="H135" s="121"/>
      <c r="I135" s="121"/>
      <c r="J135" s="132"/>
      <c r="K135" s="133"/>
      <c r="L135" s="129"/>
      <c r="M135" s="134"/>
      <c r="N135" s="135"/>
      <c r="O135" s="134"/>
      <c r="P135" s="135"/>
      <c r="Q135" s="280"/>
      <c r="R135" s="135"/>
      <c r="S135" s="333"/>
      <c r="T135" s="340"/>
      <c r="U135" s="341"/>
      <c r="V135" s="340"/>
      <c r="W135" s="341"/>
      <c r="X135" s="340"/>
      <c r="Y135" s="341"/>
      <c r="Z135" s="340"/>
      <c r="AA135" s="341"/>
      <c r="AB135" s="301"/>
      <c r="AC135" s="134"/>
      <c r="AG135" s="117"/>
      <c r="AH135" s="117"/>
      <c r="AI135" s="117"/>
      <c r="AJ135" s="117"/>
      <c r="AK135" s="117"/>
      <c r="AL135" s="117"/>
      <c r="AM135" s="117"/>
      <c r="AN135" s="117"/>
      <c r="AO135" s="117"/>
      <c r="AP135" s="128"/>
      <c r="AQ135" s="117"/>
      <c r="AR135" s="89"/>
      <c r="AS135" s="89"/>
      <c r="AT135" s="89"/>
    </row>
    <row r="136" spans="1:46" s="82" customFormat="1" ht="15" hidden="1" customHeight="1" x14ac:dyDescent="0.25">
      <c r="A136" s="186"/>
      <c r="B136" s="187"/>
      <c r="C136" s="131" t="s">
        <v>159</v>
      </c>
      <c r="D136" s="136">
        <v>2100</v>
      </c>
      <c r="E136" s="120"/>
      <c r="F136" s="121"/>
      <c r="G136" s="121"/>
      <c r="H136" s="121"/>
      <c r="I136" s="121"/>
      <c r="J136" s="132"/>
      <c r="K136" s="133"/>
      <c r="L136" s="129"/>
      <c r="M136" s="134"/>
      <c r="N136" s="135"/>
      <c r="O136" s="134"/>
      <c r="P136" s="135"/>
      <c r="Q136" s="280"/>
      <c r="R136" s="135"/>
      <c r="S136" s="333"/>
      <c r="T136" s="340"/>
      <c r="U136" s="341"/>
      <c r="V136" s="340"/>
      <c r="W136" s="341"/>
      <c r="X136" s="340"/>
      <c r="Y136" s="341"/>
      <c r="Z136" s="340"/>
      <c r="AA136" s="341"/>
      <c r="AB136" s="301"/>
      <c r="AC136" s="134"/>
      <c r="AG136" s="117"/>
      <c r="AH136" s="117"/>
      <c r="AI136" s="117"/>
      <c r="AJ136" s="117"/>
      <c r="AK136" s="117"/>
      <c r="AL136" s="117"/>
      <c r="AM136" s="117"/>
      <c r="AN136" s="117"/>
      <c r="AO136" s="117"/>
      <c r="AP136" s="128"/>
      <c r="AQ136" s="117"/>
      <c r="AR136" s="89"/>
      <c r="AS136" s="89"/>
      <c r="AT136" s="89"/>
    </row>
    <row r="137" spans="1:46" s="82" customFormat="1" ht="15" hidden="1" customHeight="1" x14ac:dyDescent="0.25">
      <c r="A137" s="186"/>
      <c r="B137" s="187"/>
      <c r="C137" s="131" t="s">
        <v>159</v>
      </c>
      <c r="D137" s="136">
        <f>D135</f>
        <v>2100</v>
      </c>
      <c r="E137" s="120"/>
      <c r="F137" s="121"/>
      <c r="G137" s="121"/>
      <c r="H137" s="121"/>
      <c r="I137" s="121"/>
      <c r="J137" s="132"/>
      <c r="K137" s="133"/>
      <c r="L137" s="129"/>
      <c r="M137" s="134"/>
      <c r="N137" s="135"/>
      <c r="O137" s="134"/>
      <c r="P137" s="135"/>
      <c r="Q137" s="280"/>
      <c r="R137" s="135"/>
      <c r="S137" s="333"/>
      <c r="T137" s="340"/>
      <c r="U137" s="341"/>
      <c r="V137" s="340"/>
      <c r="W137" s="341"/>
      <c r="X137" s="340"/>
      <c r="Y137" s="341"/>
      <c r="Z137" s="340"/>
      <c r="AA137" s="341"/>
      <c r="AB137" s="301"/>
      <c r="AC137" s="134"/>
      <c r="AG137" s="117"/>
      <c r="AH137" s="117"/>
      <c r="AI137" s="117"/>
      <c r="AJ137" s="117"/>
      <c r="AK137" s="117"/>
      <c r="AL137" s="117"/>
      <c r="AM137" s="117"/>
      <c r="AN137" s="117"/>
      <c r="AO137" s="117"/>
      <c r="AP137" s="128"/>
      <c r="AQ137" s="117"/>
      <c r="AR137" s="89"/>
      <c r="AS137" s="89"/>
      <c r="AT137" s="89"/>
    </row>
    <row r="138" spans="1:46" s="82" customFormat="1" ht="15" customHeight="1" x14ac:dyDescent="0.25">
      <c r="A138" s="186"/>
      <c r="B138" s="187"/>
      <c r="C138" s="131" t="s">
        <v>175</v>
      </c>
      <c r="D138" s="119">
        <f>D120</f>
        <v>1822</v>
      </c>
      <c r="E138" s="120"/>
      <c r="F138" s="121"/>
      <c r="G138" s="121"/>
      <c r="H138" s="121"/>
      <c r="I138" s="121"/>
      <c r="J138" s="132"/>
      <c r="K138" s="133"/>
      <c r="L138" s="129"/>
      <c r="M138" s="134"/>
      <c r="N138" s="135"/>
      <c r="O138" s="134"/>
      <c r="P138" s="135"/>
      <c r="Q138" s="280"/>
      <c r="R138" s="135"/>
      <c r="S138" s="333"/>
      <c r="T138" s="340"/>
      <c r="U138" s="341"/>
      <c r="V138" s="340"/>
      <c r="W138" s="341"/>
      <c r="X138" s="340"/>
      <c r="Y138" s="341"/>
      <c r="Z138" s="340"/>
      <c r="AA138" s="341"/>
      <c r="AB138" s="301"/>
      <c r="AC138" s="134"/>
      <c r="AG138" s="117"/>
      <c r="AH138" s="117"/>
      <c r="AI138" s="130"/>
      <c r="AJ138" s="130"/>
      <c r="AK138" s="117"/>
      <c r="AL138" s="117"/>
      <c r="AM138" s="117"/>
      <c r="AN138" s="117"/>
      <c r="AO138" s="117"/>
      <c r="AP138" s="128"/>
      <c r="AQ138" s="117"/>
      <c r="AR138" s="89"/>
      <c r="AS138" s="89"/>
      <c r="AT138" s="89"/>
    </row>
    <row r="139" spans="1:46" s="82" customFormat="1" ht="15" customHeight="1" x14ac:dyDescent="0.25">
      <c r="A139" s="186"/>
      <c r="B139" s="187"/>
      <c r="C139" s="131" t="s">
        <v>175</v>
      </c>
      <c r="D139" s="136">
        <f>D138</f>
        <v>1822</v>
      </c>
      <c r="E139" s="120"/>
      <c r="F139" s="121"/>
      <c r="G139" s="121"/>
      <c r="H139" s="121"/>
      <c r="I139" s="121"/>
      <c r="J139" s="132"/>
      <c r="K139" s="133"/>
      <c r="L139" s="129"/>
      <c r="M139" s="134"/>
      <c r="N139" s="135"/>
      <c r="O139" s="134"/>
      <c r="P139" s="135"/>
      <c r="Q139" s="280"/>
      <c r="R139" s="135"/>
      <c r="S139" s="333"/>
      <c r="T139" s="340"/>
      <c r="U139" s="341"/>
      <c r="V139" s="340"/>
      <c r="W139" s="341"/>
      <c r="X139" s="340"/>
      <c r="Y139" s="341"/>
      <c r="Z139" s="340"/>
      <c r="AA139" s="341"/>
      <c r="AB139" s="301"/>
      <c r="AC139" s="134"/>
      <c r="AG139" s="117"/>
      <c r="AH139" s="117"/>
      <c r="AI139" s="130"/>
      <c r="AJ139" s="130"/>
      <c r="AK139" s="117"/>
      <c r="AL139" s="117"/>
      <c r="AM139" s="117"/>
      <c r="AN139" s="117"/>
      <c r="AO139" s="117"/>
      <c r="AP139" s="128"/>
      <c r="AQ139" s="117"/>
      <c r="AR139" s="89"/>
      <c r="AS139" s="89"/>
      <c r="AT139" s="89"/>
    </row>
    <row r="140" spans="1:46" s="82" customFormat="1" ht="15" customHeight="1" thickBot="1" x14ac:dyDescent="0.3">
      <c r="A140" s="186"/>
      <c r="B140" s="187"/>
      <c r="C140" s="131" t="s">
        <v>175</v>
      </c>
      <c r="D140" s="136">
        <f>D138</f>
        <v>1822</v>
      </c>
      <c r="E140" s="120"/>
      <c r="F140" s="121"/>
      <c r="G140" s="121"/>
      <c r="H140" s="121"/>
      <c r="I140" s="121"/>
      <c r="J140" s="132"/>
      <c r="K140" s="133"/>
      <c r="L140" s="129"/>
      <c r="M140" s="134"/>
      <c r="N140" s="135"/>
      <c r="O140" s="134"/>
      <c r="P140" s="135"/>
      <c r="Q140" s="280"/>
      <c r="R140" s="135"/>
      <c r="S140" s="333"/>
      <c r="T140" s="340"/>
      <c r="U140" s="341"/>
      <c r="V140" s="340"/>
      <c r="W140" s="341"/>
      <c r="X140" s="340"/>
      <c r="Y140" s="341"/>
      <c r="Z140" s="340"/>
      <c r="AA140" s="341"/>
      <c r="AB140" s="301"/>
      <c r="AC140" s="134"/>
      <c r="AG140" s="117"/>
      <c r="AH140" s="117"/>
      <c r="AI140" s="130"/>
      <c r="AJ140" s="130"/>
      <c r="AK140" s="117"/>
      <c r="AL140" s="117"/>
      <c r="AM140" s="117"/>
      <c r="AN140" s="117"/>
      <c r="AO140" s="117"/>
      <c r="AP140" s="128"/>
      <c r="AQ140" s="117"/>
      <c r="AR140" s="89"/>
      <c r="AS140" s="89"/>
      <c r="AT140" s="89"/>
    </row>
    <row r="141" spans="1:46" s="82" customFormat="1" ht="15" hidden="1" customHeight="1" x14ac:dyDescent="0.25">
      <c r="A141" s="190"/>
      <c r="B141" s="191"/>
      <c r="C141" s="163" t="s">
        <v>160</v>
      </c>
      <c r="D141" s="164"/>
      <c r="E141" s="165">
        <f t="shared" ref="E141:M141" si="65">(E132*$D132-E133*$D133-E134*$D134-E135*$D135-E136*$D136-E137*$D137-E138*$D138-E139*$D139-E140*$D140)/1000000</f>
        <v>0</v>
      </c>
      <c r="F141" s="165">
        <f t="shared" si="65"/>
        <v>0</v>
      </c>
      <c r="G141" s="165">
        <f t="shared" si="65"/>
        <v>0</v>
      </c>
      <c r="H141" s="165">
        <f t="shared" si="65"/>
        <v>0</v>
      </c>
      <c r="I141" s="165">
        <f t="shared" si="65"/>
        <v>0</v>
      </c>
      <c r="J141" s="166">
        <f t="shared" si="65"/>
        <v>0</v>
      </c>
      <c r="K141" s="167">
        <f t="shared" si="65"/>
        <v>0</v>
      </c>
      <c r="L141" s="165">
        <f t="shared" si="65"/>
        <v>0</v>
      </c>
      <c r="M141" s="165">
        <f t="shared" si="65"/>
        <v>0</v>
      </c>
      <c r="N141" s="169"/>
      <c r="O141" s="170"/>
      <c r="P141" s="169"/>
      <c r="Q141" s="281"/>
      <c r="R141" s="327">
        <f t="shared" ref="R141:AC141" si="66">(R132*$D132)/1000000</f>
        <v>0</v>
      </c>
      <c r="S141" s="143">
        <f t="shared" si="66"/>
        <v>0</v>
      </c>
      <c r="T141" s="342">
        <f t="shared" si="66"/>
        <v>0</v>
      </c>
      <c r="U141" s="343">
        <f t="shared" si="66"/>
        <v>0</v>
      </c>
      <c r="V141" s="342">
        <f t="shared" si="66"/>
        <v>0</v>
      </c>
      <c r="W141" s="343">
        <f t="shared" si="66"/>
        <v>0</v>
      </c>
      <c r="X141" s="342">
        <f t="shared" ref="X141:AA141" si="67">(X132*$D132)/1000000</f>
        <v>0</v>
      </c>
      <c r="Y141" s="343">
        <f t="shared" si="67"/>
        <v>0</v>
      </c>
      <c r="Z141" s="342">
        <f t="shared" si="67"/>
        <v>0</v>
      </c>
      <c r="AA141" s="343">
        <f t="shared" si="67"/>
        <v>0</v>
      </c>
      <c r="AB141" s="142">
        <f t="shared" si="66"/>
        <v>0</v>
      </c>
      <c r="AC141" s="168">
        <f t="shared" si="66"/>
        <v>0</v>
      </c>
      <c r="AG141" s="117"/>
      <c r="AH141" s="117"/>
      <c r="AI141" s="130"/>
      <c r="AJ141" s="130"/>
      <c r="AK141" s="117"/>
      <c r="AL141" s="117"/>
      <c r="AM141" s="117"/>
      <c r="AN141" s="117"/>
      <c r="AO141" s="117"/>
      <c r="AP141" s="128"/>
      <c r="AQ141" s="117"/>
      <c r="AR141" s="89"/>
      <c r="AS141" s="89"/>
      <c r="AT141" s="89"/>
    </row>
    <row r="142" spans="1:46" s="82" customFormat="1" ht="15" hidden="1" customHeight="1" x14ac:dyDescent="0.25">
      <c r="A142" s="186"/>
      <c r="B142" s="187"/>
      <c r="C142" s="109" t="s">
        <v>163</v>
      </c>
      <c r="D142" s="136"/>
      <c r="E142" s="137">
        <f t="shared" ref="E142:M142" si="68">E141*E131</f>
        <v>0</v>
      </c>
      <c r="F142" s="137">
        <f t="shared" si="68"/>
        <v>0</v>
      </c>
      <c r="G142" s="137">
        <f t="shared" si="68"/>
        <v>0</v>
      </c>
      <c r="H142" s="137">
        <f t="shared" si="68"/>
        <v>0</v>
      </c>
      <c r="I142" s="137">
        <f t="shared" si="68"/>
        <v>0</v>
      </c>
      <c r="J142" s="138">
        <f t="shared" si="68"/>
        <v>0</v>
      </c>
      <c r="K142" s="139">
        <f t="shared" si="68"/>
        <v>0</v>
      </c>
      <c r="L142" s="137">
        <f t="shared" si="68"/>
        <v>0</v>
      </c>
      <c r="M142" s="140">
        <f t="shared" si="68"/>
        <v>0</v>
      </c>
      <c r="N142" s="141"/>
      <c r="O142" s="125"/>
      <c r="P142" s="141"/>
      <c r="Q142" s="282"/>
      <c r="R142" s="139">
        <f t="shared" ref="R142:AC142" si="69">R141*R131</f>
        <v>0</v>
      </c>
      <c r="S142" s="138">
        <f t="shared" si="69"/>
        <v>0</v>
      </c>
      <c r="T142" s="342">
        <f t="shared" si="69"/>
        <v>0</v>
      </c>
      <c r="U142" s="344">
        <f t="shared" si="69"/>
        <v>0</v>
      </c>
      <c r="V142" s="342">
        <f t="shared" si="69"/>
        <v>0</v>
      </c>
      <c r="W142" s="344">
        <f t="shared" si="69"/>
        <v>0</v>
      </c>
      <c r="X142" s="342">
        <f t="shared" ref="X142:AA142" si="70">X141*X131</f>
        <v>0</v>
      </c>
      <c r="Y142" s="344">
        <f t="shared" si="70"/>
        <v>0</v>
      </c>
      <c r="Z142" s="342">
        <f t="shared" si="70"/>
        <v>0</v>
      </c>
      <c r="AA142" s="344">
        <f t="shared" si="70"/>
        <v>0</v>
      </c>
      <c r="AB142" s="137">
        <f t="shared" si="69"/>
        <v>0</v>
      </c>
      <c r="AC142" s="140">
        <f t="shared" si="69"/>
        <v>0</v>
      </c>
      <c r="AG142" s="117"/>
      <c r="AH142" s="117"/>
      <c r="AI142" s="130"/>
      <c r="AJ142" s="130"/>
      <c r="AK142" s="117"/>
      <c r="AL142" s="117"/>
      <c r="AM142" s="117"/>
      <c r="AN142" s="117"/>
      <c r="AO142" s="117"/>
      <c r="AP142" s="128"/>
      <c r="AQ142" s="117"/>
      <c r="AR142" s="89"/>
      <c r="AS142" s="89"/>
      <c r="AT142" s="89"/>
    </row>
    <row r="143" spans="1:46" s="82" customFormat="1" ht="15" hidden="1" customHeight="1" x14ac:dyDescent="0.25">
      <c r="A143" s="186"/>
      <c r="B143" s="187"/>
      <c r="C143" s="109" t="s">
        <v>176</v>
      </c>
      <c r="D143" s="136"/>
      <c r="E143" s="137">
        <f t="shared" ref="E143:J145" si="71">IF(E138&gt;0, (E138+$D138*2)/1000, 0)</f>
        <v>0</v>
      </c>
      <c r="F143" s="142">
        <f t="shared" si="71"/>
        <v>0</v>
      </c>
      <c r="G143" s="142">
        <f t="shared" si="71"/>
        <v>0</v>
      </c>
      <c r="H143" s="142">
        <f t="shared" si="71"/>
        <v>0</v>
      </c>
      <c r="I143" s="142">
        <f t="shared" si="71"/>
        <v>0</v>
      </c>
      <c r="J143" s="143">
        <f t="shared" si="71"/>
        <v>0</v>
      </c>
      <c r="K143" s="139"/>
      <c r="L143" s="142"/>
      <c r="M143" s="144"/>
      <c r="N143" s="141"/>
      <c r="O143" s="125"/>
      <c r="P143" s="141"/>
      <c r="Q143" s="282"/>
      <c r="R143" s="141"/>
      <c r="S143" s="334"/>
      <c r="T143" s="345"/>
      <c r="U143" s="346"/>
      <c r="V143" s="345"/>
      <c r="W143" s="346"/>
      <c r="X143" s="345"/>
      <c r="Y143" s="346"/>
      <c r="Z143" s="345"/>
      <c r="AA143" s="346"/>
      <c r="AB143" s="302"/>
      <c r="AC143" s="125"/>
      <c r="AG143" s="117"/>
      <c r="AH143" s="117"/>
      <c r="AI143" s="130"/>
      <c r="AJ143" s="130"/>
      <c r="AK143" s="117"/>
      <c r="AL143" s="117"/>
      <c r="AM143" s="117"/>
      <c r="AN143" s="117"/>
      <c r="AO143" s="117"/>
      <c r="AP143" s="128"/>
      <c r="AQ143" s="117"/>
      <c r="AR143" s="89"/>
      <c r="AS143" s="89"/>
      <c r="AT143" s="89"/>
    </row>
    <row r="144" spans="1:46" s="82" customFormat="1" ht="15" hidden="1" customHeight="1" x14ac:dyDescent="0.25">
      <c r="A144" s="192"/>
      <c r="B144" s="193"/>
      <c r="C144" s="109" t="s">
        <v>176</v>
      </c>
      <c r="D144" s="136"/>
      <c r="E144" s="137">
        <f t="shared" si="71"/>
        <v>0</v>
      </c>
      <c r="F144" s="142">
        <f t="shared" si="71"/>
        <v>0</v>
      </c>
      <c r="G144" s="142">
        <f t="shared" si="71"/>
        <v>0</v>
      </c>
      <c r="H144" s="142">
        <f t="shared" si="71"/>
        <v>0</v>
      </c>
      <c r="I144" s="142">
        <f t="shared" si="71"/>
        <v>0</v>
      </c>
      <c r="J144" s="143">
        <f t="shared" si="71"/>
        <v>0</v>
      </c>
      <c r="K144" s="139"/>
      <c r="L144" s="142"/>
      <c r="M144" s="144"/>
      <c r="N144" s="141"/>
      <c r="O144" s="125"/>
      <c r="P144" s="141"/>
      <c r="Q144" s="282"/>
      <c r="R144" s="141"/>
      <c r="S144" s="334"/>
      <c r="T144" s="345"/>
      <c r="U144" s="346"/>
      <c r="V144" s="345"/>
      <c r="W144" s="346"/>
      <c r="X144" s="345"/>
      <c r="Y144" s="346"/>
      <c r="Z144" s="345"/>
      <c r="AA144" s="346"/>
      <c r="AB144" s="302"/>
      <c r="AC144" s="125"/>
      <c r="AG144" s="117"/>
      <c r="AH144" s="117"/>
      <c r="AI144" s="130"/>
      <c r="AJ144" s="130"/>
      <c r="AK144" s="117"/>
      <c r="AL144" s="117"/>
      <c r="AM144" s="117"/>
      <c r="AN144" s="117"/>
      <c r="AO144" s="117"/>
      <c r="AP144" s="128"/>
      <c r="AQ144" s="117"/>
      <c r="AR144" s="89"/>
      <c r="AS144" s="89"/>
      <c r="AT144" s="89"/>
    </row>
    <row r="145" spans="1:46" s="82" customFormat="1" ht="15" hidden="1" customHeight="1" x14ac:dyDescent="0.25">
      <c r="A145" s="192"/>
      <c r="B145" s="193"/>
      <c r="C145" s="109" t="s">
        <v>176</v>
      </c>
      <c r="D145" s="136"/>
      <c r="E145" s="137">
        <f t="shared" si="71"/>
        <v>0</v>
      </c>
      <c r="F145" s="142">
        <f t="shared" si="71"/>
        <v>0</v>
      </c>
      <c r="G145" s="142">
        <f t="shared" si="71"/>
        <v>0</v>
      </c>
      <c r="H145" s="142">
        <f t="shared" si="71"/>
        <v>0</v>
      </c>
      <c r="I145" s="142">
        <f t="shared" si="71"/>
        <v>0</v>
      </c>
      <c r="J145" s="143">
        <f t="shared" si="71"/>
        <v>0</v>
      </c>
      <c r="K145" s="139"/>
      <c r="L145" s="142"/>
      <c r="M145" s="144"/>
      <c r="N145" s="141"/>
      <c r="O145" s="125"/>
      <c r="P145" s="141"/>
      <c r="Q145" s="282"/>
      <c r="R145" s="141"/>
      <c r="S145" s="334"/>
      <c r="T145" s="345"/>
      <c r="U145" s="346"/>
      <c r="V145" s="345"/>
      <c r="W145" s="346"/>
      <c r="X145" s="345"/>
      <c r="Y145" s="346"/>
      <c r="Z145" s="345"/>
      <c r="AA145" s="346"/>
      <c r="AB145" s="302"/>
      <c r="AC145" s="125"/>
      <c r="AG145" s="117"/>
      <c r="AH145" s="117"/>
      <c r="AI145" s="130"/>
      <c r="AJ145" s="130"/>
      <c r="AK145" s="117"/>
      <c r="AL145" s="117"/>
      <c r="AM145" s="117"/>
      <c r="AN145" s="117"/>
      <c r="AO145" s="117"/>
      <c r="AP145" s="128"/>
      <c r="AQ145" s="117"/>
      <c r="AR145" s="89"/>
      <c r="AS145" s="89"/>
      <c r="AT145" s="89"/>
    </row>
    <row r="146" spans="1:46" s="326" customFormat="1" ht="15" hidden="1" customHeight="1" x14ac:dyDescent="0.25">
      <c r="A146" s="194"/>
      <c r="B146" s="195"/>
      <c r="C146" s="109" t="s">
        <v>628</v>
      </c>
      <c r="D146" s="136"/>
      <c r="E146" s="137">
        <f t="shared" ref="E146:J148" si="72">IF(E138&gt;0, (E138+$D138)*2/1000, 0)</f>
        <v>0</v>
      </c>
      <c r="F146" s="142">
        <f t="shared" si="72"/>
        <v>0</v>
      </c>
      <c r="G146" s="142">
        <f t="shared" si="72"/>
        <v>0</v>
      </c>
      <c r="H146" s="142">
        <f t="shared" si="72"/>
        <v>0</v>
      </c>
      <c r="I146" s="142">
        <f t="shared" si="72"/>
        <v>0</v>
      </c>
      <c r="J146" s="143">
        <f t="shared" si="72"/>
        <v>0</v>
      </c>
      <c r="K146" s="139"/>
      <c r="L146" s="142"/>
      <c r="M146" s="144"/>
      <c r="N146" s="141"/>
      <c r="O146" s="125"/>
      <c r="P146" s="141"/>
      <c r="Q146" s="282"/>
      <c r="R146" s="141"/>
      <c r="S146" s="334"/>
      <c r="T146" s="345"/>
      <c r="U146" s="346"/>
      <c r="V146" s="345"/>
      <c r="W146" s="346"/>
      <c r="X146" s="345"/>
      <c r="Y146" s="346"/>
      <c r="Z146" s="345"/>
      <c r="AA146" s="346"/>
      <c r="AB146" s="302"/>
      <c r="AC146" s="125"/>
      <c r="AD146" s="82"/>
      <c r="AE146" s="82"/>
      <c r="AF146" s="82"/>
      <c r="AG146" s="117"/>
      <c r="AH146" s="117"/>
      <c r="AI146" s="130"/>
      <c r="AJ146" s="130"/>
      <c r="AK146" s="117"/>
      <c r="AL146" s="117"/>
      <c r="AM146" s="117"/>
      <c r="AN146" s="117"/>
      <c r="AO146" s="117"/>
      <c r="AP146" s="128"/>
      <c r="AQ146" s="117"/>
      <c r="AR146" s="103"/>
      <c r="AS146" s="103"/>
      <c r="AT146" s="103"/>
    </row>
    <row r="147" spans="1:46" s="326" customFormat="1" ht="15" hidden="1" customHeight="1" x14ac:dyDescent="0.25">
      <c r="A147" s="186"/>
      <c r="B147" s="187"/>
      <c r="C147" s="109" t="s">
        <v>628</v>
      </c>
      <c r="D147" s="136"/>
      <c r="E147" s="137">
        <f t="shared" si="72"/>
        <v>0</v>
      </c>
      <c r="F147" s="142">
        <f t="shared" si="72"/>
        <v>0</v>
      </c>
      <c r="G147" s="142">
        <f t="shared" si="72"/>
        <v>0</v>
      </c>
      <c r="H147" s="142">
        <f t="shared" si="72"/>
        <v>0</v>
      </c>
      <c r="I147" s="142">
        <f t="shared" si="72"/>
        <v>0</v>
      </c>
      <c r="J147" s="143">
        <f t="shared" si="72"/>
        <v>0</v>
      </c>
      <c r="K147" s="139"/>
      <c r="L147" s="142"/>
      <c r="M147" s="144"/>
      <c r="N147" s="141"/>
      <c r="O147" s="125"/>
      <c r="P147" s="141"/>
      <c r="Q147" s="282"/>
      <c r="R147" s="141"/>
      <c r="S147" s="334"/>
      <c r="T147" s="345"/>
      <c r="U147" s="346"/>
      <c r="V147" s="345"/>
      <c r="W147" s="346"/>
      <c r="X147" s="345"/>
      <c r="Y147" s="346"/>
      <c r="Z147" s="345"/>
      <c r="AA147" s="346"/>
      <c r="AB147" s="302"/>
      <c r="AC147" s="125"/>
      <c r="AD147" s="82"/>
      <c r="AE147" s="82"/>
      <c r="AF147" s="82"/>
      <c r="AG147" s="117"/>
      <c r="AH147" s="117"/>
      <c r="AI147" s="130"/>
      <c r="AJ147" s="130"/>
      <c r="AK147" s="117"/>
      <c r="AL147" s="117"/>
      <c r="AM147" s="117"/>
      <c r="AN147" s="117"/>
      <c r="AO147" s="117"/>
      <c r="AP147" s="128"/>
      <c r="AQ147" s="117"/>
      <c r="AR147" s="103"/>
      <c r="AS147" s="103"/>
      <c r="AT147" s="103"/>
    </row>
    <row r="148" spans="1:46" s="326" customFormat="1" ht="15" hidden="1" customHeight="1" thickBot="1" x14ac:dyDescent="0.3">
      <c r="A148" s="188"/>
      <c r="B148" s="189"/>
      <c r="C148" s="109" t="s">
        <v>628</v>
      </c>
      <c r="D148" s="145"/>
      <c r="E148" s="146">
        <f t="shared" si="72"/>
        <v>0</v>
      </c>
      <c r="F148" s="147">
        <f t="shared" si="72"/>
        <v>0</v>
      </c>
      <c r="G148" s="147">
        <f t="shared" si="72"/>
        <v>0</v>
      </c>
      <c r="H148" s="147">
        <f t="shared" si="72"/>
        <v>0</v>
      </c>
      <c r="I148" s="147">
        <f t="shared" si="72"/>
        <v>0</v>
      </c>
      <c r="J148" s="148">
        <f t="shared" si="72"/>
        <v>0</v>
      </c>
      <c r="K148" s="149"/>
      <c r="L148" s="147"/>
      <c r="M148" s="150"/>
      <c r="N148" s="151"/>
      <c r="O148" s="152"/>
      <c r="P148" s="151"/>
      <c r="Q148" s="283"/>
      <c r="R148" s="151"/>
      <c r="S148" s="335"/>
      <c r="T148" s="347"/>
      <c r="U148" s="348"/>
      <c r="V148" s="347"/>
      <c r="W148" s="348"/>
      <c r="X148" s="347"/>
      <c r="Y148" s="348"/>
      <c r="Z148" s="347"/>
      <c r="AA148" s="348"/>
      <c r="AB148" s="303"/>
      <c r="AC148" s="152"/>
      <c r="AD148" s="82"/>
      <c r="AE148" s="82"/>
      <c r="AF148" s="82"/>
      <c r="AG148" s="117"/>
      <c r="AH148" s="117"/>
      <c r="AI148" s="130"/>
      <c r="AJ148" s="130"/>
      <c r="AK148" s="117"/>
      <c r="AL148" s="117"/>
      <c r="AM148" s="117"/>
      <c r="AN148" s="117"/>
      <c r="AO148" s="117"/>
      <c r="AP148" s="128"/>
      <c r="AQ148" s="117"/>
      <c r="AR148" s="103"/>
      <c r="AS148" s="103"/>
      <c r="AT148" s="103"/>
    </row>
    <row r="149" spans="1:46" s="82" customFormat="1" ht="15" customHeight="1" x14ac:dyDescent="0.25">
      <c r="A149" s="181">
        <v>5</v>
      </c>
      <c r="B149" s="185" t="s">
        <v>191</v>
      </c>
      <c r="C149" s="105" t="s">
        <v>165</v>
      </c>
      <c r="D149" s="162"/>
      <c r="E149" s="306"/>
      <c r="F149" s="307"/>
      <c r="G149" s="307"/>
      <c r="H149" s="307"/>
      <c r="I149" s="307"/>
      <c r="J149" s="308"/>
      <c r="K149" s="309"/>
      <c r="L149" s="307"/>
      <c r="M149" s="310"/>
      <c r="N149" s="106"/>
      <c r="O149" s="107"/>
      <c r="P149" s="106"/>
      <c r="Q149" s="278"/>
      <c r="R149" s="309"/>
      <c r="S149" s="308"/>
      <c r="T149" s="336"/>
      <c r="U149" s="337"/>
      <c r="V149" s="336"/>
      <c r="W149" s="337"/>
      <c r="X149" s="336"/>
      <c r="Y149" s="337"/>
      <c r="Z149" s="336"/>
      <c r="AA149" s="337"/>
      <c r="AB149" s="307"/>
      <c r="AC149" s="310"/>
      <c r="AG149" s="117" t="s">
        <v>77</v>
      </c>
      <c r="AH149" s="117" t="s">
        <v>167</v>
      </c>
      <c r="AI149" s="117" t="s">
        <v>164</v>
      </c>
      <c r="AJ149" s="117" t="s">
        <v>166</v>
      </c>
      <c r="AK149" s="94" t="s">
        <v>106</v>
      </c>
      <c r="AL149" s="117" t="s">
        <v>162</v>
      </c>
      <c r="AM149" s="117" t="s">
        <v>629</v>
      </c>
      <c r="AN149" s="117"/>
      <c r="AO149" s="117"/>
      <c r="AP149" s="128"/>
      <c r="AQ149" s="117"/>
      <c r="AR149" s="89"/>
      <c r="AS149" s="89"/>
      <c r="AT149" s="89"/>
    </row>
    <row r="150" spans="1:46" s="82" customFormat="1" ht="15" customHeight="1" x14ac:dyDescent="0.25">
      <c r="A150" s="186"/>
      <c r="B150" s="367" t="s">
        <v>545</v>
      </c>
      <c r="C150" s="118" t="s">
        <v>627</v>
      </c>
      <c r="D150" s="119">
        <f>D132</f>
        <v>2644</v>
      </c>
      <c r="E150" s="120"/>
      <c r="F150" s="121"/>
      <c r="G150" s="121">
        <v>2159</v>
      </c>
      <c r="H150" s="121">
        <v>2059</v>
      </c>
      <c r="I150" s="122">
        <f>G150-E150</f>
        <v>2159</v>
      </c>
      <c r="J150" s="123">
        <f>H150-F150</f>
        <v>2059</v>
      </c>
      <c r="K150" s="124"/>
      <c r="L150" s="122">
        <f>K150</f>
        <v>0</v>
      </c>
      <c r="M150" s="125">
        <f>IF(L150&gt;0, 100, 0)</f>
        <v>0</v>
      </c>
      <c r="N150" s="126"/>
      <c r="O150" s="127"/>
      <c r="P150" s="126"/>
      <c r="Q150" s="279"/>
      <c r="R150" s="126"/>
      <c r="S150" s="332"/>
      <c r="T150" s="338"/>
      <c r="U150" s="339"/>
      <c r="V150" s="338"/>
      <c r="W150" s="339"/>
      <c r="X150" s="338"/>
      <c r="Y150" s="339"/>
      <c r="Z150" s="338"/>
      <c r="AA150" s="339"/>
      <c r="AB150" s="300"/>
      <c r="AC150" s="127"/>
      <c r="AG150" s="108">
        <f>SUM(E159:L159)</f>
        <v>20.624783999999998</v>
      </c>
      <c r="AH150" s="108">
        <f>SUM(E160:AC160)</f>
        <v>0</v>
      </c>
      <c r="AI150" s="286">
        <f>((E150*F150+H150*I150)-K150*M150-(R150*S150+T150*U150+V150*W150+X150*Y150+Z150*AA150+AB150*AC150)-P150*Q150)/1000000</f>
        <v>4.4453810000000002</v>
      </c>
      <c r="AJ150" s="117">
        <f>((E150*F150+H150*I150)-K150*M150-(R150*S150+T150*U150+V150*W150+X150*Y150+Z150*AA150+AB150*AC150)+N150*O150)/1000000</f>
        <v>4.4453810000000002</v>
      </c>
      <c r="AK150" s="108">
        <f>(SUM(E150:M150)-SUM(E151:M155))/1000</f>
        <v>7.6360000000000001</v>
      </c>
      <c r="AL150" s="108">
        <f>SUM(E161:J163)</f>
        <v>0</v>
      </c>
      <c r="AM150" s="159">
        <f>SUM(E164:J166)</f>
        <v>0</v>
      </c>
      <c r="AN150" s="117"/>
      <c r="AO150" s="117"/>
      <c r="AP150" s="128"/>
      <c r="AQ150" s="117"/>
      <c r="AR150" s="89"/>
      <c r="AS150" s="89"/>
      <c r="AT150" s="89"/>
    </row>
    <row r="151" spans="1:46" s="82" customFormat="1" ht="15" hidden="1" customHeight="1" x14ac:dyDescent="0.25">
      <c r="A151" s="186"/>
      <c r="B151" s="187"/>
      <c r="C151" s="131" t="s">
        <v>158</v>
      </c>
      <c r="D151" s="119">
        <f>D150</f>
        <v>2644</v>
      </c>
      <c r="E151" s="120"/>
      <c r="F151" s="121"/>
      <c r="G151" s="121"/>
      <c r="H151" s="121"/>
      <c r="I151" s="121"/>
      <c r="J151" s="132"/>
      <c r="K151" s="133"/>
      <c r="L151" s="129"/>
      <c r="M151" s="134"/>
      <c r="N151" s="135"/>
      <c r="O151" s="134"/>
      <c r="P151" s="135"/>
      <c r="Q151" s="280"/>
      <c r="R151" s="135"/>
      <c r="S151" s="333"/>
      <c r="T151" s="340"/>
      <c r="U151" s="341"/>
      <c r="V151" s="340"/>
      <c r="W151" s="341"/>
      <c r="X151" s="340"/>
      <c r="Y151" s="341"/>
      <c r="Z151" s="340"/>
      <c r="AA151" s="341"/>
      <c r="AB151" s="301"/>
      <c r="AC151" s="134"/>
      <c r="AG151" s="130"/>
      <c r="AH151" s="130"/>
      <c r="AI151" s="130"/>
      <c r="AJ151" s="130"/>
      <c r="AK151" s="130"/>
      <c r="AL151" s="130"/>
      <c r="AM151" s="130"/>
      <c r="AN151" s="117"/>
      <c r="AO151" s="117"/>
      <c r="AP151" s="128"/>
      <c r="AQ151" s="117"/>
      <c r="AR151" s="89"/>
      <c r="AS151" s="89"/>
      <c r="AT151" s="89"/>
    </row>
    <row r="152" spans="1:46" s="82" customFormat="1" ht="15" hidden="1" customHeight="1" x14ac:dyDescent="0.25">
      <c r="A152" s="186"/>
      <c r="B152" s="187"/>
      <c r="C152" s="131" t="s">
        <v>158</v>
      </c>
      <c r="D152" s="119"/>
      <c r="E152" s="120"/>
      <c r="F152" s="121"/>
      <c r="G152" s="121"/>
      <c r="H152" s="121"/>
      <c r="I152" s="121"/>
      <c r="J152" s="132"/>
      <c r="K152" s="133"/>
      <c r="L152" s="129"/>
      <c r="M152" s="134"/>
      <c r="N152" s="135"/>
      <c r="O152" s="134"/>
      <c r="P152" s="135"/>
      <c r="Q152" s="280"/>
      <c r="R152" s="135"/>
      <c r="S152" s="333"/>
      <c r="T152" s="340"/>
      <c r="U152" s="341"/>
      <c r="V152" s="340"/>
      <c r="W152" s="341"/>
      <c r="X152" s="340"/>
      <c r="Y152" s="341"/>
      <c r="Z152" s="340"/>
      <c r="AA152" s="341"/>
      <c r="AB152" s="301"/>
      <c r="AC152" s="134"/>
      <c r="AG152" s="130"/>
      <c r="AH152" s="130"/>
      <c r="AI152" s="130"/>
      <c r="AJ152" s="130"/>
      <c r="AK152" s="130"/>
      <c r="AL152" s="130"/>
      <c r="AM152" s="130"/>
      <c r="AN152" s="117"/>
      <c r="AO152" s="117"/>
      <c r="AP152" s="128"/>
      <c r="AQ152" s="117"/>
      <c r="AR152" s="89"/>
      <c r="AS152" s="89"/>
      <c r="AT152" s="89"/>
    </row>
    <row r="153" spans="1:46" s="82" customFormat="1" ht="15" customHeight="1" thickBot="1" x14ac:dyDescent="0.3">
      <c r="A153" s="186"/>
      <c r="B153" s="187"/>
      <c r="C153" s="131" t="s">
        <v>159</v>
      </c>
      <c r="D153" s="136">
        <v>2100</v>
      </c>
      <c r="E153" s="120"/>
      <c r="F153" s="121"/>
      <c r="G153" s="121">
        <f>IF(AND(G150 &lt;&gt;"", E150=""), 800, 0)</f>
        <v>800</v>
      </c>
      <c r="H153" s="121"/>
      <c r="I153" s="121"/>
      <c r="J153" s="132"/>
      <c r="K153" s="133"/>
      <c r="L153" s="129"/>
      <c r="M153" s="134"/>
      <c r="N153" s="135"/>
      <c r="O153" s="134"/>
      <c r="P153" s="135"/>
      <c r="Q153" s="280"/>
      <c r="R153" s="135"/>
      <c r="S153" s="333"/>
      <c r="T153" s="340"/>
      <c r="U153" s="341"/>
      <c r="V153" s="340"/>
      <c r="W153" s="341"/>
      <c r="X153" s="340"/>
      <c r="Y153" s="341"/>
      <c r="Z153" s="340"/>
      <c r="AA153" s="341"/>
      <c r="AB153" s="301"/>
      <c r="AC153" s="134"/>
      <c r="AG153" s="117"/>
      <c r="AH153" s="117"/>
      <c r="AI153" s="117"/>
      <c r="AJ153" s="117"/>
      <c r="AK153" s="117"/>
      <c r="AL153" s="117"/>
      <c r="AM153" s="117"/>
      <c r="AN153" s="117"/>
      <c r="AO153" s="117"/>
      <c r="AP153" s="128"/>
      <c r="AQ153" s="117"/>
      <c r="AR153" s="89"/>
      <c r="AS153" s="89"/>
      <c r="AT153" s="89"/>
    </row>
    <row r="154" spans="1:46" s="82" customFormat="1" ht="15" hidden="1" customHeight="1" x14ac:dyDescent="0.25">
      <c r="A154" s="186"/>
      <c r="B154" s="187"/>
      <c r="C154" s="131" t="s">
        <v>159</v>
      </c>
      <c r="D154" s="136">
        <v>2100</v>
      </c>
      <c r="E154" s="120"/>
      <c r="F154" s="121"/>
      <c r="G154" s="121"/>
      <c r="H154" s="121"/>
      <c r="I154" s="121"/>
      <c r="J154" s="132"/>
      <c r="K154" s="133"/>
      <c r="L154" s="129"/>
      <c r="M154" s="134"/>
      <c r="N154" s="135"/>
      <c r="O154" s="134"/>
      <c r="P154" s="135"/>
      <c r="Q154" s="280"/>
      <c r="R154" s="135"/>
      <c r="S154" s="333"/>
      <c r="T154" s="340"/>
      <c r="U154" s="341"/>
      <c r="V154" s="340"/>
      <c r="W154" s="341"/>
      <c r="X154" s="340"/>
      <c r="Y154" s="341"/>
      <c r="Z154" s="340"/>
      <c r="AA154" s="341"/>
      <c r="AB154" s="301"/>
      <c r="AC154" s="134"/>
      <c r="AG154" s="117"/>
      <c r="AH154" s="117"/>
      <c r="AI154" s="117"/>
      <c r="AJ154" s="117"/>
      <c r="AK154" s="117"/>
      <c r="AL154" s="117"/>
      <c r="AM154" s="117"/>
      <c r="AN154" s="117"/>
      <c r="AO154" s="117"/>
      <c r="AP154" s="128"/>
      <c r="AQ154" s="117"/>
      <c r="AR154" s="89"/>
      <c r="AS154" s="89"/>
      <c r="AT154" s="89"/>
    </row>
    <row r="155" spans="1:46" s="82" customFormat="1" ht="15" hidden="1" customHeight="1" x14ac:dyDescent="0.25">
      <c r="A155" s="186"/>
      <c r="B155" s="187"/>
      <c r="C155" s="131" t="s">
        <v>159</v>
      </c>
      <c r="D155" s="136"/>
      <c r="E155" s="120"/>
      <c r="F155" s="121"/>
      <c r="G155" s="121"/>
      <c r="H155" s="121"/>
      <c r="I155" s="121"/>
      <c r="J155" s="132"/>
      <c r="K155" s="133"/>
      <c r="L155" s="129"/>
      <c r="M155" s="134"/>
      <c r="N155" s="135"/>
      <c r="O155" s="134"/>
      <c r="P155" s="135"/>
      <c r="Q155" s="280"/>
      <c r="R155" s="135"/>
      <c r="S155" s="333"/>
      <c r="T155" s="340"/>
      <c r="U155" s="341"/>
      <c r="V155" s="340"/>
      <c r="W155" s="341"/>
      <c r="X155" s="340"/>
      <c r="Y155" s="341"/>
      <c r="Z155" s="340"/>
      <c r="AA155" s="341"/>
      <c r="AB155" s="301"/>
      <c r="AC155" s="134"/>
      <c r="AG155" s="117"/>
      <c r="AH155" s="117"/>
      <c r="AI155" s="117"/>
      <c r="AJ155" s="117"/>
      <c r="AK155" s="117"/>
      <c r="AL155" s="117"/>
      <c r="AM155" s="117"/>
      <c r="AN155" s="117"/>
      <c r="AO155" s="117"/>
      <c r="AP155" s="128"/>
      <c r="AQ155" s="117"/>
      <c r="AR155" s="89"/>
      <c r="AS155" s="89"/>
      <c r="AT155" s="89"/>
    </row>
    <row r="156" spans="1:46" s="82" customFormat="1" ht="15" hidden="1" customHeight="1" x14ac:dyDescent="0.25">
      <c r="A156" s="186"/>
      <c r="B156" s="187"/>
      <c r="C156" s="131" t="s">
        <v>175</v>
      </c>
      <c r="D156" s="119"/>
      <c r="E156" s="120"/>
      <c r="F156" s="121"/>
      <c r="G156" s="121"/>
      <c r="H156" s="121"/>
      <c r="I156" s="121"/>
      <c r="J156" s="132"/>
      <c r="K156" s="133"/>
      <c r="L156" s="129"/>
      <c r="M156" s="134"/>
      <c r="N156" s="135"/>
      <c r="O156" s="134"/>
      <c r="P156" s="135"/>
      <c r="Q156" s="280"/>
      <c r="R156" s="135"/>
      <c r="S156" s="333"/>
      <c r="T156" s="340"/>
      <c r="U156" s="341"/>
      <c r="V156" s="340"/>
      <c r="W156" s="341"/>
      <c r="X156" s="340"/>
      <c r="Y156" s="341"/>
      <c r="Z156" s="340"/>
      <c r="AA156" s="341"/>
      <c r="AB156" s="301"/>
      <c r="AC156" s="134"/>
      <c r="AG156" s="117"/>
      <c r="AH156" s="117"/>
      <c r="AI156" s="130"/>
      <c r="AJ156" s="130"/>
      <c r="AK156" s="117"/>
      <c r="AL156" s="117"/>
      <c r="AM156" s="117"/>
      <c r="AN156" s="117"/>
      <c r="AO156" s="117"/>
      <c r="AP156" s="128"/>
      <c r="AQ156" s="117"/>
      <c r="AR156" s="89"/>
      <c r="AS156" s="89"/>
      <c r="AT156" s="89"/>
    </row>
    <row r="157" spans="1:46" s="82" customFormat="1" ht="15" hidden="1" customHeight="1" x14ac:dyDescent="0.25">
      <c r="A157" s="186"/>
      <c r="B157" s="187"/>
      <c r="C157" s="131" t="s">
        <v>175</v>
      </c>
      <c r="D157" s="136">
        <f>D156</f>
        <v>0</v>
      </c>
      <c r="E157" s="120"/>
      <c r="F157" s="121"/>
      <c r="G157" s="121"/>
      <c r="H157" s="121"/>
      <c r="I157" s="121"/>
      <c r="J157" s="132"/>
      <c r="K157" s="133"/>
      <c r="L157" s="129"/>
      <c r="M157" s="134"/>
      <c r="N157" s="135"/>
      <c r="O157" s="134"/>
      <c r="P157" s="135"/>
      <c r="Q157" s="280"/>
      <c r="R157" s="135"/>
      <c r="S157" s="333"/>
      <c r="T157" s="340"/>
      <c r="U157" s="341"/>
      <c r="V157" s="340"/>
      <c r="W157" s="341"/>
      <c r="X157" s="340"/>
      <c r="Y157" s="341"/>
      <c r="Z157" s="340"/>
      <c r="AA157" s="341"/>
      <c r="AB157" s="301"/>
      <c r="AC157" s="134"/>
      <c r="AG157" s="117"/>
      <c r="AH157" s="117"/>
      <c r="AI157" s="130"/>
      <c r="AJ157" s="130"/>
      <c r="AK157" s="117"/>
      <c r="AL157" s="117"/>
      <c r="AM157" s="117"/>
      <c r="AN157" s="117"/>
      <c r="AO157" s="117"/>
      <c r="AP157" s="128"/>
      <c r="AQ157" s="117"/>
      <c r="AR157" s="89"/>
      <c r="AS157" s="89"/>
      <c r="AT157" s="89"/>
    </row>
    <row r="158" spans="1:46" s="82" customFormat="1" ht="15" hidden="1" customHeight="1" x14ac:dyDescent="0.25">
      <c r="A158" s="186"/>
      <c r="B158" s="187"/>
      <c r="C158" s="131" t="s">
        <v>175</v>
      </c>
      <c r="D158" s="136">
        <f>D156</f>
        <v>0</v>
      </c>
      <c r="E158" s="120"/>
      <c r="F158" s="121"/>
      <c r="G158" s="121"/>
      <c r="H158" s="121"/>
      <c r="I158" s="121"/>
      <c r="J158" s="132"/>
      <c r="K158" s="133"/>
      <c r="L158" s="129"/>
      <c r="M158" s="134"/>
      <c r="N158" s="135"/>
      <c r="O158" s="134"/>
      <c r="P158" s="135"/>
      <c r="Q158" s="280"/>
      <c r="R158" s="135"/>
      <c r="S158" s="333"/>
      <c r="T158" s="340"/>
      <c r="U158" s="341"/>
      <c r="V158" s="340"/>
      <c r="W158" s="341"/>
      <c r="X158" s="340"/>
      <c r="Y158" s="341"/>
      <c r="Z158" s="340"/>
      <c r="AA158" s="341"/>
      <c r="AB158" s="301"/>
      <c r="AC158" s="134"/>
      <c r="AG158" s="117"/>
      <c r="AH158" s="117"/>
      <c r="AI158" s="130"/>
      <c r="AJ158" s="130"/>
      <c r="AK158" s="117"/>
      <c r="AL158" s="117"/>
      <c r="AM158" s="117"/>
      <c r="AN158" s="117"/>
      <c r="AO158" s="117"/>
      <c r="AP158" s="128"/>
      <c r="AQ158" s="117"/>
      <c r="AR158" s="89"/>
      <c r="AS158" s="89"/>
      <c r="AT158" s="89"/>
    </row>
    <row r="159" spans="1:46" s="82" customFormat="1" ht="15" hidden="1" customHeight="1" x14ac:dyDescent="0.25">
      <c r="A159" s="190"/>
      <c r="B159" s="191"/>
      <c r="C159" s="163" t="s">
        <v>160</v>
      </c>
      <c r="D159" s="164"/>
      <c r="E159" s="165">
        <f t="shared" ref="E159:M159" si="73">(E150*$D150-E151*$D151-E152*$D152-E153*$D153-E154*$D154-E155*$D155-E156*$D156-E157*$D157-E158*$D158)/1000000</f>
        <v>0</v>
      </c>
      <c r="F159" s="165">
        <f t="shared" si="73"/>
        <v>0</v>
      </c>
      <c r="G159" s="165">
        <f t="shared" si="73"/>
        <v>4.0283959999999999</v>
      </c>
      <c r="H159" s="165">
        <f t="shared" si="73"/>
        <v>5.4439960000000003</v>
      </c>
      <c r="I159" s="165">
        <f t="shared" si="73"/>
        <v>5.7083959999999996</v>
      </c>
      <c r="J159" s="166">
        <f t="shared" si="73"/>
        <v>5.4439960000000003</v>
      </c>
      <c r="K159" s="167">
        <f t="shared" si="73"/>
        <v>0</v>
      </c>
      <c r="L159" s="165">
        <f t="shared" si="73"/>
        <v>0</v>
      </c>
      <c r="M159" s="165">
        <f t="shared" si="73"/>
        <v>0</v>
      </c>
      <c r="N159" s="169"/>
      <c r="O159" s="170"/>
      <c r="P159" s="169"/>
      <c r="Q159" s="281"/>
      <c r="R159" s="327">
        <f t="shared" ref="R159:AC159" si="74">(R150*$D150)/1000000</f>
        <v>0</v>
      </c>
      <c r="S159" s="143">
        <f t="shared" si="74"/>
        <v>0</v>
      </c>
      <c r="T159" s="342">
        <f t="shared" si="74"/>
        <v>0</v>
      </c>
      <c r="U159" s="343">
        <f t="shared" si="74"/>
        <v>0</v>
      </c>
      <c r="V159" s="342">
        <f t="shared" si="74"/>
        <v>0</v>
      </c>
      <c r="W159" s="343">
        <f t="shared" si="74"/>
        <v>0</v>
      </c>
      <c r="X159" s="342">
        <f t="shared" ref="X159:AA159" si="75">(X150*$D150)/1000000</f>
        <v>0</v>
      </c>
      <c r="Y159" s="343">
        <f t="shared" si="75"/>
        <v>0</v>
      </c>
      <c r="Z159" s="342">
        <f t="shared" si="75"/>
        <v>0</v>
      </c>
      <c r="AA159" s="343">
        <f t="shared" si="75"/>
        <v>0</v>
      </c>
      <c r="AB159" s="142">
        <f t="shared" si="74"/>
        <v>0</v>
      </c>
      <c r="AC159" s="168">
        <f t="shared" si="74"/>
        <v>0</v>
      </c>
      <c r="AG159" s="117"/>
      <c r="AH159" s="117"/>
      <c r="AI159" s="130"/>
      <c r="AJ159" s="130"/>
      <c r="AK159" s="117"/>
      <c r="AL159" s="117"/>
      <c r="AM159" s="117"/>
      <c r="AN159" s="117"/>
      <c r="AO159" s="117"/>
      <c r="AP159" s="128"/>
      <c r="AQ159" s="117"/>
      <c r="AR159" s="89"/>
      <c r="AS159" s="89"/>
      <c r="AT159" s="89"/>
    </row>
    <row r="160" spans="1:46" s="82" customFormat="1" ht="15" hidden="1" customHeight="1" x14ac:dyDescent="0.25">
      <c r="A160" s="186"/>
      <c r="B160" s="187"/>
      <c r="C160" s="109" t="s">
        <v>163</v>
      </c>
      <c r="D160" s="136"/>
      <c r="E160" s="137">
        <f t="shared" ref="E160:M160" si="76">E159*E149</f>
        <v>0</v>
      </c>
      <c r="F160" s="137">
        <f t="shared" si="76"/>
        <v>0</v>
      </c>
      <c r="G160" s="137">
        <f t="shared" si="76"/>
        <v>0</v>
      </c>
      <c r="H160" s="137">
        <f t="shared" si="76"/>
        <v>0</v>
      </c>
      <c r="I160" s="137">
        <f t="shared" si="76"/>
        <v>0</v>
      </c>
      <c r="J160" s="138">
        <f t="shared" si="76"/>
        <v>0</v>
      </c>
      <c r="K160" s="139">
        <f t="shared" si="76"/>
        <v>0</v>
      </c>
      <c r="L160" s="137">
        <f t="shared" si="76"/>
        <v>0</v>
      </c>
      <c r="M160" s="140">
        <f t="shared" si="76"/>
        <v>0</v>
      </c>
      <c r="N160" s="141"/>
      <c r="O160" s="125"/>
      <c r="P160" s="141"/>
      <c r="Q160" s="282"/>
      <c r="R160" s="139">
        <f t="shared" ref="R160:AC160" si="77">R159*R149</f>
        <v>0</v>
      </c>
      <c r="S160" s="138">
        <f t="shared" si="77"/>
        <v>0</v>
      </c>
      <c r="T160" s="342">
        <f t="shared" si="77"/>
        <v>0</v>
      </c>
      <c r="U160" s="344">
        <f t="shared" si="77"/>
        <v>0</v>
      </c>
      <c r="V160" s="342">
        <f t="shared" si="77"/>
        <v>0</v>
      </c>
      <c r="W160" s="344">
        <f t="shared" si="77"/>
        <v>0</v>
      </c>
      <c r="X160" s="342">
        <f t="shared" ref="X160:AA160" si="78">X159*X149</f>
        <v>0</v>
      </c>
      <c r="Y160" s="344">
        <f t="shared" si="78"/>
        <v>0</v>
      </c>
      <c r="Z160" s="342">
        <f t="shared" si="78"/>
        <v>0</v>
      </c>
      <c r="AA160" s="344">
        <f t="shared" si="78"/>
        <v>0</v>
      </c>
      <c r="AB160" s="137">
        <f t="shared" si="77"/>
        <v>0</v>
      </c>
      <c r="AC160" s="140">
        <f t="shared" si="77"/>
        <v>0</v>
      </c>
      <c r="AG160" s="117"/>
      <c r="AH160" s="117"/>
      <c r="AI160" s="130"/>
      <c r="AJ160" s="130"/>
      <c r="AK160" s="117"/>
      <c r="AL160" s="117"/>
      <c r="AM160" s="117"/>
      <c r="AN160" s="117"/>
      <c r="AO160" s="117"/>
      <c r="AP160" s="128"/>
      <c r="AQ160" s="117"/>
      <c r="AR160" s="89"/>
      <c r="AS160" s="89"/>
      <c r="AT160" s="89"/>
    </row>
    <row r="161" spans="1:46" s="82" customFormat="1" ht="15" hidden="1" customHeight="1" x14ac:dyDescent="0.25">
      <c r="A161" s="186"/>
      <c r="B161" s="187"/>
      <c r="C161" s="109" t="s">
        <v>176</v>
      </c>
      <c r="D161" s="136"/>
      <c r="E161" s="137">
        <f t="shared" ref="E161:J163" si="79">IF(E156&gt;0, (E156+$D156*2)/1000, 0)</f>
        <v>0</v>
      </c>
      <c r="F161" s="142">
        <f t="shared" si="79"/>
        <v>0</v>
      </c>
      <c r="G161" s="142">
        <f t="shared" si="79"/>
        <v>0</v>
      </c>
      <c r="H161" s="142">
        <f t="shared" si="79"/>
        <v>0</v>
      </c>
      <c r="I161" s="142">
        <f t="shared" si="79"/>
        <v>0</v>
      </c>
      <c r="J161" s="143">
        <f t="shared" si="79"/>
        <v>0</v>
      </c>
      <c r="K161" s="139"/>
      <c r="L161" s="142"/>
      <c r="M161" s="144"/>
      <c r="N161" s="141"/>
      <c r="O161" s="125"/>
      <c r="P161" s="141"/>
      <c r="Q161" s="282"/>
      <c r="R161" s="141"/>
      <c r="S161" s="334"/>
      <c r="T161" s="345"/>
      <c r="U161" s="346"/>
      <c r="V161" s="345"/>
      <c r="W161" s="346"/>
      <c r="X161" s="345"/>
      <c r="Y161" s="346"/>
      <c r="Z161" s="345"/>
      <c r="AA161" s="346"/>
      <c r="AB161" s="302"/>
      <c r="AC161" s="125"/>
      <c r="AG161" s="117"/>
      <c r="AH161" s="117"/>
      <c r="AI161" s="130"/>
      <c r="AJ161" s="130"/>
      <c r="AK161" s="117"/>
      <c r="AL161" s="117"/>
      <c r="AM161" s="117"/>
      <c r="AN161" s="117"/>
      <c r="AO161" s="117"/>
      <c r="AP161" s="128"/>
      <c r="AQ161" s="117"/>
      <c r="AR161" s="89"/>
      <c r="AS161" s="89"/>
      <c r="AT161" s="89"/>
    </row>
    <row r="162" spans="1:46" s="82" customFormat="1" ht="15" hidden="1" customHeight="1" x14ac:dyDescent="0.25">
      <c r="A162" s="192"/>
      <c r="B162" s="193"/>
      <c r="C162" s="109" t="s">
        <v>176</v>
      </c>
      <c r="D162" s="136"/>
      <c r="E162" s="137">
        <f t="shared" si="79"/>
        <v>0</v>
      </c>
      <c r="F162" s="142">
        <f t="shared" si="79"/>
        <v>0</v>
      </c>
      <c r="G162" s="142">
        <f t="shared" si="79"/>
        <v>0</v>
      </c>
      <c r="H162" s="142">
        <f t="shared" si="79"/>
        <v>0</v>
      </c>
      <c r="I162" s="142">
        <f t="shared" si="79"/>
        <v>0</v>
      </c>
      <c r="J162" s="143">
        <f t="shared" si="79"/>
        <v>0</v>
      </c>
      <c r="K162" s="139"/>
      <c r="L162" s="142"/>
      <c r="M162" s="144"/>
      <c r="N162" s="141"/>
      <c r="O162" s="125"/>
      <c r="P162" s="141"/>
      <c r="Q162" s="282"/>
      <c r="R162" s="141"/>
      <c r="S162" s="334"/>
      <c r="T162" s="345"/>
      <c r="U162" s="346"/>
      <c r="V162" s="345"/>
      <c r="W162" s="346"/>
      <c r="X162" s="345"/>
      <c r="Y162" s="346"/>
      <c r="Z162" s="345"/>
      <c r="AA162" s="346"/>
      <c r="AB162" s="302"/>
      <c r="AC162" s="125"/>
      <c r="AG162" s="117"/>
      <c r="AH162" s="117"/>
      <c r="AI162" s="130"/>
      <c r="AJ162" s="130"/>
      <c r="AK162" s="117"/>
      <c r="AL162" s="117"/>
      <c r="AM162" s="117"/>
      <c r="AN162" s="117"/>
      <c r="AO162" s="117"/>
      <c r="AP162" s="128"/>
      <c r="AQ162" s="117"/>
      <c r="AR162" s="89"/>
      <c r="AS162" s="89"/>
      <c r="AT162" s="89"/>
    </row>
    <row r="163" spans="1:46" s="82" customFormat="1" ht="15" hidden="1" customHeight="1" x14ac:dyDescent="0.25">
      <c r="A163" s="192"/>
      <c r="B163" s="193"/>
      <c r="C163" s="109" t="s">
        <v>176</v>
      </c>
      <c r="D163" s="136"/>
      <c r="E163" s="137">
        <f t="shared" si="79"/>
        <v>0</v>
      </c>
      <c r="F163" s="142">
        <f t="shared" si="79"/>
        <v>0</v>
      </c>
      <c r="G163" s="142">
        <f t="shared" si="79"/>
        <v>0</v>
      </c>
      <c r="H163" s="142">
        <f t="shared" si="79"/>
        <v>0</v>
      </c>
      <c r="I163" s="142">
        <f t="shared" si="79"/>
        <v>0</v>
      </c>
      <c r="J163" s="143">
        <f t="shared" si="79"/>
        <v>0</v>
      </c>
      <c r="K163" s="139"/>
      <c r="L163" s="142"/>
      <c r="M163" s="144"/>
      <c r="N163" s="141"/>
      <c r="O163" s="125"/>
      <c r="P163" s="141"/>
      <c r="Q163" s="282"/>
      <c r="R163" s="141"/>
      <c r="S163" s="334"/>
      <c r="T163" s="345"/>
      <c r="U163" s="346"/>
      <c r="V163" s="345"/>
      <c r="W163" s="346"/>
      <c r="X163" s="345"/>
      <c r="Y163" s="346"/>
      <c r="Z163" s="345"/>
      <c r="AA163" s="346"/>
      <c r="AB163" s="302"/>
      <c r="AC163" s="125"/>
      <c r="AG163" s="117"/>
      <c r="AH163" s="117"/>
      <c r="AI163" s="130"/>
      <c r="AJ163" s="130"/>
      <c r="AK163" s="117"/>
      <c r="AL163" s="117"/>
      <c r="AM163" s="117"/>
      <c r="AN163" s="117"/>
      <c r="AO163" s="117"/>
      <c r="AP163" s="128"/>
      <c r="AQ163" s="117"/>
      <c r="AR163" s="89"/>
      <c r="AS163" s="89"/>
      <c r="AT163" s="89"/>
    </row>
    <row r="164" spans="1:46" s="82" customFormat="1" ht="15" hidden="1" customHeight="1" x14ac:dyDescent="0.25">
      <c r="A164" s="194"/>
      <c r="B164" s="195"/>
      <c r="C164" s="109" t="s">
        <v>628</v>
      </c>
      <c r="D164" s="136"/>
      <c r="E164" s="137">
        <f t="shared" ref="E164:J166" si="80">IF(E156&gt;0, (E156+$D156)*2/1000, 0)</f>
        <v>0</v>
      </c>
      <c r="F164" s="142">
        <f t="shared" si="80"/>
        <v>0</v>
      </c>
      <c r="G164" s="142">
        <f t="shared" si="80"/>
        <v>0</v>
      </c>
      <c r="H164" s="142">
        <f t="shared" si="80"/>
        <v>0</v>
      </c>
      <c r="I164" s="142">
        <f t="shared" si="80"/>
        <v>0</v>
      </c>
      <c r="J164" s="143">
        <f t="shared" si="80"/>
        <v>0</v>
      </c>
      <c r="K164" s="139"/>
      <c r="L164" s="142"/>
      <c r="M164" s="144"/>
      <c r="N164" s="141"/>
      <c r="O164" s="125"/>
      <c r="P164" s="141"/>
      <c r="Q164" s="282"/>
      <c r="R164" s="141"/>
      <c r="S164" s="334"/>
      <c r="T164" s="345"/>
      <c r="U164" s="346"/>
      <c r="V164" s="345"/>
      <c r="W164" s="346"/>
      <c r="X164" s="345"/>
      <c r="Y164" s="346"/>
      <c r="Z164" s="345"/>
      <c r="AA164" s="346"/>
      <c r="AB164" s="302"/>
      <c r="AC164" s="125"/>
      <c r="AG164" s="117"/>
      <c r="AH164" s="117"/>
      <c r="AI164" s="130"/>
      <c r="AJ164" s="130"/>
      <c r="AK164" s="117"/>
      <c r="AL164" s="117"/>
      <c r="AM164" s="117"/>
      <c r="AN164" s="117"/>
      <c r="AO164" s="117"/>
      <c r="AP164" s="128"/>
      <c r="AQ164" s="117"/>
      <c r="AR164" s="89"/>
      <c r="AS164" s="89"/>
      <c r="AT164" s="89"/>
    </row>
    <row r="165" spans="1:46" s="82" customFormat="1" ht="15" hidden="1" customHeight="1" x14ac:dyDescent="0.25">
      <c r="A165" s="186"/>
      <c r="B165" s="187"/>
      <c r="C165" s="109" t="s">
        <v>628</v>
      </c>
      <c r="D165" s="136"/>
      <c r="E165" s="137">
        <f t="shared" si="80"/>
        <v>0</v>
      </c>
      <c r="F165" s="142">
        <f t="shared" si="80"/>
        <v>0</v>
      </c>
      <c r="G165" s="142">
        <f t="shared" si="80"/>
        <v>0</v>
      </c>
      <c r="H165" s="142">
        <f t="shared" si="80"/>
        <v>0</v>
      </c>
      <c r="I165" s="142">
        <f t="shared" si="80"/>
        <v>0</v>
      </c>
      <c r="J165" s="143">
        <f t="shared" si="80"/>
        <v>0</v>
      </c>
      <c r="K165" s="139"/>
      <c r="L165" s="142"/>
      <c r="M165" s="144"/>
      <c r="N165" s="141"/>
      <c r="O165" s="125"/>
      <c r="P165" s="141"/>
      <c r="Q165" s="282"/>
      <c r="R165" s="141"/>
      <c r="S165" s="334"/>
      <c r="T165" s="345"/>
      <c r="U165" s="346"/>
      <c r="V165" s="345"/>
      <c r="W165" s="346"/>
      <c r="X165" s="345"/>
      <c r="Y165" s="346"/>
      <c r="Z165" s="345"/>
      <c r="AA165" s="346"/>
      <c r="AB165" s="302"/>
      <c r="AC165" s="125"/>
      <c r="AG165" s="117"/>
      <c r="AH165" s="117"/>
      <c r="AI165" s="130"/>
      <c r="AJ165" s="130"/>
      <c r="AK165" s="117"/>
      <c r="AL165" s="117"/>
      <c r="AM165" s="117"/>
      <c r="AN165" s="117"/>
      <c r="AO165" s="117"/>
      <c r="AP165" s="128"/>
      <c r="AQ165" s="117"/>
      <c r="AR165" s="89"/>
      <c r="AS165" s="89"/>
      <c r="AT165" s="89"/>
    </row>
    <row r="166" spans="1:46" s="82" customFormat="1" ht="15" hidden="1" customHeight="1" thickBot="1" x14ac:dyDescent="0.3">
      <c r="A166" s="188"/>
      <c r="B166" s="189"/>
      <c r="C166" s="109" t="s">
        <v>628</v>
      </c>
      <c r="D166" s="145"/>
      <c r="E166" s="146">
        <f t="shared" si="80"/>
        <v>0</v>
      </c>
      <c r="F166" s="147">
        <f t="shared" si="80"/>
        <v>0</v>
      </c>
      <c r="G166" s="147">
        <f t="shared" si="80"/>
        <v>0</v>
      </c>
      <c r="H166" s="147">
        <f t="shared" si="80"/>
        <v>0</v>
      </c>
      <c r="I166" s="147">
        <f t="shared" si="80"/>
        <v>0</v>
      </c>
      <c r="J166" s="148">
        <f t="shared" si="80"/>
        <v>0</v>
      </c>
      <c r="K166" s="149"/>
      <c r="L166" s="147"/>
      <c r="M166" s="150"/>
      <c r="N166" s="151"/>
      <c r="O166" s="152"/>
      <c r="P166" s="151"/>
      <c r="Q166" s="283"/>
      <c r="R166" s="151"/>
      <c r="S166" s="335"/>
      <c r="T166" s="347"/>
      <c r="U166" s="348"/>
      <c r="V166" s="347"/>
      <c r="W166" s="348"/>
      <c r="X166" s="347"/>
      <c r="Y166" s="348"/>
      <c r="Z166" s="347"/>
      <c r="AA166" s="348"/>
      <c r="AB166" s="303"/>
      <c r="AC166" s="152"/>
      <c r="AG166" s="117"/>
      <c r="AH166" s="117"/>
      <c r="AI166" s="130"/>
      <c r="AJ166" s="130"/>
      <c r="AK166" s="117"/>
      <c r="AL166" s="117"/>
      <c r="AM166" s="117"/>
      <c r="AN166" s="117"/>
      <c r="AO166" s="117"/>
      <c r="AP166" s="128"/>
      <c r="AQ166" s="117"/>
      <c r="AR166" s="89"/>
      <c r="AS166" s="89"/>
      <c r="AT166" s="89"/>
    </row>
    <row r="167" spans="1:46" s="82" customFormat="1" ht="15" customHeight="1" x14ac:dyDescent="0.25">
      <c r="A167" s="181"/>
      <c r="B167" s="185" t="s">
        <v>191</v>
      </c>
      <c r="C167" s="105" t="s">
        <v>165</v>
      </c>
      <c r="D167" s="162"/>
      <c r="E167" s="306"/>
      <c r="F167" s="307"/>
      <c r="G167" s="307"/>
      <c r="H167" s="307"/>
      <c r="I167" s="307"/>
      <c r="J167" s="308"/>
      <c r="K167" s="309"/>
      <c r="L167" s="307"/>
      <c r="M167" s="310"/>
      <c r="N167" s="106"/>
      <c r="O167" s="107"/>
      <c r="P167" s="106"/>
      <c r="Q167" s="278"/>
      <c r="R167" s="309"/>
      <c r="S167" s="308"/>
      <c r="T167" s="336"/>
      <c r="U167" s="337"/>
      <c r="V167" s="336"/>
      <c r="W167" s="337"/>
      <c r="X167" s="336"/>
      <c r="Y167" s="337"/>
      <c r="Z167" s="336"/>
      <c r="AA167" s="337"/>
      <c r="AB167" s="307"/>
      <c r="AC167" s="310"/>
      <c r="AG167" s="117" t="s">
        <v>77</v>
      </c>
      <c r="AH167" s="117" t="s">
        <v>167</v>
      </c>
      <c r="AI167" s="117" t="s">
        <v>164</v>
      </c>
      <c r="AJ167" s="117" t="s">
        <v>166</v>
      </c>
      <c r="AK167" s="94" t="s">
        <v>106</v>
      </c>
      <c r="AL167" s="117" t="s">
        <v>162</v>
      </c>
      <c r="AM167" s="117" t="s">
        <v>629</v>
      </c>
      <c r="AN167" s="117"/>
      <c r="AO167" s="117"/>
      <c r="AP167" s="128"/>
      <c r="AQ167" s="117"/>
      <c r="AR167" s="89"/>
      <c r="AS167" s="89"/>
      <c r="AT167" s="89"/>
    </row>
    <row r="168" spans="1:46" s="82" customFormat="1" ht="15" customHeight="1" x14ac:dyDescent="0.25">
      <c r="A168" s="186"/>
      <c r="B168" s="367" t="s">
        <v>546</v>
      </c>
      <c r="C168" s="118" t="s">
        <v>627</v>
      </c>
      <c r="D168" s="119">
        <f>D150</f>
        <v>2644</v>
      </c>
      <c r="E168" s="120"/>
      <c r="F168" s="121"/>
      <c r="G168" s="121"/>
      <c r="H168" s="121"/>
      <c r="I168" s="122">
        <f>G168-E168</f>
        <v>0</v>
      </c>
      <c r="J168" s="123">
        <f>H168-F168</f>
        <v>0</v>
      </c>
      <c r="K168" s="124"/>
      <c r="L168" s="122">
        <f>K168</f>
        <v>0</v>
      </c>
      <c r="M168" s="125">
        <f>IF(L168&gt;0, 100, 0)</f>
        <v>0</v>
      </c>
      <c r="N168" s="126"/>
      <c r="O168" s="127"/>
      <c r="P168" s="126"/>
      <c r="Q168" s="279"/>
      <c r="R168" s="126"/>
      <c r="S168" s="332"/>
      <c r="T168" s="338"/>
      <c r="U168" s="339"/>
      <c r="V168" s="338"/>
      <c r="W168" s="339"/>
      <c r="X168" s="338"/>
      <c r="Y168" s="339"/>
      <c r="Z168" s="338"/>
      <c r="AA168" s="339"/>
      <c r="AB168" s="300"/>
      <c r="AC168" s="127"/>
      <c r="AG168" s="108">
        <f>SUM(E177:L177)</f>
        <v>0</v>
      </c>
      <c r="AH168" s="108">
        <f>SUM(E178:AC178)</f>
        <v>0</v>
      </c>
      <c r="AI168" s="286">
        <f>((E168*F168+H168*I168)-K168*M168-(R168*S168+T168*U168+V168*W168+X168*Y168+Z168*AA168+AB168*AC168)-P168*Q168)/1000000</f>
        <v>0</v>
      </c>
      <c r="AJ168" s="117">
        <f>((E168*F168+H168*I168)-K168*M168-(R168*S168+T168*U168+V168*W168+X168*Y168+Z168*AA168+AB168*AC168)+N168*O168)/1000000</f>
        <v>0</v>
      </c>
      <c r="AK168" s="108">
        <f>(SUM(E168:M168)-SUM(E169:M173))/1000</f>
        <v>0</v>
      </c>
      <c r="AL168" s="108">
        <f>SUM(E179:J181)</f>
        <v>0</v>
      </c>
      <c r="AM168" s="159">
        <f>SUM(E182:J184)</f>
        <v>0</v>
      </c>
      <c r="AN168" s="117"/>
      <c r="AO168" s="117"/>
      <c r="AP168" s="128"/>
      <c r="AQ168" s="117"/>
      <c r="AR168" s="89"/>
      <c r="AS168" s="89"/>
      <c r="AT168" s="89"/>
    </row>
    <row r="169" spans="1:46" s="82" customFormat="1" ht="15" hidden="1" customHeight="1" x14ac:dyDescent="0.25">
      <c r="A169" s="186"/>
      <c r="B169" s="187"/>
      <c r="C169" s="131" t="s">
        <v>158</v>
      </c>
      <c r="D169" s="119">
        <f>D168</f>
        <v>2644</v>
      </c>
      <c r="E169" s="120"/>
      <c r="F169" s="121"/>
      <c r="G169" s="121"/>
      <c r="H169" s="121"/>
      <c r="I169" s="121"/>
      <c r="J169" s="132"/>
      <c r="K169" s="133"/>
      <c r="L169" s="129"/>
      <c r="M169" s="134"/>
      <c r="N169" s="135"/>
      <c r="O169" s="134"/>
      <c r="P169" s="135"/>
      <c r="Q169" s="280"/>
      <c r="R169" s="135"/>
      <c r="S169" s="333"/>
      <c r="T169" s="340"/>
      <c r="U169" s="341"/>
      <c r="V169" s="340"/>
      <c r="W169" s="341"/>
      <c r="X169" s="340"/>
      <c r="Y169" s="341"/>
      <c r="Z169" s="340"/>
      <c r="AA169" s="341"/>
      <c r="AB169" s="301"/>
      <c r="AC169" s="134"/>
      <c r="AG169" s="130"/>
      <c r="AH169" s="130"/>
      <c r="AI169" s="130"/>
      <c r="AJ169" s="130"/>
      <c r="AK169" s="130"/>
      <c r="AL169" s="130"/>
      <c r="AM169" s="130"/>
      <c r="AN169" s="117"/>
      <c r="AO169" s="117"/>
      <c r="AP169" s="128"/>
      <c r="AQ169" s="117"/>
      <c r="AR169" s="89"/>
      <c r="AS169" s="89"/>
      <c r="AT169" s="89"/>
    </row>
    <row r="170" spans="1:46" s="82" customFormat="1" ht="15" hidden="1" customHeight="1" x14ac:dyDescent="0.25">
      <c r="A170" s="186"/>
      <c r="B170" s="187"/>
      <c r="C170" s="131" t="s">
        <v>158</v>
      </c>
      <c r="D170" s="119"/>
      <c r="E170" s="120"/>
      <c r="F170" s="121"/>
      <c r="G170" s="121"/>
      <c r="H170" s="121"/>
      <c r="I170" s="121"/>
      <c r="J170" s="132"/>
      <c r="K170" s="133"/>
      <c r="L170" s="129"/>
      <c r="M170" s="134"/>
      <c r="N170" s="135"/>
      <c r="O170" s="134"/>
      <c r="P170" s="135"/>
      <c r="Q170" s="280"/>
      <c r="R170" s="135"/>
      <c r="S170" s="333"/>
      <c r="T170" s="340"/>
      <c r="U170" s="341"/>
      <c r="V170" s="340"/>
      <c r="W170" s="341"/>
      <c r="X170" s="340"/>
      <c r="Y170" s="341"/>
      <c r="Z170" s="340"/>
      <c r="AA170" s="341"/>
      <c r="AB170" s="301"/>
      <c r="AC170" s="134"/>
      <c r="AG170" s="130"/>
      <c r="AH170" s="130"/>
      <c r="AI170" s="130"/>
      <c r="AJ170" s="130"/>
      <c r="AK170" s="130"/>
      <c r="AL170" s="130"/>
      <c r="AM170" s="130"/>
      <c r="AN170" s="117"/>
      <c r="AO170" s="117"/>
      <c r="AP170" s="128"/>
      <c r="AQ170" s="117"/>
      <c r="AR170" s="89"/>
      <c r="AS170" s="89"/>
      <c r="AT170" s="89"/>
    </row>
    <row r="171" spans="1:46" s="82" customFormat="1" ht="15" customHeight="1" thickBot="1" x14ac:dyDescent="0.3">
      <c r="A171" s="186"/>
      <c r="B171" s="187"/>
      <c r="C171" s="131" t="s">
        <v>159</v>
      </c>
      <c r="D171" s="136">
        <v>2100</v>
      </c>
      <c r="E171" s="120"/>
      <c r="F171" s="121"/>
      <c r="G171" s="121">
        <f>IF(AND(G168 &lt;&gt;"", E168=""), 800, 0)</f>
        <v>0</v>
      </c>
      <c r="H171" s="121"/>
      <c r="I171" s="121"/>
      <c r="J171" s="132"/>
      <c r="K171" s="133"/>
      <c r="L171" s="129"/>
      <c r="M171" s="134"/>
      <c r="N171" s="135"/>
      <c r="O171" s="134"/>
      <c r="P171" s="135"/>
      <c r="Q171" s="280"/>
      <c r="R171" s="135"/>
      <c r="S171" s="333"/>
      <c r="T171" s="340"/>
      <c r="U171" s="341"/>
      <c r="V171" s="340"/>
      <c r="W171" s="341"/>
      <c r="X171" s="340"/>
      <c r="Y171" s="341"/>
      <c r="Z171" s="340"/>
      <c r="AA171" s="341"/>
      <c r="AB171" s="301"/>
      <c r="AC171" s="134"/>
      <c r="AG171" s="117"/>
      <c r="AH171" s="117"/>
      <c r="AI171" s="117"/>
      <c r="AJ171" s="117"/>
      <c r="AK171" s="117"/>
      <c r="AL171" s="117"/>
      <c r="AM171" s="117"/>
      <c r="AN171" s="117"/>
      <c r="AO171" s="117"/>
      <c r="AP171" s="128"/>
      <c r="AQ171" s="117"/>
      <c r="AR171" s="89"/>
      <c r="AS171" s="89"/>
      <c r="AT171" s="89"/>
    </row>
    <row r="172" spans="1:46" s="82" customFormat="1" ht="15" hidden="1" customHeight="1" x14ac:dyDescent="0.25">
      <c r="A172" s="186"/>
      <c r="B172" s="187"/>
      <c r="C172" s="131" t="s">
        <v>159</v>
      </c>
      <c r="D172" s="136">
        <v>2100</v>
      </c>
      <c r="E172" s="120"/>
      <c r="F172" s="121"/>
      <c r="G172" s="121"/>
      <c r="H172" s="121"/>
      <c r="I172" s="121"/>
      <c r="J172" s="132"/>
      <c r="K172" s="133"/>
      <c r="L172" s="129"/>
      <c r="M172" s="134"/>
      <c r="N172" s="135"/>
      <c r="O172" s="134"/>
      <c r="P172" s="135"/>
      <c r="Q172" s="280"/>
      <c r="R172" s="135"/>
      <c r="S172" s="333"/>
      <c r="T172" s="340"/>
      <c r="U172" s="341"/>
      <c r="V172" s="340"/>
      <c r="W172" s="341"/>
      <c r="X172" s="340"/>
      <c r="Y172" s="341"/>
      <c r="Z172" s="340"/>
      <c r="AA172" s="341"/>
      <c r="AB172" s="301"/>
      <c r="AC172" s="134"/>
      <c r="AG172" s="117"/>
      <c r="AH172" s="117"/>
      <c r="AI172" s="117"/>
      <c r="AJ172" s="117"/>
      <c r="AK172" s="117"/>
      <c r="AL172" s="117"/>
      <c r="AM172" s="117"/>
      <c r="AN172" s="117"/>
      <c r="AO172" s="117"/>
      <c r="AP172" s="128"/>
      <c r="AQ172" s="117"/>
      <c r="AR172" s="89"/>
      <c r="AS172" s="89"/>
      <c r="AT172" s="89"/>
    </row>
    <row r="173" spans="1:46" s="82" customFormat="1" ht="15" hidden="1" customHeight="1" x14ac:dyDescent="0.25">
      <c r="A173" s="186"/>
      <c r="B173" s="187"/>
      <c r="C173" s="131" t="s">
        <v>159</v>
      </c>
      <c r="D173" s="136">
        <v>2100</v>
      </c>
      <c r="E173" s="120"/>
      <c r="F173" s="121"/>
      <c r="G173" s="121"/>
      <c r="H173" s="121"/>
      <c r="I173" s="121"/>
      <c r="J173" s="132"/>
      <c r="K173" s="133"/>
      <c r="L173" s="129"/>
      <c r="M173" s="134"/>
      <c r="N173" s="135"/>
      <c r="O173" s="134"/>
      <c r="P173" s="135"/>
      <c r="Q173" s="280"/>
      <c r="R173" s="135"/>
      <c r="S173" s="333"/>
      <c r="T173" s="340"/>
      <c r="U173" s="341"/>
      <c r="V173" s="340"/>
      <c r="W173" s="341"/>
      <c r="X173" s="340"/>
      <c r="Y173" s="341"/>
      <c r="Z173" s="340"/>
      <c r="AA173" s="341"/>
      <c r="AB173" s="301"/>
      <c r="AC173" s="134"/>
      <c r="AG173" s="117"/>
      <c r="AH173" s="117"/>
      <c r="AI173" s="117"/>
      <c r="AJ173" s="117"/>
      <c r="AK173" s="117"/>
      <c r="AL173" s="117"/>
      <c r="AM173" s="117"/>
      <c r="AN173" s="117"/>
      <c r="AO173" s="117"/>
      <c r="AP173" s="128"/>
      <c r="AQ173" s="117"/>
      <c r="AR173" s="89"/>
      <c r="AS173" s="89"/>
      <c r="AT173" s="89"/>
    </row>
    <row r="174" spans="1:46" s="82" customFormat="1" ht="15" hidden="1" customHeight="1" x14ac:dyDescent="0.25">
      <c r="A174" s="186"/>
      <c r="B174" s="187"/>
      <c r="C174" s="131" t="s">
        <v>175</v>
      </c>
      <c r="D174" s="119"/>
      <c r="E174" s="120"/>
      <c r="F174" s="121"/>
      <c r="G174" s="121"/>
      <c r="H174" s="121"/>
      <c r="I174" s="121"/>
      <c r="J174" s="132"/>
      <c r="K174" s="133"/>
      <c r="L174" s="129"/>
      <c r="M174" s="134"/>
      <c r="N174" s="135"/>
      <c r="O174" s="134"/>
      <c r="P174" s="135"/>
      <c r="Q174" s="280"/>
      <c r="R174" s="135"/>
      <c r="S174" s="333"/>
      <c r="T174" s="340"/>
      <c r="U174" s="341"/>
      <c r="V174" s="340"/>
      <c r="W174" s="341"/>
      <c r="X174" s="340"/>
      <c r="Y174" s="341"/>
      <c r="Z174" s="340"/>
      <c r="AA174" s="341"/>
      <c r="AB174" s="301"/>
      <c r="AC174" s="134"/>
      <c r="AG174" s="117"/>
      <c r="AH174" s="117"/>
      <c r="AI174" s="130"/>
      <c r="AJ174" s="130"/>
      <c r="AK174" s="117"/>
      <c r="AL174" s="117"/>
      <c r="AM174" s="117"/>
      <c r="AN174" s="117"/>
      <c r="AO174" s="117"/>
      <c r="AP174" s="128"/>
      <c r="AQ174" s="117"/>
      <c r="AR174" s="89"/>
      <c r="AS174" s="89"/>
      <c r="AT174" s="89"/>
    </row>
    <row r="175" spans="1:46" s="82" customFormat="1" ht="15" hidden="1" customHeight="1" x14ac:dyDescent="0.25">
      <c r="A175" s="186"/>
      <c r="B175" s="187"/>
      <c r="C175" s="131" t="s">
        <v>175</v>
      </c>
      <c r="D175" s="136">
        <f>D174</f>
        <v>0</v>
      </c>
      <c r="E175" s="120"/>
      <c r="F175" s="121"/>
      <c r="G175" s="121"/>
      <c r="H175" s="121"/>
      <c r="I175" s="121"/>
      <c r="J175" s="132"/>
      <c r="K175" s="133"/>
      <c r="L175" s="129"/>
      <c r="M175" s="134"/>
      <c r="N175" s="135"/>
      <c r="O175" s="134"/>
      <c r="P175" s="135"/>
      <c r="Q175" s="280"/>
      <c r="R175" s="135"/>
      <c r="S175" s="333"/>
      <c r="T175" s="340"/>
      <c r="U175" s="341"/>
      <c r="V175" s="340"/>
      <c r="W175" s="341"/>
      <c r="X175" s="340"/>
      <c r="Y175" s="341"/>
      <c r="Z175" s="340"/>
      <c r="AA175" s="341"/>
      <c r="AB175" s="301"/>
      <c r="AC175" s="134"/>
      <c r="AG175" s="117"/>
      <c r="AH175" s="117"/>
      <c r="AI175" s="130"/>
      <c r="AJ175" s="130"/>
      <c r="AK175" s="117"/>
      <c r="AL175" s="117"/>
      <c r="AM175" s="117"/>
      <c r="AN175" s="117"/>
      <c r="AO175" s="117"/>
      <c r="AP175" s="128"/>
      <c r="AQ175" s="117"/>
      <c r="AR175" s="89"/>
      <c r="AS175" s="89"/>
      <c r="AT175" s="89"/>
    </row>
    <row r="176" spans="1:46" s="82" customFormat="1" ht="15" hidden="1" customHeight="1" x14ac:dyDescent="0.25">
      <c r="A176" s="186"/>
      <c r="B176" s="187"/>
      <c r="C176" s="131" t="s">
        <v>175</v>
      </c>
      <c r="D176" s="136">
        <f>D174</f>
        <v>0</v>
      </c>
      <c r="E176" s="120"/>
      <c r="F176" s="121"/>
      <c r="G176" s="121"/>
      <c r="H176" s="121"/>
      <c r="I176" s="121"/>
      <c r="J176" s="132"/>
      <c r="K176" s="133"/>
      <c r="L176" s="129"/>
      <c r="M176" s="134"/>
      <c r="N176" s="135"/>
      <c r="O176" s="134"/>
      <c r="P176" s="135"/>
      <c r="Q176" s="280"/>
      <c r="R176" s="135"/>
      <c r="S176" s="333"/>
      <c r="T176" s="340"/>
      <c r="U176" s="341"/>
      <c r="V176" s="340"/>
      <c r="W176" s="341"/>
      <c r="X176" s="340"/>
      <c r="Y176" s="341"/>
      <c r="Z176" s="340"/>
      <c r="AA176" s="341"/>
      <c r="AB176" s="301"/>
      <c r="AC176" s="134"/>
      <c r="AG176" s="117"/>
      <c r="AH176" s="117"/>
      <c r="AI176" s="130"/>
      <c r="AJ176" s="130"/>
      <c r="AK176" s="117"/>
      <c r="AL176" s="117"/>
      <c r="AM176" s="117"/>
      <c r="AN176" s="117"/>
      <c r="AO176" s="117"/>
      <c r="AP176" s="128"/>
      <c r="AQ176" s="117"/>
      <c r="AR176" s="89"/>
      <c r="AS176" s="89"/>
      <c r="AT176" s="89"/>
    </row>
    <row r="177" spans="1:46" s="82" customFormat="1" ht="15" hidden="1" customHeight="1" x14ac:dyDescent="0.25">
      <c r="A177" s="190"/>
      <c r="B177" s="191"/>
      <c r="C177" s="163" t="s">
        <v>160</v>
      </c>
      <c r="D177" s="164"/>
      <c r="E177" s="165">
        <f t="shared" ref="E177:M177" si="81">(E168*$D168-E169*$D169-E170*$D170-E171*$D171-E172*$D172-E173*$D173-E174*$D174-E175*$D175-E176*$D176)/1000000</f>
        <v>0</v>
      </c>
      <c r="F177" s="165">
        <f t="shared" si="81"/>
        <v>0</v>
      </c>
      <c r="G177" s="165">
        <f t="shared" si="81"/>
        <v>0</v>
      </c>
      <c r="H177" s="165">
        <f t="shared" si="81"/>
        <v>0</v>
      </c>
      <c r="I177" s="165">
        <f t="shared" si="81"/>
        <v>0</v>
      </c>
      <c r="J177" s="166">
        <f t="shared" si="81"/>
        <v>0</v>
      </c>
      <c r="K177" s="167">
        <f t="shared" si="81"/>
        <v>0</v>
      </c>
      <c r="L177" s="165">
        <f t="shared" si="81"/>
        <v>0</v>
      </c>
      <c r="M177" s="165">
        <f t="shared" si="81"/>
        <v>0</v>
      </c>
      <c r="N177" s="169"/>
      <c r="O177" s="170"/>
      <c r="P177" s="169"/>
      <c r="Q177" s="281"/>
      <c r="R177" s="327">
        <f t="shared" ref="R177:AC177" si="82">(R168*$D168)/1000000</f>
        <v>0</v>
      </c>
      <c r="S177" s="143">
        <f t="shared" si="82"/>
        <v>0</v>
      </c>
      <c r="T177" s="342">
        <f t="shared" si="82"/>
        <v>0</v>
      </c>
      <c r="U177" s="343">
        <f t="shared" si="82"/>
        <v>0</v>
      </c>
      <c r="V177" s="342">
        <f t="shared" si="82"/>
        <v>0</v>
      </c>
      <c r="W177" s="343">
        <f t="shared" si="82"/>
        <v>0</v>
      </c>
      <c r="X177" s="342">
        <f t="shared" ref="X177:AA177" si="83">(X168*$D168)/1000000</f>
        <v>0</v>
      </c>
      <c r="Y177" s="343">
        <f t="shared" si="83"/>
        <v>0</v>
      </c>
      <c r="Z177" s="342">
        <f t="shared" si="83"/>
        <v>0</v>
      </c>
      <c r="AA177" s="343">
        <f t="shared" si="83"/>
        <v>0</v>
      </c>
      <c r="AB177" s="142">
        <f t="shared" si="82"/>
        <v>0</v>
      </c>
      <c r="AC177" s="168">
        <f t="shared" si="82"/>
        <v>0</v>
      </c>
      <c r="AG177" s="117"/>
      <c r="AH177" s="117"/>
      <c r="AI177" s="130"/>
      <c r="AJ177" s="130"/>
      <c r="AK177" s="117"/>
      <c r="AL177" s="117"/>
      <c r="AM177" s="117"/>
      <c r="AN177" s="117"/>
      <c r="AO177" s="117"/>
      <c r="AP177" s="128"/>
      <c r="AQ177" s="117"/>
      <c r="AR177" s="89"/>
      <c r="AS177" s="89"/>
      <c r="AT177" s="89"/>
    </row>
    <row r="178" spans="1:46" s="82" customFormat="1" ht="15" hidden="1" customHeight="1" x14ac:dyDescent="0.25">
      <c r="A178" s="186"/>
      <c r="B178" s="187"/>
      <c r="C178" s="109" t="s">
        <v>163</v>
      </c>
      <c r="D178" s="136"/>
      <c r="E178" s="137">
        <f t="shared" ref="E178:M178" si="84">E177*E167</f>
        <v>0</v>
      </c>
      <c r="F178" s="137">
        <f t="shared" si="84"/>
        <v>0</v>
      </c>
      <c r="G178" s="137">
        <f t="shared" si="84"/>
        <v>0</v>
      </c>
      <c r="H178" s="137">
        <f t="shared" si="84"/>
        <v>0</v>
      </c>
      <c r="I178" s="137">
        <f t="shared" si="84"/>
        <v>0</v>
      </c>
      <c r="J178" s="138">
        <f t="shared" si="84"/>
        <v>0</v>
      </c>
      <c r="K178" s="139">
        <f t="shared" si="84"/>
        <v>0</v>
      </c>
      <c r="L178" s="137">
        <f t="shared" si="84"/>
        <v>0</v>
      </c>
      <c r="M178" s="140">
        <f t="shared" si="84"/>
        <v>0</v>
      </c>
      <c r="N178" s="141"/>
      <c r="O178" s="125"/>
      <c r="P178" s="141"/>
      <c r="Q178" s="282"/>
      <c r="R178" s="139">
        <f t="shared" ref="R178:AC178" si="85">R177*R167</f>
        <v>0</v>
      </c>
      <c r="S178" s="138">
        <f t="shared" si="85"/>
        <v>0</v>
      </c>
      <c r="T178" s="342">
        <f t="shared" si="85"/>
        <v>0</v>
      </c>
      <c r="U178" s="344">
        <f t="shared" si="85"/>
        <v>0</v>
      </c>
      <c r="V178" s="342">
        <f t="shared" si="85"/>
        <v>0</v>
      </c>
      <c r="W178" s="344">
        <f t="shared" si="85"/>
        <v>0</v>
      </c>
      <c r="X178" s="342">
        <f t="shared" ref="X178:AA178" si="86">X177*X167</f>
        <v>0</v>
      </c>
      <c r="Y178" s="344">
        <f t="shared" si="86"/>
        <v>0</v>
      </c>
      <c r="Z178" s="342">
        <f t="shared" si="86"/>
        <v>0</v>
      </c>
      <c r="AA178" s="344">
        <f t="shared" si="86"/>
        <v>0</v>
      </c>
      <c r="AB178" s="137">
        <f t="shared" si="85"/>
        <v>0</v>
      </c>
      <c r="AC178" s="140">
        <f t="shared" si="85"/>
        <v>0</v>
      </c>
      <c r="AG178" s="117"/>
      <c r="AH178" s="117"/>
      <c r="AI178" s="130"/>
      <c r="AJ178" s="130"/>
      <c r="AK178" s="117"/>
      <c r="AL178" s="117"/>
      <c r="AM178" s="117"/>
      <c r="AN178" s="117"/>
      <c r="AO178" s="117"/>
      <c r="AP178" s="128"/>
      <c r="AQ178" s="117"/>
      <c r="AR178" s="89"/>
      <c r="AS178" s="89"/>
      <c r="AT178" s="89"/>
    </row>
    <row r="179" spans="1:46" s="82" customFormat="1" ht="15" hidden="1" customHeight="1" x14ac:dyDescent="0.25">
      <c r="A179" s="186"/>
      <c r="B179" s="187"/>
      <c r="C179" s="109" t="s">
        <v>176</v>
      </c>
      <c r="D179" s="136"/>
      <c r="E179" s="137">
        <f t="shared" ref="E179:J181" si="87">IF(E174&gt;0, (E174+$D174*2)/1000, 0)</f>
        <v>0</v>
      </c>
      <c r="F179" s="142">
        <f t="shared" si="87"/>
        <v>0</v>
      </c>
      <c r="G179" s="142">
        <f t="shared" si="87"/>
        <v>0</v>
      </c>
      <c r="H179" s="142">
        <f t="shared" si="87"/>
        <v>0</v>
      </c>
      <c r="I179" s="142">
        <f t="shared" si="87"/>
        <v>0</v>
      </c>
      <c r="J179" s="143">
        <f t="shared" si="87"/>
        <v>0</v>
      </c>
      <c r="K179" s="139"/>
      <c r="L179" s="142"/>
      <c r="M179" s="144"/>
      <c r="N179" s="141"/>
      <c r="O179" s="125"/>
      <c r="P179" s="141"/>
      <c r="Q179" s="282"/>
      <c r="R179" s="141"/>
      <c r="S179" s="334"/>
      <c r="T179" s="345"/>
      <c r="U179" s="346"/>
      <c r="V179" s="345"/>
      <c r="W179" s="346"/>
      <c r="X179" s="345"/>
      <c r="Y179" s="346"/>
      <c r="Z179" s="345"/>
      <c r="AA179" s="346"/>
      <c r="AB179" s="302"/>
      <c r="AC179" s="125"/>
      <c r="AG179" s="117"/>
      <c r="AH179" s="117"/>
      <c r="AI179" s="130"/>
      <c r="AJ179" s="130"/>
      <c r="AK179" s="117"/>
      <c r="AL179" s="117"/>
      <c r="AM179" s="117"/>
      <c r="AN179" s="117"/>
      <c r="AO179" s="117"/>
      <c r="AP179" s="128"/>
      <c r="AQ179" s="117"/>
      <c r="AR179" s="89"/>
      <c r="AS179" s="89"/>
      <c r="AT179" s="89"/>
    </row>
    <row r="180" spans="1:46" s="82" customFormat="1" ht="15" hidden="1" customHeight="1" x14ac:dyDescent="0.25">
      <c r="A180" s="192"/>
      <c r="B180" s="193"/>
      <c r="C180" s="109" t="s">
        <v>176</v>
      </c>
      <c r="D180" s="136"/>
      <c r="E180" s="137">
        <f t="shared" si="87"/>
        <v>0</v>
      </c>
      <c r="F180" s="142">
        <f t="shared" si="87"/>
        <v>0</v>
      </c>
      <c r="G180" s="142">
        <f t="shared" si="87"/>
        <v>0</v>
      </c>
      <c r="H180" s="142">
        <f t="shared" si="87"/>
        <v>0</v>
      </c>
      <c r="I180" s="142">
        <f t="shared" si="87"/>
        <v>0</v>
      </c>
      <c r="J180" s="143">
        <f t="shared" si="87"/>
        <v>0</v>
      </c>
      <c r="K180" s="139"/>
      <c r="L180" s="142"/>
      <c r="M180" s="144"/>
      <c r="N180" s="141"/>
      <c r="O180" s="125"/>
      <c r="P180" s="141"/>
      <c r="Q180" s="282"/>
      <c r="R180" s="141"/>
      <c r="S180" s="334"/>
      <c r="T180" s="345"/>
      <c r="U180" s="346"/>
      <c r="V180" s="345"/>
      <c r="W180" s="346"/>
      <c r="X180" s="345"/>
      <c r="Y180" s="346"/>
      <c r="Z180" s="345"/>
      <c r="AA180" s="346"/>
      <c r="AB180" s="302"/>
      <c r="AC180" s="125"/>
      <c r="AG180" s="117"/>
      <c r="AH180" s="117"/>
      <c r="AI180" s="130"/>
      <c r="AJ180" s="130"/>
      <c r="AK180" s="117"/>
      <c r="AL180" s="117"/>
      <c r="AM180" s="117"/>
      <c r="AN180" s="117"/>
      <c r="AO180" s="117"/>
      <c r="AP180" s="128"/>
      <c r="AQ180" s="117"/>
      <c r="AR180" s="89"/>
      <c r="AS180" s="89"/>
      <c r="AT180" s="89"/>
    </row>
    <row r="181" spans="1:46" s="82" customFormat="1" ht="15" hidden="1" customHeight="1" x14ac:dyDescent="0.25">
      <c r="A181" s="192"/>
      <c r="B181" s="193"/>
      <c r="C181" s="109" t="s">
        <v>176</v>
      </c>
      <c r="D181" s="136"/>
      <c r="E181" s="137">
        <f t="shared" si="87"/>
        <v>0</v>
      </c>
      <c r="F181" s="142">
        <f t="shared" si="87"/>
        <v>0</v>
      </c>
      <c r="G181" s="142">
        <f t="shared" si="87"/>
        <v>0</v>
      </c>
      <c r="H181" s="142">
        <f t="shared" si="87"/>
        <v>0</v>
      </c>
      <c r="I181" s="142">
        <f t="shared" si="87"/>
        <v>0</v>
      </c>
      <c r="J181" s="143">
        <f t="shared" si="87"/>
        <v>0</v>
      </c>
      <c r="K181" s="139"/>
      <c r="L181" s="142"/>
      <c r="M181" s="144"/>
      <c r="N181" s="141"/>
      <c r="O181" s="125"/>
      <c r="P181" s="141"/>
      <c r="Q181" s="282"/>
      <c r="R181" s="141"/>
      <c r="S181" s="334"/>
      <c r="T181" s="345"/>
      <c r="U181" s="346"/>
      <c r="V181" s="345"/>
      <c r="W181" s="346"/>
      <c r="X181" s="345"/>
      <c r="Y181" s="346"/>
      <c r="Z181" s="345"/>
      <c r="AA181" s="346"/>
      <c r="AB181" s="302"/>
      <c r="AC181" s="125"/>
      <c r="AG181" s="117"/>
      <c r="AH181" s="117"/>
      <c r="AI181" s="130"/>
      <c r="AJ181" s="130"/>
      <c r="AK181" s="117"/>
      <c r="AL181" s="117"/>
      <c r="AM181" s="117"/>
      <c r="AN181" s="117"/>
      <c r="AO181" s="117"/>
      <c r="AP181" s="128"/>
      <c r="AQ181" s="117"/>
      <c r="AR181" s="89"/>
      <c r="AS181" s="89"/>
      <c r="AT181" s="89"/>
    </row>
    <row r="182" spans="1:46" s="82" customFormat="1" ht="15" hidden="1" customHeight="1" x14ac:dyDescent="0.25">
      <c r="A182" s="194"/>
      <c r="B182" s="195"/>
      <c r="C182" s="109" t="s">
        <v>628</v>
      </c>
      <c r="D182" s="136"/>
      <c r="E182" s="137">
        <f t="shared" ref="E182:J184" si="88">IF(E174&gt;0, (E174+$D174)*2/1000, 0)</f>
        <v>0</v>
      </c>
      <c r="F182" s="142">
        <f t="shared" si="88"/>
        <v>0</v>
      </c>
      <c r="G182" s="142">
        <f t="shared" si="88"/>
        <v>0</v>
      </c>
      <c r="H182" s="142">
        <f t="shared" si="88"/>
        <v>0</v>
      </c>
      <c r="I182" s="142">
        <f t="shared" si="88"/>
        <v>0</v>
      </c>
      <c r="J182" s="143">
        <f t="shared" si="88"/>
        <v>0</v>
      </c>
      <c r="K182" s="139"/>
      <c r="L182" s="142"/>
      <c r="M182" s="144"/>
      <c r="N182" s="141"/>
      <c r="O182" s="125"/>
      <c r="P182" s="141"/>
      <c r="Q182" s="282"/>
      <c r="R182" s="141"/>
      <c r="S182" s="334"/>
      <c r="T182" s="345"/>
      <c r="U182" s="346"/>
      <c r="V182" s="345"/>
      <c r="W182" s="346"/>
      <c r="X182" s="345"/>
      <c r="Y182" s="346"/>
      <c r="Z182" s="345"/>
      <c r="AA182" s="346"/>
      <c r="AB182" s="302"/>
      <c r="AC182" s="125"/>
      <c r="AG182" s="117"/>
      <c r="AH182" s="117"/>
      <c r="AI182" s="130"/>
      <c r="AJ182" s="130"/>
      <c r="AK182" s="117"/>
      <c r="AL182" s="117"/>
      <c r="AM182" s="117"/>
      <c r="AN182" s="117"/>
      <c r="AO182" s="117"/>
      <c r="AP182" s="128"/>
      <c r="AQ182" s="117"/>
      <c r="AR182" s="89"/>
      <c r="AS182" s="89"/>
      <c r="AT182" s="89"/>
    </row>
    <row r="183" spans="1:46" s="82" customFormat="1" ht="15" hidden="1" customHeight="1" x14ac:dyDescent="0.25">
      <c r="A183" s="186"/>
      <c r="B183" s="187"/>
      <c r="C183" s="109" t="s">
        <v>628</v>
      </c>
      <c r="D183" s="136"/>
      <c r="E183" s="137">
        <f t="shared" si="88"/>
        <v>0</v>
      </c>
      <c r="F183" s="142">
        <f t="shared" si="88"/>
        <v>0</v>
      </c>
      <c r="G183" s="142">
        <f t="shared" si="88"/>
        <v>0</v>
      </c>
      <c r="H183" s="142">
        <f t="shared" si="88"/>
        <v>0</v>
      </c>
      <c r="I183" s="142">
        <f t="shared" si="88"/>
        <v>0</v>
      </c>
      <c r="J183" s="143">
        <f t="shared" si="88"/>
        <v>0</v>
      </c>
      <c r="K183" s="139"/>
      <c r="L183" s="142"/>
      <c r="M183" s="144"/>
      <c r="N183" s="141"/>
      <c r="O183" s="125"/>
      <c r="P183" s="141"/>
      <c r="Q183" s="282"/>
      <c r="R183" s="141"/>
      <c r="S183" s="334"/>
      <c r="T183" s="345"/>
      <c r="U183" s="346"/>
      <c r="V183" s="345"/>
      <c r="W183" s="346"/>
      <c r="X183" s="345"/>
      <c r="Y183" s="346"/>
      <c r="Z183" s="345"/>
      <c r="AA183" s="346"/>
      <c r="AB183" s="302"/>
      <c r="AC183" s="125"/>
      <c r="AG183" s="117"/>
      <c r="AH183" s="117"/>
      <c r="AI183" s="130"/>
      <c r="AJ183" s="130"/>
      <c r="AK183" s="117"/>
      <c r="AL183" s="117"/>
      <c r="AM183" s="117"/>
      <c r="AN183" s="117"/>
      <c r="AO183" s="117"/>
      <c r="AP183" s="128"/>
      <c r="AQ183" s="117"/>
      <c r="AR183" s="89"/>
      <c r="AS183" s="89"/>
      <c r="AT183" s="89"/>
    </row>
    <row r="184" spans="1:46" s="82" customFormat="1" ht="15" hidden="1" customHeight="1" thickBot="1" x14ac:dyDescent="0.3">
      <c r="A184" s="188"/>
      <c r="B184" s="189"/>
      <c r="C184" s="109" t="s">
        <v>628</v>
      </c>
      <c r="D184" s="145"/>
      <c r="E184" s="146">
        <f t="shared" si="88"/>
        <v>0</v>
      </c>
      <c r="F184" s="147">
        <f t="shared" si="88"/>
        <v>0</v>
      </c>
      <c r="G184" s="147">
        <f t="shared" si="88"/>
        <v>0</v>
      </c>
      <c r="H184" s="147">
        <f t="shared" si="88"/>
        <v>0</v>
      </c>
      <c r="I184" s="147">
        <f t="shared" si="88"/>
        <v>0</v>
      </c>
      <c r="J184" s="148">
        <f t="shared" si="88"/>
        <v>0</v>
      </c>
      <c r="K184" s="149"/>
      <c r="L184" s="147"/>
      <c r="M184" s="150"/>
      <c r="N184" s="151"/>
      <c r="O184" s="152"/>
      <c r="P184" s="151"/>
      <c r="Q184" s="283"/>
      <c r="R184" s="151"/>
      <c r="S184" s="335"/>
      <c r="T184" s="347"/>
      <c r="U184" s="348"/>
      <c r="V184" s="347"/>
      <c r="W184" s="348"/>
      <c r="X184" s="347"/>
      <c r="Y184" s="348"/>
      <c r="Z184" s="347"/>
      <c r="AA184" s="348"/>
      <c r="AB184" s="303"/>
      <c r="AC184" s="152"/>
      <c r="AG184" s="117"/>
      <c r="AH184" s="117"/>
      <c r="AI184" s="130"/>
      <c r="AJ184" s="130"/>
      <c r="AK184" s="117"/>
      <c r="AL184" s="117"/>
      <c r="AM184" s="117"/>
      <c r="AN184" s="117"/>
      <c r="AO184" s="117"/>
      <c r="AP184" s="128"/>
      <c r="AQ184" s="117"/>
      <c r="AR184" s="89"/>
      <c r="AS184" s="89"/>
      <c r="AT184" s="89"/>
    </row>
    <row r="185" spans="1:46" s="82" customFormat="1" ht="15" customHeight="1" x14ac:dyDescent="0.25">
      <c r="A185" s="181">
        <v>6</v>
      </c>
      <c r="B185" s="185" t="s">
        <v>547</v>
      </c>
      <c r="C185" s="105" t="s">
        <v>165</v>
      </c>
      <c r="D185" s="162"/>
      <c r="E185" s="306"/>
      <c r="F185" s="307"/>
      <c r="G185" s="307">
        <v>1</v>
      </c>
      <c r="H185" s="307">
        <v>1</v>
      </c>
      <c r="I185" s="307"/>
      <c r="J185" s="308"/>
      <c r="K185" s="309"/>
      <c r="L185" s="307"/>
      <c r="M185" s="310"/>
      <c r="N185" s="106"/>
      <c r="O185" s="107"/>
      <c r="P185" s="106"/>
      <c r="Q185" s="278"/>
      <c r="R185" s="309"/>
      <c r="S185" s="308"/>
      <c r="T185" s="336"/>
      <c r="U185" s="337"/>
      <c r="V185" s="336"/>
      <c r="W185" s="337"/>
      <c r="X185" s="336"/>
      <c r="Y185" s="337"/>
      <c r="Z185" s="336"/>
      <c r="AA185" s="337"/>
      <c r="AB185" s="307"/>
      <c r="AC185" s="310"/>
      <c r="AG185" s="117" t="s">
        <v>77</v>
      </c>
      <c r="AH185" s="117" t="s">
        <v>167</v>
      </c>
      <c r="AI185" s="117" t="s">
        <v>164</v>
      </c>
      <c r="AJ185" s="117" t="s">
        <v>166</v>
      </c>
      <c r="AK185" s="94" t="s">
        <v>106</v>
      </c>
      <c r="AL185" s="117" t="s">
        <v>162</v>
      </c>
      <c r="AM185" s="117" t="s">
        <v>629</v>
      </c>
      <c r="AN185" s="117"/>
      <c r="AO185" s="117"/>
      <c r="AP185" s="128"/>
      <c r="AQ185" s="117"/>
      <c r="AR185" s="89"/>
      <c r="AS185" s="89"/>
      <c r="AT185" s="89"/>
    </row>
    <row r="186" spans="1:46" s="82" customFormat="1" ht="15" customHeight="1" x14ac:dyDescent="0.25">
      <c r="A186" s="186"/>
      <c r="B186" s="367" t="s">
        <v>545</v>
      </c>
      <c r="C186" s="118" t="s">
        <v>627</v>
      </c>
      <c r="D186" s="119">
        <f>D168</f>
        <v>2644</v>
      </c>
      <c r="E186" s="120"/>
      <c r="F186" s="121"/>
      <c r="G186" s="120">
        <v>3436</v>
      </c>
      <c r="H186" s="121">
        <v>1516</v>
      </c>
      <c r="I186" s="122">
        <f>G186-E186</f>
        <v>3436</v>
      </c>
      <c r="J186" s="123">
        <f>H186-F186</f>
        <v>1516</v>
      </c>
      <c r="K186" s="124"/>
      <c r="L186" s="122">
        <f>K186</f>
        <v>0</v>
      </c>
      <c r="M186" s="125">
        <f>IF(L186&gt;0, 100, 0)</f>
        <v>0</v>
      </c>
      <c r="N186" s="126"/>
      <c r="O186" s="127"/>
      <c r="P186" s="126"/>
      <c r="Q186" s="279"/>
      <c r="R186" s="126"/>
      <c r="S186" s="332"/>
      <c r="T186" s="338"/>
      <c r="U186" s="339"/>
      <c r="V186" s="338"/>
      <c r="W186" s="339"/>
      <c r="X186" s="338"/>
      <c r="Y186" s="339"/>
      <c r="Z186" s="338"/>
      <c r="AA186" s="339"/>
      <c r="AB186" s="300"/>
      <c r="AC186" s="127"/>
      <c r="AG186" s="108">
        <f>SUM(E195:L195)</f>
        <v>20.362299999999998</v>
      </c>
      <c r="AH186" s="108">
        <f>SUM(E196:AC196)</f>
        <v>10.783087999999999</v>
      </c>
      <c r="AI186" s="286">
        <f>((E186*F186+H186*I186)-K186*M186-(R186*S186+T186*U186+V186*W186+X186*Y186+Z186*AA186+AB186*AC186)-P186*Q186)/1000000</f>
        <v>5.2089759999999998</v>
      </c>
      <c r="AJ186" s="117">
        <f>((E186*F186+H186*I186)-K186*M186-(R186*S186+T186*U186+V186*W186+X186*Y186+Z186*AA186+AB186*AC186)+N186*O186)/1000000</f>
        <v>5.2089759999999998</v>
      </c>
      <c r="AK186" s="108">
        <f>(SUM(E186:M186)-SUM(E187:M191))/1000</f>
        <v>7.4749999999999996</v>
      </c>
      <c r="AL186" s="108">
        <f>SUM(E197:J199)</f>
        <v>0</v>
      </c>
      <c r="AM186" s="159">
        <f>SUM(E200:J202)</f>
        <v>0</v>
      </c>
      <c r="AN186" s="117"/>
      <c r="AO186" s="117"/>
      <c r="AP186" s="128"/>
      <c r="AQ186" s="117"/>
      <c r="AR186" s="89"/>
      <c r="AS186" s="89"/>
      <c r="AT186" s="89"/>
    </row>
    <row r="187" spans="1:46" s="82" customFormat="1" ht="15" customHeight="1" x14ac:dyDescent="0.25">
      <c r="A187" s="186"/>
      <c r="B187" s="187"/>
      <c r="C187" s="131" t="s">
        <v>158</v>
      </c>
      <c r="D187" s="119">
        <f>D186</f>
        <v>2644</v>
      </c>
      <c r="E187" s="120"/>
      <c r="F187" s="121"/>
      <c r="G187" s="121"/>
      <c r="H187" s="121"/>
      <c r="I187" s="121">
        <f>I186-2107</f>
        <v>1329</v>
      </c>
      <c r="J187" s="132"/>
      <c r="K187" s="133"/>
      <c r="L187" s="129"/>
      <c r="M187" s="134"/>
      <c r="N187" s="135"/>
      <c r="O187" s="134"/>
      <c r="P187" s="135"/>
      <c r="Q187" s="280"/>
      <c r="R187" s="135"/>
      <c r="S187" s="333"/>
      <c r="T187" s="340"/>
      <c r="U187" s="341"/>
      <c r="V187" s="340"/>
      <c r="W187" s="341"/>
      <c r="X187" s="340"/>
      <c r="Y187" s="341"/>
      <c r="Z187" s="340"/>
      <c r="AA187" s="341"/>
      <c r="AB187" s="301"/>
      <c r="AC187" s="134"/>
      <c r="AG187" s="130"/>
      <c r="AH187" s="130"/>
      <c r="AI187" s="130"/>
      <c r="AJ187" s="130"/>
      <c r="AK187" s="130"/>
      <c r="AL187" s="130"/>
      <c r="AM187" s="130"/>
      <c r="AN187" s="117"/>
      <c r="AO187" s="117"/>
      <c r="AP187" s="128"/>
      <c r="AQ187" s="117"/>
      <c r="AR187" s="89"/>
      <c r="AS187" s="89"/>
      <c r="AT187" s="89"/>
    </row>
    <row r="188" spans="1:46" s="82" customFormat="1" ht="15" customHeight="1" x14ac:dyDescent="0.25">
      <c r="A188" s="186"/>
      <c r="B188" s="187"/>
      <c r="C188" s="131" t="s">
        <v>158</v>
      </c>
      <c r="D188" s="119">
        <f>IF(D$44 &lt;&gt; "",  D$44, D$26)</f>
        <v>2050</v>
      </c>
      <c r="E188" s="120"/>
      <c r="F188" s="121"/>
      <c r="G188" s="121"/>
      <c r="H188" s="121"/>
      <c r="I188" s="121"/>
      <c r="J188" s="132"/>
      <c r="K188" s="133"/>
      <c r="L188" s="129"/>
      <c r="M188" s="134"/>
      <c r="N188" s="135"/>
      <c r="O188" s="134"/>
      <c r="P188" s="135"/>
      <c r="Q188" s="280"/>
      <c r="R188" s="135"/>
      <c r="S188" s="333"/>
      <c r="T188" s="340"/>
      <c r="U188" s="341"/>
      <c r="V188" s="340"/>
      <c r="W188" s="341"/>
      <c r="X188" s="340"/>
      <c r="Y188" s="341"/>
      <c r="Z188" s="340"/>
      <c r="AA188" s="341"/>
      <c r="AB188" s="301"/>
      <c r="AC188" s="134"/>
      <c r="AG188" s="130"/>
      <c r="AH188" s="130"/>
      <c r="AI188" s="130"/>
      <c r="AJ188" s="130"/>
      <c r="AK188" s="130"/>
      <c r="AL188" s="130"/>
      <c r="AM188" s="130"/>
      <c r="AN188" s="117"/>
      <c r="AO188" s="117"/>
      <c r="AP188" s="128"/>
      <c r="AQ188" s="117"/>
      <c r="AR188" s="89"/>
      <c r="AS188" s="89"/>
      <c r="AT188" s="89"/>
    </row>
    <row r="189" spans="1:46" s="82" customFormat="1" ht="15" customHeight="1" x14ac:dyDescent="0.25">
      <c r="A189" s="186"/>
      <c r="B189" s="187"/>
      <c r="C189" s="131" t="s">
        <v>159</v>
      </c>
      <c r="D189" s="136">
        <v>2100</v>
      </c>
      <c r="E189" s="120"/>
      <c r="F189" s="121"/>
      <c r="G189" s="121">
        <f>IF(AND(G186 &lt;&gt;"", E186=""), 1100, 0)</f>
        <v>1100</v>
      </c>
      <c r="H189" s="121"/>
      <c r="I189" s="121"/>
      <c r="J189" s="132"/>
      <c r="K189" s="133"/>
      <c r="L189" s="129"/>
      <c r="M189" s="134"/>
      <c r="N189" s="135"/>
      <c r="O189" s="134"/>
      <c r="P189" s="135"/>
      <c r="Q189" s="280"/>
      <c r="R189" s="135"/>
      <c r="S189" s="333"/>
      <c r="T189" s="340"/>
      <c r="U189" s="341"/>
      <c r="V189" s="340"/>
      <c r="W189" s="341"/>
      <c r="X189" s="340"/>
      <c r="Y189" s="341"/>
      <c r="Z189" s="340"/>
      <c r="AA189" s="341"/>
      <c r="AB189" s="301"/>
      <c r="AC189" s="134"/>
      <c r="AG189" s="117"/>
      <c r="AH189" s="117"/>
      <c r="AI189" s="117"/>
      <c r="AJ189" s="117"/>
      <c r="AK189" s="117"/>
      <c r="AL189" s="117"/>
      <c r="AM189" s="117"/>
      <c r="AN189" s="117"/>
      <c r="AO189" s="117"/>
      <c r="AP189" s="128"/>
      <c r="AQ189" s="117"/>
      <c r="AR189" s="89"/>
      <c r="AS189" s="89"/>
      <c r="AT189" s="89"/>
    </row>
    <row r="190" spans="1:46" s="82" customFormat="1" ht="15" customHeight="1" x14ac:dyDescent="0.25">
      <c r="A190" s="186"/>
      <c r="B190" s="187"/>
      <c r="C190" s="131" t="s">
        <v>159</v>
      </c>
      <c r="D190" s="136">
        <v>2100</v>
      </c>
      <c r="E190" s="120"/>
      <c r="F190" s="121"/>
      <c r="G190" s="121"/>
      <c r="H190" s="121"/>
      <c r="I190" s="121"/>
      <c r="J190" s="132"/>
      <c r="K190" s="133"/>
      <c r="L190" s="129"/>
      <c r="M190" s="134"/>
      <c r="N190" s="135"/>
      <c r="O190" s="134"/>
      <c r="P190" s="135"/>
      <c r="Q190" s="280"/>
      <c r="R190" s="135"/>
      <c r="S190" s="333"/>
      <c r="T190" s="340"/>
      <c r="U190" s="341"/>
      <c r="V190" s="340"/>
      <c r="W190" s="341"/>
      <c r="X190" s="340"/>
      <c r="Y190" s="341"/>
      <c r="Z190" s="340"/>
      <c r="AA190" s="341"/>
      <c r="AB190" s="301"/>
      <c r="AC190" s="134"/>
      <c r="AG190" s="117"/>
      <c r="AH190" s="117"/>
      <c r="AI190" s="117"/>
      <c r="AJ190" s="117"/>
      <c r="AK190" s="117"/>
      <c r="AL190" s="117"/>
      <c r="AM190" s="117"/>
      <c r="AN190" s="117"/>
      <c r="AO190" s="117"/>
      <c r="AP190" s="128"/>
      <c r="AQ190" s="117"/>
      <c r="AR190" s="89"/>
      <c r="AS190" s="89"/>
      <c r="AT190" s="89"/>
    </row>
    <row r="191" spans="1:46" s="82" customFormat="1" ht="15" customHeight="1" thickBot="1" x14ac:dyDescent="0.3">
      <c r="A191" s="186"/>
      <c r="B191" s="187"/>
      <c r="C191" s="131" t="s">
        <v>159</v>
      </c>
      <c r="D191" s="136">
        <v>2100</v>
      </c>
      <c r="E191" s="120"/>
      <c r="F191" s="121"/>
      <c r="G191" s="121"/>
      <c r="H191" s="121"/>
      <c r="I191" s="121"/>
      <c r="J191" s="132"/>
      <c r="K191" s="133"/>
      <c r="L191" s="129"/>
      <c r="M191" s="134"/>
      <c r="N191" s="135"/>
      <c r="O191" s="134"/>
      <c r="P191" s="135"/>
      <c r="Q191" s="280"/>
      <c r="R191" s="135"/>
      <c r="S191" s="333"/>
      <c r="T191" s="340"/>
      <c r="U191" s="341"/>
      <c r="V191" s="340"/>
      <c r="W191" s="341"/>
      <c r="X191" s="340"/>
      <c r="Y191" s="341"/>
      <c r="Z191" s="340"/>
      <c r="AA191" s="341"/>
      <c r="AB191" s="301"/>
      <c r="AC191" s="134"/>
      <c r="AG191" s="117"/>
      <c r="AH191" s="117"/>
      <c r="AI191" s="117"/>
      <c r="AJ191" s="117"/>
      <c r="AK191" s="117"/>
      <c r="AL191" s="117"/>
      <c r="AM191" s="117"/>
      <c r="AN191" s="117"/>
      <c r="AO191" s="117"/>
      <c r="AP191" s="128"/>
      <c r="AQ191" s="117"/>
      <c r="AR191" s="89"/>
      <c r="AS191" s="89"/>
      <c r="AT191" s="89"/>
    </row>
    <row r="192" spans="1:46" s="82" customFormat="1" ht="15" hidden="1" customHeight="1" x14ac:dyDescent="0.25">
      <c r="A192" s="186"/>
      <c r="B192" s="187"/>
      <c r="C192" s="131" t="s">
        <v>175</v>
      </c>
      <c r="D192" s="119">
        <v>1817</v>
      </c>
      <c r="E192" s="120"/>
      <c r="F192" s="121"/>
      <c r="G192" s="121"/>
      <c r="H192" s="121"/>
      <c r="I192" s="121"/>
      <c r="J192" s="132"/>
      <c r="K192" s="133"/>
      <c r="L192" s="129"/>
      <c r="M192" s="134"/>
      <c r="N192" s="135"/>
      <c r="O192" s="134"/>
      <c r="P192" s="135"/>
      <c r="Q192" s="280"/>
      <c r="R192" s="135"/>
      <c r="S192" s="333"/>
      <c r="T192" s="340"/>
      <c r="U192" s="341"/>
      <c r="V192" s="340"/>
      <c r="W192" s="341"/>
      <c r="X192" s="340"/>
      <c r="Y192" s="341"/>
      <c r="Z192" s="340"/>
      <c r="AA192" s="341"/>
      <c r="AB192" s="301"/>
      <c r="AC192" s="134"/>
      <c r="AG192" s="117"/>
      <c r="AH192" s="117"/>
      <c r="AI192" s="130"/>
      <c r="AJ192" s="130"/>
      <c r="AK192" s="117"/>
      <c r="AL192" s="117"/>
      <c r="AM192" s="117"/>
      <c r="AN192" s="117"/>
      <c r="AO192" s="117"/>
      <c r="AP192" s="128"/>
      <c r="AQ192" s="117"/>
      <c r="AR192" s="89"/>
      <c r="AS192" s="89"/>
      <c r="AT192" s="89"/>
    </row>
    <row r="193" spans="1:46" s="82" customFormat="1" ht="15" hidden="1" customHeight="1" x14ac:dyDescent="0.25">
      <c r="A193" s="186"/>
      <c r="B193" s="187"/>
      <c r="C193" s="131" t="s">
        <v>175</v>
      </c>
      <c r="D193" s="136">
        <f>D192</f>
        <v>1817</v>
      </c>
      <c r="E193" s="120"/>
      <c r="F193" s="121"/>
      <c r="G193" s="121"/>
      <c r="H193" s="121"/>
      <c r="I193" s="121"/>
      <c r="J193" s="132"/>
      <c r="K193" s="133"/>
      <c r="L193" s="129"/>
      <c r="M193" s="134"/>
      <c r="N193" s="135"/>
      <c r="O193" s="134"/>
      <c r="P193" s="135"/>
      <c r="Q193" s="280"/>
      <c r="R193" s="135"/>
      <c r="S193" s="333"/>
      <c r="T193" s="340"/>
      <c r="U193" s="341"/>
      <c r="V193" s="340"/>
      <c r="W193" s="341"/>
      <c r="X193" s="340"/>
      <c r="Y193" s="341"/>
      <c r="Z193" s="340"/>
      <c r="AA193" s="341"/>
      <c r="AB193" s="301"/>
      <c r="AC193" s="134"/>
      <c r="AG193" s="117"/>
      <c r="AH193" s="117"/>
      <c r="AI193" s="130"/>
      <c r="AJ193" s="130"/>
      <c r="AK193" s="117"/>
      <c r="AL193" s="117"/>
      <c r="AM193" s="117"/>
      <c r="AN193" s="117"/>
      <c r="AO193" s="117"/>
      <c r="AP193" s="128"/>
      <c r="AQ193" s="117"/>
      <c r="AR193" s="89"/>
      <c r="AS193" s="89"/>
      <c r="AT193" s="89"/>
    </row>
    <row r="194" spans="1:46" s="82" customFormat="1" ht="15" hidden="1" customHeight="1" x14ac:dyDescent="0.25">
      <c r="A194" s="186"/>
      <c r="B194" s="187"/>
      <c r="C194" s="131" t="s">
        <v>175</v>
      </c>
      <c r="D194" s="136">
        <f>D192</f>
        <v>1817</v>
      </c>
      <c r="E194" s="120"/>
      <c r="F194" s="121"/>
      <c r="G194" s="121"/>
      <c r="H194" s="121"/>
      <c r="I194" s="121"/>
      <c r="J194" s="132"/>
      <c r="K194" s="133"/>
      <c r="L194" s="129"/>
      <c r="M194" s="134"/>
      <c r="N194" s="135"/>
      <c r="O194" s="134"/>
      <c r="P194" s="135"/>
      <c r="Q194" s="280"/>
      <c r="R194" s="135"/>
      <c r="S194" s="333"/>
      <c r="T194" s="340"/>
      <c r="U194" s="341"/>
      <c r="V194" s="340"/>
      <c r="W194" s="341"/>
      <c r="X194" s="340"/>
      <c r="Y194" s="341"/>
      <c r="Z194" s="340"/>
      <c r="AA194" s="341"/>
      <c r="AB194" s="301"/>
      <c r="AC194" s="134"/>
      <c r="AG194" s="117"/>
      <c r="AH194" s="117"/>
      <c r="AI194" s="130"/>
      <c r="AJ194" s="130"/>
      <c r="AK194" s="117"/>
      <c r="AL194" s="117"/>
      <c r="AM194" s="117"/>
      <c r="AN194" s="117"/>
      <c r="AO194" s="117"/>
      <c r="AP194" s="128"/>
      <c r="AQ194" s="117"/>
      <c r="AR194" s="89"/>
      <c r="AS194" s="89"/>
      <c r="AT194" s="89"/>
    </row>
    <row r="195" spans="1:46" s="82" customFormat="1" ht="15" hidden="1" customHeight="1" x14ac:dyDescent="0.25">
      <c r="A195" s="190"/>
      <c r="B195" s="191"/>
      <c r="C195" s="163" t="s">
        <v>160</v>
      </c>
      <c r="D195" s="164"/>
      <c r="E195" s="165">
        <f t="shared" ref="E195:M195" si="89">(E186*$D186-E187*$D187-E188*$D188-E189*$D189-E190*$D190-E191*$D191-E192*$D192-E193*$D193-E194*$D194)/1000000</f>
        <v>0</v>
      </c>
      <c r="F195" s="165">
        <f t="shared" si="89"/>
        <v>0</v>
      </c>
      <c r="G195" s="165">
        <f t="shared" si="89"/>
        <v>6.7747840000000004</v>
      </c>
      <c r="H195" s="165">
        <f t="shared" si="89"/>
        <v>4.0083039999999999</v>
      </c>
      <c r="I195" s="165">
        <f t="shared" si="89"/>
        <v>5.5709080000000002</v>
      </c>
      <c r="J195" s="166">
        <f t="shared" si="89"/>
        <v>4.0083039999999999</v>
      </c>
      <c r="K195" s="167">
        <f t="shared" si="89"/>
        <v>0</v>
      </c>
      <c r="L195" s="165">
        <f t="shared" si="89"/>
        <v>0</v>
      </c>
      <c r="M195" s="165">
        <f t="shared" si="89"/>
        <v>0</v>
      </c>
      <c r="N195" s="169"/>
      <c r="O195" s="170"/>
      <c r="P195" s="169"/>
      <c r="Q195" s="281"/>
      <c r="R195" s="327">
        <f t="shared" ref="R195:AC195" si="90">(R186*$D186)/1000000</f>
        <v>0</v>
      </c>
      <c r="S195" s="143">
        <f t="shared" si="90"/>
        <v>0</v>
      </c>
      <c r="T195" s="342">
        <f t="shared" si="90"/>
        <v>0</v>
      </c>
      <c r="U195" s="343">
        <f t="shared" si="90"/>
        <v>0</v>
      </c>
      <c r="V195" s="342">
        <f t="shared" si="90"/>
        <v>0</v>
      </c>
      <c r="W195" s="343">
        <f t="shared" si="90"/>
        <v>0</v>
      </c>
      <c r="X195" s="342">
        <f t="shared" ref="X195:AA195" si="91">(X186*$D186)/1000000</f>
        <v>0</v>
      </c>
      <c r="Y195" s="343">
        <f t="shared" si="91"/>
        <v>0</v>
      </c>
      <c r="Z195" s="342">
        <f t="shared" si="91"/>
        <v>0</v>
      </c>
      <c r="AA195" s="343">
        <f t="shared" si="91"/>
        <v>0</v>
      </c>
      <c r="AB195" s="142">
        <f t="shared" si="90"/>
        <v>0</v>
      </c>
      <c r="AC195" s="168">
        <f t="shared" si="90"/>
        <v>0</v>
      </c>
      <c r="AG195" s="117"/>
      <c r="AH195" s="117"/>
      <c r="AI195" s="130"/>
      <c r="AJ195" s="130"/>
      <c r="AK195" s="117"/>
      <c r="AL195" s="117"/>
      <c r="AM195" s="117"/>
      <c r="AN195" s="117"/>
      <c r="AO195" s="117"/>
      <c r="AP195" s="128"/>
      <c r="AQ195" s="117"/>
      <c r="AR195" s="89"/>
      <c r="AS195" s="89"/>
      <c r="AT195" s="89"/>
    </row>
    <row r="196" spans="1:46" s="82" customFormat="1" ht="15" hidden="1" customHeight="1" x14ac:dyDescent="0.25">
      <c r="A196" s="186"/>
      <c r="B196" s="187"/>
      <c r="C196" s="109" t="s">
        <v>163</v>
      </c>
      <c r="D196" s="136"/>
      <c r="E196" s="137">
        <f t="shared" ref="E196:M196" si="92">E195*E185</f>
        <v>0</v>
      </c>
      <c r="F196" s="137">
        <f t="shared" si="92"/>
        <v>0</v>
      </c>
      <c r="G196" s="137">
        <f t="shared" si="92"/>
        <v>6.7747840000000004</v>
      </c>
      <c r="H196" s="137">
        <f t="shared" si="92"/>
        <v>4.0083039999999999</v>
      </c>
      <c r="I196" s="137">
        <f t="shared" si="92"/>
        <v>0</v>
      </c>
      <c r="J196" s="138">
        <f t="shared" si="92"/>
        <v>0</v>
      </c>
      <c r="K196" s="139">
        <f t="shared" si="92"/>
        <v>0</v>
      </c>
      <c r="L196" s="137">
        <f t="shared" si="92"/>
        <v>0</v>
      </c>
      <c r="M196" s="140">
        <f t="shared" si="92"/>
        <v>0</v>
      </c>
      <c r="N196" s="141"/>
      <c r="O196" s="125"/>
      <c r="P196" s="141"/>
      <c r="Q196" s="282"/>
      <c r="R196" s="139">
        <f t="shared" ref="R196:AC196" si="93">R195*R185</f>
        <v>0</v>
      </c>
      <c r="S196" s="138">
        <f t="shared" si="93"/>
        <v>0</v>
      </c>
      <c r="T196" s="342">
        <f t="shared" si="93"/>
        <v>0</v>
      </c>
      <c r="U196" s="344">
        <f t="shared" si="93"/>
        <v>0</v>
      </c>
      <c r="V196" s="342">
        <f t="shared" si="93"/>
        <v>0</v>
      </c>
      <c r="W196" s="344">
        <f t="shared" si="93"/>
        <v>0</v>
      </c>
      <c r="X196" s="342">
        <f t="shared" ref="X196:AA196" si="94">X195*X185</f>
        <v>0</v>
      </c>
      <c r="Y196" s="344">
        <f t="shared" si="94"/>
        <v>0</v>
      </c>
      <c r="Z196" s="342">
        <f t="shared" si="94"/>
        <v>0</v>
      </c>
      <c r="AA196" s="344">
        <f t="shared" si="94"/>
        <v>0</v>
      </c>
      <c r="AB196" s="137">
        <f t="shared" si="93"/>
        <v>0</v>
      </c>
      <c r="AC196" s="140">
        <f t="shared" si="93"/>
        <v>0</v>
      </c>
      <c r="AG196" s="117"/>
      <c r="AH196" s="117"/>
      <c r="AI196" s="130"/>
      <c r="AJ196" s="130"/>
      <c r="AK196" s="117"/>
      <c r="AL196" s="117"/>
      <c r="AM196" s="117"/>
      <c r="AN196" s="117"/>
      <c r="AO196" s="117"/>
      <c r="AP196" s="128"/>
      <c r="AQ196" s="117"/>
      <c r="AR196" s="89"/>
      <c r="AS196" s="89"/>
      <c r="AT196" s="89"/>
    </row>
    <row r="197" spans="1:46" s="82" customFormat="1" ht="15" hidden="1" customHeight="1" x14ac:dyDescent="0.25">
      <c r="A197" s="186"/>
      <c r="B197" s="187"/>
      <c r="C197" s="109" t="s">
        <v>176</v>
      </c>
      <c r="D197" s="136"/>
      <c r="E197" s="137">
        <f t="shared" ref="E197:J199" si="95">IF(E192&gt;0, (E192+$D192*2)/1000, 0)</f>
        <v>0</v>
      </c>
      <c r="F197" s="142">
        <f t="shared" si="95"/>
        <v>0</v>
      </c>
      <c r="G197" s="142">
        <f t="shared" si="95"/>
        <v>0</v>
      </c>
      <c r="H197" s="142">
        <f t="shared" si="95"/>
        <v>0</v>
      </c>
      <c r="I197" s="142">
        <f t="shared" si="95"/>
        <v>0</v>
      </c>
      <c r="J197" s="143">
        <f t="shared" si="95"/>
        <v>0</v>
      </c>
      <c r="K197" s="139"/>
      <c r="L197" s="142"/>
      <c r="M197" s="144"/>
      <c r="N197" s="141"/>
      <c r="O197" s="125"/>
      <c r="P197" s="141"/>
      <c r="Q197" s="282"/>
      <c r="R197" s="141"/>
      <c r="S197" s="334"/>
      <c r="T197" s="345"/>
      <c r="U197" s="346"/>
      <c r="V197" s="345"/>
      <c r="W197" s="346"/>
      <c r="X197" s="345"/>
      <c r="Y197" s="346"/>
      <c r="Z197" s="345"/>
      <c r="AA197" s="346"/>
      <c r="AB197" s="302"/>
      <c r="AC197" s="125"/>
      <c r="AG197" s="117"/>
      <c r="AH197" s="117"/>
      <c r="AI197" s="130"/>
      <c r="AJ197" s="130"/>
      <c r="AK197" s="117"/>
      <c r="AL197" s="117"/>
      <c r="AM197" s="117"/>
      <c r="AN197" s="117"/>
      <c r="AO197" s="117"/>
      <c r="AP197" s="128"/>
      <c r="AQ197" s="117"/>
      <c r="AR197" s="89"/>
      <c r="AS197" s="89"/>
      <c r="AT197" s="89"/>
    </row>
    <row r="198" spans="1:46" s="82" customFormat="1" ht="15" hidden="1" customHeight="1" x14ac:dyDescent="0.25">
      <c r="A198" s="192"/>
      <c r="B198" s="193"/>
      <c r="C198" s="109" t="s">
        <v>176</v>
      </c>
      <c r="D198" s="136"/>
      <c r="E198" s="137">
        <f t="shared" si="95"/>
        <v>0</v>
      </c>
      <c r="F198" s="142">
        <f t="shared" si="95"/>
        <v>0</v>
      </c>
      <c r="G198" s="142">
        <f t="shared" si="95"/>
        <v>0</v>
      </c>
      <c r="H198" s="142">
        <f t="shared" si="95"/>
        <v>0</v>
      </c>
      <c r="I198" s="142">
        <f t="shared" si="95"/>
        <v>0</v>
      </c>
      <c r="J198" s="143">
        <f t="shared" si="95"/>
        <v>0</v>
      </c>
      <c r="K198" s="139"/>
      <c r="L198" s="142"/>
      <c r="M198" s="144"/>
      <c r="N198" s="141"/>
      <c r="O198" s="125"/>
      <c r="P198" s="141"/>
      <c r="Q198" s="282"/>
      <c r="R198" s="141"/>
      <c r="S198" s="334"/>
      <c r="T198" s="345"/>
      <c r="U198" s="346"/>
      <c r="V198" s="345"/>
      <c r="W198" s="346"/>
      <c r="X198" s="345"/>
      <c r="Y198" s="346"/>
      <c r="Z198" s="345"/>
      <c r="AA198" s="346"/>
      <c r="AB198" s="302"/>
      <c r="AC198" s="125"/>
      <c r="AG198" s="117"/>
      <c r="AH198" s="117"/>
      <c r="AI198" s="130"/>
      <c r="AJ198" s="130"/>
      <c r="AK198" s="117"/>
      <c r="AL198" s="117"/>
      <c r="AM198" s="117"/>
      <c r="AN198" s="117"/>
      <c r="AO198" s="117"/>
      <c r="AP198" s="128"/>
      <c r="AQ198" s="117"/>
      <c r="AR198" s="89"/>
      <c r="AS198" s="89"/>
      <c r="AT198" s="89"/>
    </row>
    <row r="199" spans="1:46" s="82" customFormat="1" ht="15" hidden="1" customHeight="1" x14ac:dyDescent="0.25">
      <c r="A199" s="192"/>
      <c r="B199" s="193"/>
      <c r="C199" s="109" t="s">
        <v>176</v>
      </c>
      <c r="D199" s="136"/>
      <c r="E199" s="137">
        <f t="shared" si="95"/>
        <v>0</v>
      </c>
      <c r="F199" s="142">
        <f t="shared" si="95"/>
        <v>0</v>
      </c>
      <c r="G199" s="142">
        <f t="shared" si="95"/>
        <v>0</v>
      </c>
      <c r="H199" s="142">
        <f t="shared" si="95"/>
        <v>0</v>
      </c>
      <c r="I199" s="142">
        <f t="shared" si="95"/>
        <v>0</v>
      </c>
      <c r="J199" s="143">
        <f t="shared" si="95"/>
        <v>0</v>
      </c>
      <c r="K199" s="139"/>
      <c r="L199" s="142"/>
      <c r="M199" s="144"/>
      <c r="N199" s="141"/>
      <c r="O199" s="125"/>
      <c r="P199" s="141"/>
      <c r="Q199" s="282"/>
      <c r="R199" s="141"/>
      <c r="S199" s="334"/>
      <c r="T199" s="345"/>
      <c r="U199" s="346"/>
      <c r="V199" s="345"/>
      <c r="W199" s="346"/>
      <c r="X199" s="345"/>
      <c r="Y199" s="346"/>
      <c r="Z199" s="345"/>
      <c r="AA199" s="346"/>
      <c r="AB199" s="302"/>
      <c r="AC199" s="125"/>
      <c r="AG199" s="117"/>
      <c r="AH199" s="117"/>
      <c r="AI199" s="130"/>
      <c r="AJ199" s="130"/>
      <c r="AK199" s="117"/>
      <c r="AL199" s="117"/>
      <c r="AM199" s="117"/>
      <c r="AN199" s="117"/>
      <c r="AO199" s="117"/>
      <c r="AP199" s="128"/>
      <c r="AQ199" s="117"/>
      <c r="AR199" s="89"/>
      <c r="AS199" s="89"/>
      <c r="AT199" s="89"/>
    </row>
    <row r="200" spans="1:46" s="82" customFormat="1" ht="15" hidden="1" customHeight="1" x14ac:dyDescent="0.25">
      <c r="A200" s="194"/>
      <c r="B200" s="195"/>
      <c r="C200" s="109" t="s">
        <v>628</v>
      </c>
      <c r="D200" s="136"/>
      <c r="E200" s="137">
        <f t="shared" ref="E200:J202" si="96">IF(E192&gt;0, (E192+$D192)*2/1000, 0)</f>
        <v>0</v>
      </c>
      <c r="F200" s="142">
        <f t="shared" si="96"/>
        <v>0</v>
      </c>
      <c r="G200" s="142">
        <f t="shared" si="96"/>
        <v>0</v>
      </c>
      <c r="H200" s="142">
        <f t="shared" si="96"/>
        <v>0</v>
      </c>
      <c r="I200" s="142">
        <f t="shared" si="96"/>
        <v>0</v>
      </c>
      <c r="J200" s="143">
        <f t="shared" si="96"/>
        <v>0</v>
      </c>
      <c r="K200" s="139"/>
      <c r="L200" s="142"/>
      <c r="M200" s="144"/>
      <c r="N200" s="141"/>
      <c r="O200" s="125"/>
      <c r="P200" s="141"/>
      <c r="Q200" s="282"/>
      <c r="R200" s="141"/>
      <c r="S200" s="334"/>
      <c r="T200" s="345"/>
      <c r="U200" s="346"/>
      <c r="V200" s="345"/>
      <c r="W200" s="346"/>
      <c r="X200" s="345"/>
      <c r="Y200" s="346"/>
      <c r="Z200" s="345"/>
      <c r="AA200" s="346"/>
      <c r="AB200" s="302"/>
      <c r="AC200" s="125"/>
      <c r="AG200" s="117"/>
      <c r="AH200" s="117"/>
      <c r="AI200" s="130"/>
      <c r="AJ200" s="130"/>
      <c r="AK200" s="117"/>
      <c r="AL200" s="117"/>
      <c r="AM200" s="117"/>
      <c r="AN200" s="117"/>
      <c r="AO200" s="117"/>
      <c r="AP200" s="128"/>
      <c r="AQ200" s="117"/>
      <c r="AR200" s="89"/>
      <c r="AS200" s="89"/>
      <c r="AT200" s="89"/>
    </row>
    <row r="201" spans="1:46" s="82" customFormat="1" ht="15" hidden="1" customHeight="1" x14ac:dyDescent="0.25">
      <c r="A201" s="186"/>
      <c r="B201" s="187"/>
      <c r="C201" s="109" t="s">
        <v>628</v>
      </c>
      <c r="D201" s="136"/>
      <c r="E201" s="137">
        <f t="shared" si="96"/>
        <v>0</v>
      </c>
      <c r="F201" s="142">
        <f t="shared" si="96"/>
        <v>0</v>
      </c>
      <c r="G201" s="142">
        <f t="shared" si="96"/>
        <v>0</v>
      </c>
      <c r="H201" s="142">
        <f t="shared" si="96"/>
        <v>0</v>
      </c>
      <c r="I201" s="142">
        <f t="shared" si="96"/>
        <v>0</v>
      </c>
      <c r="J201" s="143">
        <f t="shared" si="96"/>
        <v>0</v>
      </c>
      <c r="K201" s="139"/>
      <c r="L201" s="142"/>
      <c r="M201" s="144"/>
      <c r="N201" s="141"/>
      <c r="O201" s="125"/>
      <c r="P201" s="141"/>
      <c r="Q201" s="282"/>
      <c r="R201" s="141"/>
      <c r="S201" s="334"/>
      <c r="T201" s="345"/>
      <c r="U201" s="346"/>
      <c r="V201" s="345"/>
      <c r="W201" s="346"/>
      <c r="X201" s="345"/>
      <c r="Y201" s="346"/>
      <c r="Z201" s="345"/>
      <c r="AA201" s="346"/>
      <c r="AB201" s="302"/>
      <c r="AC201" s="125"/>
      <c r="AG201" s="117"/>
      <c r="AH201" s="117"/>
      <c r="AI201" s="130"/>
      <c r="AJ201" s="130"/>
      <c r="AK201" s="117"/>
      <c r="AL201" s="117"/>
      <c r="AM201" s="117"/>
      <c r="AN201" s="117"/>
      <c r="AO201" s="117"/>
      <c r="AP201" s="128"/>
      <c r="AQ201" s="117"/>
      <c r="AR201" s="89"/>
      <c r="AS201" s="89"/>
      <c r="AT201" s="89"/>
    </row>
    <row r="202" spans="1:46" s="82" customFormat="1" ht="15" hidden="1" customHeight="1" thickBot="1" x14ac:dyDescent="0.3">
      <c r="A202" s="188"/>
      <c r="B202" s="189"/>
      <c r="C202" s="109" t="s">
        <v>628</v>
      </c>
      <c r="D202" s="145"/>
      <c r="E202" s="146">
        <f t="shared" si="96"/>
        <v>0</v>
      </c>
      <c r="F202" s="147">
        <f t="shared" si="96"/>
        <v>0</v>
      </c>
      <c r="G202" s="147">
        <f t="shared" si="96"/>
        <v>0</v>
      </c>
      <c r="H202" s="147">
        <f t="shared" si="96"/>
        <v>0</v>
      </c>
      <c r="I202" s="147">
        <f t="shared" si="96"/>
        <v>0</v>
      </c>
      <c r="J202" s="148">
        <f t="shared" si="96"/>
        <v>0</v>
      </c>
      <c r="K202" s="149"/>
      <c r="L202" s="147"/>
      <c r="M202" s="150"/>
      <c r="N202" s="151"/>
      <c r="O202" s="152"/>
      <c r="P202" s="151"/>
      <c r="Q202" s="283"/>
      <c r="R202" s="151"/>
      <c r="S202" s="335"/>
      <c r="T202" s="347"/>
      <c r="U202" s="348"/>
      <c r="V202" s="347"/>
      <c r="W202" s="348"/>
      <c r="X202" s="347"/>
      <c r="Y202" s="348"/>
      <c r="Z202" s="347"/>
      <c r="AA202" s="348"/>
      <c r="AB202" s="303"/>
      <c r="AC202" s="152"/>
      <c r="AG202" s="117"/>
      <c r="AH202" s="117"/>
      <c r="AI202" s="130"/>
      <c r="AJ202" s="130"/>
      <c r="AK202" s="117"/>
      <c r="AL202" s="117"/>
      <c r="AM202" s="117"/>
      <c r="AN202" s="117"/>
      <c r="AO202" s="117"/>
      <c r="AP202" s="128"/>
      <c r="AQ202" s="117"/>
      <c r="AR202" s="89"/>
      <c r="AS202" s="89"/>
      <c r="AT202" s="89"/>
    </row>
    <row r="203" spans="1:46" s="82" customFormat="1" ht="15" customHeight="1" x14ac:dyDescent="0.25">
      <c r="A203" s="181"/>
      <c r="B203" s="185" t="s">
        <v>548</v>
      </c>
      <c r="C203" s="105" t="s">
        <v>165</v>
      </c>
      <c r="D203" s="162"/>
      <c r="E203" s="306"/>
      <c r="F203" s="307"/>
      <c r="G203" s="307">
        <v>1</v>
      </c>
      <c r="H203" s="307">
        <v>1</v>
      </c>
      <c r="I203" s="307"/>
      <c r="J203" s="308"/>
      <c r="K203" s="309"/>
      <c r="L203" s="307"/>
      <c r="M203" s="310"/>
      <c r="N203" s="106"/>
      <c r="O203" s="107"/>
      <c r="P203" s="106"/>
      <c r="Q203" s="278"/>
      <c r="R203" s="309"/>
      <c r="S203" s="308"/>
      <c r="T203" s="336"/>
      <c r="U203" s="337"/>
      <c r="V203" s="336"/>
      <c r="W203" s="337"/>
      <c r="X203" s="336"/>
      <c r="Y203" s="337"/>
      <c r="Z203" s="336"/>
      <c r="AA203" s="337"/>
      <c r="AB203" s="307"/>
      <c r="AC203" s="310"/>
      <c r="AG203" s="117" t="s">
        <v>77</v>
      </c>
      <c r="AH203" s="117" t="s">
        <v>167</v>
      </c>
      <c r="AI203" s="117" t="s">
        <v>164</v>
      </c>
      <c r="AJ203" s="117" t="s">
        <v>166</v>
      </c>
      <c r="AK203" s="94" t="s">
        <v>106</v>
      </c>
      <c r="AL203" s="117" t="s">
        <v>162</v>
      </c>
      <c r="AM203" s="117" t="s">
        <v>629</v>
      </c>
      <c r="AN203" s="117"/>
      <c r="AO203" s="117"/>
      <c r="AP203" s="128"/>
      <c r="AQ203" s="117"/>
      <c r="AR203" s="89"/>
      <c r="AS203" s="89"/>
      <c r="AT203" s="89"/>
    </row>
    <row r="204" spans="1:46" s="82" customFormat="1" ht="15" customHeight="1" x14ac:dyDescent="0.25">
      <c r="A204" s="186"/>
      <c r="B204" s="367" t="s">
        <v>546</v>
      </c>
      <c r="C204" s="118" t="s">
        <v>627</v>
      </c>
      <c r="D204" s="119">
        <f>D186</f>
        <v>2644</v>
      </c>
      <c r="E204" s="120">
        <v>2482</v>
      </c>
      <c r="F204" s="121">
        <f>I187</f>
        <v>1329</v>
      </c>
      <c r="G204" s="120">
        <f>1247+E204</f>
        <v>3729</v>
      </c>
      <c r="H204" s="121">
        <v>3438</v>
      </c>
      <c r="I204" s="122">
        <f>G204-E204</f>
        <v>1247</v>
      </c>
      <c r="J204" s="123">
        <f>H204-F204</f>
        <v>2109</v>
      </c>
      <c r="K204" s="124"/>
      <c r="L204" s="122">
        <f>K204</f>
        <v>0</v>
      </c>
      <c r="M204" s="125">
        <f>IF(L204&gt;0, 100, 0)</f>
        <v>0</v>
      </c>
      <c r="N204" s="126"/>
      <c r="O204" s="127"/>
      <c r="P204" s="126"/>
      <c r="Q204" s="279"/>
      <c r="R204" s="126"/>
      <c r="S204" s="332"/>
      <c r="T204" s="338"/>
      <c r="U204" s="339"/>
      <c r="V204" s="338"/>
      <c r="W204" s="339"/>
      <c r="X204" s="338"/>
      <c r="Y204" s="339"/>
      <c r="Z204" s="338"/>
      <c r="AA204" s="339"/>
      <c r="AB204" s="300"/>
      <c r="AC204" s="127"/>
      <c r="AG204" s="108">
        <f>SUM(E213:L213)</f>
        <v>26.802602</v>
      </c>
      <c r="AH204" s="108">
        <f>SUM(E214:AC214)</f>
        <v>16.343997999999999</v>
      </c>
      <c r="AI204" s="286">
        <f>((E204*F204+H204*I204)-K204*M204-(R204*S204+T204*U204+V204*W204+X204*Y204+Z204*AA204+AB204*AC204)-P204*Q204)/1000000</f>
        <v>7.5857640000000002</v>
      </c>
      <c r="AJ204" s="117">
        <f>((E204*F204+H204*I204)-K204*M204-(R204*S204+T204*U204+V204*W204+X204*Y204+Z204*AA204+AB204*AC204)+N204*O204)/1000000</f>
        <v>7.5857640000000002</v>
      </c>
      <c r="AK204" s="108">
        <f>(SUM(E204:M204)-SUM(E205:M209))/1000</f>
        <v>9.6869999999999994</v>
      </c>
      <c r="AL204" s="108">
        <f>SUM(E215:J217)</f>
        <v>0</v>
      </c>
      <c r="AM204" s="159">
        <f>SUM(E218:J220)</f>
        <v>0</v>
      </c>
      <c r="AN204" s="117"/>
      <c r="AO204" s="117"/>
      <c r="AP204" s="128"/>
      <c r="AQ204" s="117"/>
      <c r="AR204" s="89"/>
      <c r="AS204" s="89"/>
      <c r="AT204" s="89"/>
    </row>
    <row r="205" spans="1:46" s="82" customFormat="1" ht="15" customHeight="1" x14ac:dyDescent="0.25">
      <c r="A205" s="186"/>
      <c r="B205" s="187"/>
      <c r="C205" s="131" t="s">
        <v>158</v>
      </c>
      <c r="D205" s="119">
        <f>D204</f>
        <v>2644</v>
      </c>
      <c r="E205" s="120"/>
      <c r="F205" s="121">
        <f>I187</f>
        <v>1329</v>
      </c>
      <c r="G205" s="121"/>
      <c r="H205" s="121"/>
      <c r="I205" s="121">
        <f>I204</f>
        <v>1247</v>
      </c>
      <c r="J205" s="132"/>
      <c r="K205" s="133"/>
      <c r="L205" s="129"/>
      <c r="M205" s="134"/>
      <c r="N205" s="135"/>
      <c r="O205" s="134"/>
      <c r="P205" s="135"/>
      <c r="Q205" s="280"/>
      <c r="R205" s="135"/>
      <c r="S205" s="333"/>
      <c r="T205" s="340"/>
      <c r="U205" s="341"/>
      <c r="V205" s="340"/>
      <c r="W205" s="341"/>
      <c r="X205" s="340"/>
      <c r="Y205" s="341"/>
      <c r="Z205" s="340"/>
      <c r="AA205" s="341"/>
      <c r="AB205" s="301"/>
      <c r="AC205" s="134"/>
      <c r="AG205" s="130"/>
      <c r="AH205" s="130"/>
      <c r="AI205" s="130"/>
      <c r="AJ205" s="130"/>
      <c r="AK205" s="130"/>
      <c r="AL205" s="130"/>
      <c r="AM205" s="130"/>
      <c r="AN205" s="117"/>
      <c r="AO205" s="117"/>
      <c r="AP205" s="128"/>
      <c r="AQ205" s="117"/>
      <c r="AR205" s="89"/>
      <c r="AS205" s="89"/>
      <c r="AT205" s="89"/>
    </row>
    <row r="206" spans="1:46" s="82" customFormat="1" ht="15" customHeight="1" x14ac:dyDescent="0.25">
      <c r="A206" s="186"/>
      <c r="B206" s="187"/>
      <c r="C206" s="131" t="s">
        <v>158</v>
      </c>
      <c r="D206" s="119">
        <f>IF(D$44 &lt;&gt; "",  D$44, D$26)</f>
        <v>2050</v>
      </c>
      <c r="E206" s="120"/>
      <c r="F206" s="121"/>
      <c r="G206" s="121"/>
      <c r="H206" s="121">
        <f>H44</f>
        <v>1271</v>
      </c>
      <c r="I206" s="121"/>
      <c r="J206" s="132"/>
      <c r="K206" s="133"/>
      <c r="L206" s="129"/>
      <c r="M206" s="134"/>
      <c r="N206" s="135"/>
      <c r="O206" s="134"/>
      <c r="P206" s="135"/>
      <c r="Q206" s="280"/>
      <c r="R206" s="135"/>
      <c r="S206" s="333"/>
      <c r="T206" s="340"/>
      <c r="U206" s="341"/>
      <c r="V206" s="340"/>
      <c r="W206" s="341"/>
      <c r="X206" s="340"/>
      <c r="Y206" s="341"/>
      <c r="Z206" s="340"/>
      <c r="AA206" s="341"/>
      <c r="AB206" s="301"/>
      <c r="AC206" s="134"/>
      <c r="AG206" s="130"/>
      <c r="AH206" s="130"/>
      <c r="AI206" s="130"/>
      <c r="AJ206" s="130"/>
      <c r="AK206" s="130"/>
      <c r="AL206" s="130"/>
      <c r="AM206" s="130"/>
      <c r="AN206" s="117"/>
      <c r="AO206" s="117"/>
      <c r="AP206" s="128"/>
      <c r="AQ206" s="117"/>
      <c r="AR206" s="89"/>
      <c r="AS206" s="89"/>
      <c r="AT206" s="89"/>
    </row>
    <row r="207" spans="1:46" s="82" customFormat="1" ht="15" customHeight="1" x14ac:dyDescent="0.25">
      <c r="A207" s="186"/>
      <c r="B207" s="187"/>
      <c r="C207" s="131" t="s">
        <v>159</v>
      </c>
      <c r="D207" s="136">
        <v>2100</v>
      </c>
      <c r="E207" s="120">
        <v>800</v>
      </c>
      <c r="F207" s="121"/>
      <c r="G207" s="121"/>
      <c r="H207" s="121"/>
      <c r="I207" s="121"/>
      <c r="J207" s="132"/>
      <c r="K207" s="133"/>
      <c r="L207" s="129"/>
      <c r="M207" s="134"/>
      <c r="N207" s="135"/>
      <c r="O207" s="134"/>
      <c r="P207" s="135"/>
      <c r="Q207" s="280"/>
      <c r="R207" s="135"/>
      <c r="S207" s="333"/>
      <c r="T207" s="340"/>
      <c r="U207" s="341"/>
      <c r="V207" s="340"/>
      <c r="W207" s="341"/>
      <c r="X207" s="340"/>
      <c r="Y207" s="341"/>
      <c r="Z207" s="340"/>
      <c r="AA207" s="341"/>
      <c r="AB207" s="301"/>
      <c r="AC207" s="134"/>
      <c r="AG207" s="117"/>
      <c r="AH207" s="117"/>
      <c r="AI207" s="117"/>
      <c r="AJ207" s="117"/>
      <c r="AK207" s="117"/>
      <c r="AL207" s="117"/>
      <c r="AM207" s="117"/>
      <c r="AN207" s="117"/>
      <c r="AO207" s="117"/>
      <c r="AP207" s="128"/>
      <c r="AQ207" s="117"/>
      <c r="AR207" s="89"/>
      <c r="AS207" s="89"/>
      <c r="AT207" s="89"/>
    </row>
    <row r="208" spans="1:46" s="82" customFormat="1" ht="15" customHeight="1" x14ac:dyDescent="0.25">
      <c r="A208" s="186"/>
      <c r="B208" s="187"/>
      <c r="C208" s="131" t="s">
        <v>159</v>
      </c>
      <c r="D208" s="136">
        <v>2100</v>
      </c>
      <c r="E208" s="120"/>
      <c r="F208" s="121"/>
      <c r="G208" s="121"/>
      <c r="H208" s="121"/>
      <c r="I208" s="121"/>
      <c r="J208" s="132"/>
      <c r="K208" s="133"/>
      <c r="L208" s="129"/>
      <c r="M208" s="134"/>
      <c r="N208" s="135"/>
      <c r="O208" s="134"/>
      <c r="P208" s="135"/>
      <c r="Q208" s="280"/>
      <c r="R208" s="135"/>
      <c r="S208" s="333"/>
      <c r="T208" s="340"/>
      <c r="U208" s="341"/>
      <c r="V208" s="340"/>
      <c r="W208" s="341"/>
      <c r="X208" s="340"/>
      <c r="Y208" s="341"/>
      <c r="Z208" s="340"/>
      <c r="AA208" s="341"/>
      <c r="AB208" s="301"/>
      <c r="AC208" s="134"/>
      <c r="AG208" s="117"/>
      <c r="AH208" s="117"/>
      <c r="AI208" s="117"/>
      <c r="AJ208" s="117"/>
      <c r="AK208" s="117"/>
      <c r="AL208" s="117"/>
      <c r="AM208" s="117"/>
      <c r="AN208" s="117"/>
      <c r="AO208" s="117"/>
      <c r="AP208" s="128"/>
      <c r="AQ208" s="117"/>
      <c r="AR208" s="89"/>
      <c r="AS208" s="89"/>
      <c r="AT208" s="89"/>
    </row>
    <row r="209" spans="1:46" s="82" customFormat="1" ht="15" customHeight="1" thickBot="1" x14ac:dyDescent="0.3">
      <c r="A209" s="186"/>
      <c r="B209" s="187"/>
      <c r="C209" s="131" t="s">
        <v>159</v>
      </c>
      <c r="D209" s="136">
        <v>2100</v>
      </c>
      <c r="E209" s="120"/>
      <c r="F209" s="121"/>
      <c r="G209" s="121"/>
      <c r="H209" s="121"/>
      <c r="I209" s="121"/>
      <c r="J209" s="132"/>
      <c r="K209" s="133"/>
      <c r="L209" s="129"/>
      <c r="M209" s="134"/>
      <c r="N209" s="135"/>
      <c r="O209" s="134"/>
      <c r="P209" s="135"/>
      <c r="Q209" s="280"/>
      <c r="R209" s="135"/>
      <c r="S209" s="333"/>
      <c r="T209" s="340"/>
      <c r="U209" s="341"/>
      <c r="V209" s="340"/>
      <c r="W209" s="341"/>
      <c r="X209" s="340"/>
      <c r="Y209" s="341"/>
      <c r="Z209" s="340"/>
      <c r="AA209" s="341"/>
      <c r="AB209" s="301"/>
      <c r="AC209" s="134"/>
      <c r="AG209" s="117"/>
      <c r="AH209" s="117"/>
      <c r="AI209" s="117"/>
      <c r="AJ209" s="117"/>
      <c r="AK209" s="117"/>
      <c r="AL209" s="117"/>
      <c r="AM209" s="117"/>
      <c r="AN209" s="117"/>
      <c r="AO209" s="117"/>
      <c r="AP209" s="128"/>
      <c r="AQ209" s="117"/>
      <c r="AR209" s="89"/>
      <c r="AS209" s="89"/>
      <c r="AT209" s="89"/>
    </row>
    <row r="210" spans="1:46" s="82" customFormat="1" ht="15" hidden="1" customHeight="1" x14ac:dyDescent="0.25">
      <c r="A210" s="186"/>
      <c r="B210" s="187"/>
      <c r="C210" s="131" t="s">
        <v>175</v>
      </c>
      <c r="D210" s="119">
        <v>1817</v>
      </c>
      <c r="E210" s="120"/>
      <c r="F210" s="121"/>
      <c r="G210" s="121"/>
      <c r="H210" s="121"/>
      <c r="I210" s="121"/>
      <c r="J210" s="132"/>
      <c r="K210" s="133"/>
      <c r="L210" s="129"/>
      <c r="M210" s="134"/>
      <c r="N210" s="135"/>
      <c r="O210" s="134"/>
      <c r="P210" s="135"/>
      <c r="Q210" s="280"/>
      <c r="R210" s="135"/>
      <c r="S210" s="333"/>
      <c r="T210" s="340"/>
      <c r="U210" s="341"/>
      <c r="V210" s="340"/>
      <c r="W210" s="341"/>
      <c r="X210" s="340"/>
      <c r="Y210" s="341"/>
      <c r="Z210" s="340"/>
      <c r="AA210" s="341"/>
      <c r="AB210" s="301"/>
      <c r="AC210" s="134"/>
      <c r="AG210" s="117"/>
      <c r="AH210" s="117"/>
      <c r="AI210" s="130"/>
      <c r="AJ210" s="130"/>
      <c r="AK210" s="117"/>
      <c r="AL210" s="117"/>
      <c r="AM210" s="117"/>
      <c r="AN210" s="117"/>
      <c r="AO210" s="117"/>
      <c r="AP210" s="128"/>
      <c r="AQ210" s="117"/>
      <c r="AR210" s="89"/>
      <c r="AS210" s="89"/>
      <c r="AT210" s="89"/>
    </row>
    <row r="211" spans="1:46" s="82" customFormat="1" ht="15" hidden="1" customHeight="1" x14ac:dyDescent="0.25">
      <c r="A211" s="186"/>
      <c r="B211" s="187"/>
      <c r="C211" s="131" t="s">
        <v>175</v>
      </c>
      <c r="D211" s="136">
        <f>D210</f>
        <v>1817</v>
      </c>
      <c r="E211" s="120"/>
      <c r="F211" s="121"/>
      <c r="G211" s="121"/>
      <c r="H211" s="121"/>
      <c r="I211" s="121"/>
      <c r="J211" s="132"/>
      <c r="K211" s="133"/>
      <c r="L211" s="129"/>
      <c r="M211" s="134"/>
      <c r="N211" s="135"/>
      <c r="O211" s="134"/>
      <c r="P211" s="135"/>
      <c r="Q211" s="280"/>
      <c r="R211" s="135"/>
      <c r="S211" s="333"/>
      <c r="T211" s="340"/>
      <c r="U211" s="341"/>
      <c r="V211" s="340"/>
      <c r="W211" s="341"/>
      <c r="X211" s="340"/>
      <c r="Y211" s="341"/>
      <c r="Z211" s="340"/>
      <c r="AA211" s="341"/>
      <c r="AB211" s="301"/>
      <c r="AC211" s="134"/>
      <c r="AG211" s="117"/>
      <c r="AH211" s="117"/>
      <c r="AI211" s="130"/>
      <c r="AJ211" s="130"/>
      <c r="AK211" s="117"/>
      <c r="AL211" s="117"/>
      <c r="AM211" s="117"/>
      <c r="AN211" s="117"/>
      <c r="AO211" s="117"/>
      <c r="AP211" s="128"/>
      <c r="AQ211" s="117"/>
      <c r="AR211" s="89"/>
      <c r="AS211" s="89"/>
      <c r="AT211" s="89"/>
    </row>
    <row r="212" spans="1:46" s="82" customFormat="1" ht="15" hidden="1" customHeight="1" x14ac:dyDescent="0.25">
      <c r="A212" s="186"/>
      <c r="B212" s="187"/>
      <c r="C212" s="131" t="s">
        <v>175</v>
      </c>
      <c r="D212" s="136">
        <f>D210</f>
        <v>1817</v>
      </c>
      <c r="E212" s="120"/>
      <c r="F212" s="121"/>
      <c r="G212" s="121"/>
      <c r="H212" s="121"/>
      <c r="I212" s="121"/>
      <c r="J212" s="132"/>
      <c r="K212" s="133"/>
      <c r="L212" s="129"/>
      <c r="M212" s="134"/>
      <c r="N212" s="135"/>
      <c r="O212" s="134"/>
      <c r="P212" s="135"/>
      <c r="Q212" s="280"/>
      <c r="R212" s="135"/>
      <c r="S212" s="333"/>
      <c r="T212" s="340"/>
      <c r="U212" s="341"/>
      <c r="V212" s="340"/>
      <c r="W212" s="341"/>
      <c r="X212" s="340"/>
      <c r="Y212" s="341"/>
      <c r="Z212" s="340"/>
      <c r="AA212" s="341"/>
      <c r="AB212" s="301"/>
      <c r="AC212" s="134"/>
      <c r="AG212" s="117"/>
      <c r="AH212" s="117"/>
      <c r="AI212" s="130"/>
      <c r="AJ212" s="130"/>
      <c r="AK212" s="117"/>
      <c r="AL212" s="117"/>
      <c r="AM212" s="117"/>
      <c r="AN212" s="117"/>
      <c r="AO212" s="117"/>
      <c r="AP212" s="128"/>
      <c r="AQ212" s="117"/>
      <c r="AR212" s="89"/>
      <c r="AS212" s="89"/>
      <c r="AT212" s="89"/>
    </row>
    <row r="213" spans="1:46" s="82" customFormat="1" ht="15" hidden="1" customHeight="1" x14ac:dyDescent="0.25">
      <c r="A213" s="190"/>
      <c r="B213" s="191"/>
      <c r="C213" s="163" t="s">
        <v>160</v>
      </c>
      <c r="D213" s="164"/>
      <c r="E213" s="165">
        <f t="shared" ref="E213:M213" si="97">(E204*$D204-E205*$D205-E206*$D206-E207*$D207-E208*$D208-E209*$D209-E210*$D210-E211*$D211-E212*$D212)/1000000</f>
        <v>4.8824079999999999</v>
      </c>
      <c r="F213" s="165">
        <f t="shared" si="97"/>
        <v>0</v>
      </c>
      <c r="G213" s="165">
        <f t="shared" si="97"/>
        <v>9.8594760000000008</v>
      </c>
      <c r="H213" s="165">
        <f t="shared" si="97"/>
        <v>6.4845220000000001</v>
      </c>
      <c r="I213" s="165">
        <f t="shared" si="97"/>
        <v>0</v>
      </c>
      <c r="J213" s="166">
        <f t="shared" si="97"/>
        <v>5.5761960000000004</v>
      </c>
      <c r="K213" s="167">
        <f t="shared" si="97"/>
        <v>0</v>
      </c>
      <c r="L213" s="165">
        <f t="shared" si="97"/>
        <v>0</v>
      </c>
      <c r="M213" s="165">
        <f t="shared" si="97"/>
        <v>0</v>
      </c>
      <c r="N213" s="169"/>
      <c r="O213" s="170"/>
      <c r="P213" s="169"/>
      <c r="Q213" s="281"/>
      <c r="R213" s="327">
        <f t="shared" ref="R213:AC213" si="98">(R204*$D204)/1000000</f>
        <v>0</v>
      </c>
      <c r="S213" s="143">
        <f t="shared" si="98"/>
        <v>0</v>
      </c>
      <c r="T213" s="342">
        <f t="shared" si="98"/>
        <v>0</v>
      </c>
      <c r="U213" s="343">
        <f t="shared" si="98"/>
        <v>0</v>
      </c>
      <c r="V213" s="342">
        <f t="shared" si="98"/>
        <v>0</v>
      </c>
      <c r="W213" s="343">
        <f t="shared" si="98"/>
        <v>0</v>
      </c>
      <c r="X213" s="342">
        <f t="shared" ref="X213:AA213" si="99">(X204*$D204)/1000000</f>
        <v>0</v>
      </c>
      <c r="Y213" s="343">
        <f t="shared" si="99"/>
        <v>0</v>
      </c>
      <c r="Z213" s="342">
        <f t="shared" si="99"/>
        <v>0</v>
      </c>
      <c r="AA213" s="343">
        <f t="shared" si="99"/>
        <v>0</v>
      </c>
      <c r="AB213" s="142">
        <f t="shared" si="98"/>
        <v>0</v>
      </c>
      <c r="AC213" s="168">
        <f t="shared" si="98"/>
        <v>0</v>
      </c>
      <c r="AG213" s="117"/>
      <c r="AH213" s="117"/>
      <c r="AI213" s="130"/>
      <c r="AJ213" s="130"/>
      <c r="AK213" s="117"/>
      <c r="AL213" s="117"/>
      <c r="AM213" s="117"/>
      <c r="AN213" s="117"/>
      <c r="AO213" s="117"/>
      <c r="AP213" s="128"/>
      <c r="AQ213" s="117"/>
      <c r="AR213" s="89"/>
      <c r="AS213" s="89"/>
      <c r="AT213" s="89"/>
    </row>
    <row r="214" spans="1:46" s="82" customFormat="1" ht="15" hidden="1" customHeight="1" x14ac:dyDescent="0.25">
      <c r="A214" s="186"/>
      <c r="B214" s="187"/>
      <c r="C214" s="109" t="s">
        <v>163</v>
      </c>
      <c r="D214" s="136"/>
      <c r="E214" s="137">
        <f t="shared" ref="E214:M214" si="100">E213*E203</f>
        <v>0</v>
      </c>
      <c r="F214" s="137">
        <f t="shared" si="100"/>
        <v>0</v>
      </c>
      <c r="G214" s="137">
        <f t="shared" si="100"/>
        <v>9.8594760000000008</v>
      </c>
      <c r="H214" s="137">
        <f t="shared" si="100"/>
        <v>6.4845220000000001</v>
      </c>
      <c r="I214" s="137">
        <f t="shared" si="100"/>
        <v>0</v>
      </c>
      <c r="J214" s="138">
        <f t="shared" si="100"/>
        <v>0</v>
      </c>
      <c r="K214" s="139">
        <f t="shared" si="100"/>
        <v>0</v>
      </c>
      <c r="L214" s="137">
        <f t="shared" si="100"/>
        <v>0</v>
      </c>
      <c r="M214" s="140">
        <f t="shared" si="100"/>
        <v>0</v>
      </c>
      <c r="N214" s="141"/>
      <c r="O214" s="125"/>
      <c r="P214" s="141"/>
      <c r="Q214" s="282"/>
      <c r="R214" s="139">
        <f t="shared" ref="R214:AC214" si="101">R213*R203</f>
        <v>0</v>
      </c>
      <c r="S214" s="138">
        <f t="shared" si="101"/>
        <v>0</v>
      </c>
      <c r="T214" s="342">
        <f t="shared" si="101"/>
        <v>0</v>
      </c>
      <c r="U214" s="344">
        <f t="shared" si="101"/>
        <v>0</v>
      </c>
      <c r="V214" s="342">
        <f t="shared" si="101"/>
        <v>0</v>
      </c>
      <c r="W214" s="344">
        <f t="shared" si="101"/>
        <v>0</v>
      </c>
      <c r="X214" s="342">
        <f t="shared" ref="X214:AA214" si="102">X213*X203</f>
        <v>0</v>
      </c>
      <c r="Y214" s="344">
        <f t="shared" si="102"/>
        <v>0</v>
      </c>
      <c r="Z214" s="342">
        <f t="shared" si="102"/>
        <v>0</v>
      </c>
      <c r="AA214" s="344">
        <f t="shared" si="102"/>
        <v>0</v>
      </c>
      <c r="AB214" s="137">
        <f t="shared" si="101"/>
        <v>0</v>
      </c>
      <c r="AC214" s="140">
        <f t="shared" si="101"/>
        <v>0</v>
      </c>
      <c r="AG214" s="117"/>
      <c r="AH214" s="117"/>
      <c r="AI214" s="130"/>
      <c r="AJ214" s="130"/>
      <c r="AK214" s="117"/>
      <c r="AL214" s="117"/>
      <c r="AM214" s="117"/>
      <c r="AN214" s="117"/>
      <c r="AO214" s="117"/>
      <c r="AP214" s="128"/>
      <c r="AQ214" s="117"/>
      <c r="AR214" s="89"/>
      <c r="AS214" s="89"/>
      <c r="AT214" s="89"/>
    </row>
    <row r="215" spans="1:46" s="82" customFormat="1" ht="15" hidden="1" customHeight="1" x14ac:dyDescent="0.25">
      <c r="A215" s="186"/>
      <c r="B215" s="187"/>
      <c r="C215" s="109" t="s">
        <v>176</v>
      </c>
      <c r="D215" s="136"/>
      <c r="E215" s="137">
        <f t="shared" ref="E215:J217" si="103">IF(E210&gt;0, (E210+$D210*2)/1000, 0)</f>
        <v>0</v>
      </c>
      <c r="F215" s="142">
        <f t="shared" si="103"/>
        <v>0</v>
      </c>
      <c r="G215" s="142">
        <f t="shared" si="103"/>
        <v>0</v>
      </c>
      <c r="H215" s="142">
        <f t="shared" si="103"/>
        <v>0</v>
      </c>
      <c r="I215" s="142">
        <f t="shared" si="103"/>
        <v>0</v>
      </c>
      <c r="J215" s="143">
        <f t="shared" si="103"/>
        <v>0</v>
      </c>
      <c r="K215" s="139"/>
      <c r="L215" s="142"/>
      <c r="M215" s="144"/>
      <c r="N215" s="141"/>
      <c r="O215" s="125"/>
      <c r="P215" s="141"/>
      <c r="Q215" s="282"/>
      <c r="R215" s="141"/>
      <c r="S215" s="334"/>
      <c r="T215" s="345"/>
      <c r="U215" s="346"/>
      <c r="V215" s="345"/>
      <c r="W215" s="346"/>
      <c r="X215" s="345"/>
      <c r="Y215" s="346"/>
      <c r="Z215" s="345"/>
      <c r="AA215" s="346"/>
      <c r="AB215" s="302"/>
      <c r="AC215" s="125"/>
      <c r="AG215" s="117"/>
      <c r="AH215" s="117"/>
      <c r="AI215" s="130"/>
      <c r="AJ215" s="130"/>
      <c r="AK215" s="117"/>
      <c r="AL215" s="117"/>
      <c r="AM215" s="117"/>
      <c r="AN215" s="117"/>
      <c r="AO215" s="117"/>
      <c r="AP215" s="128"/>
      <c r="AQ215" s="117"/>
      <c r="AR215" s="89"/>
      <c r="AS215" s="89"/>
      <c r="AT215" s="89"/>
    </row>
    <row r="216" spans="1:46" s="82" customFormat="1" ht="15" hidden="1" customHeight="1" x14ac:dyDescent="0.25">
      <c r="A216" s="192"/>
      <c r="B216" s="193"/>
      <c r="C216" s="109" t="s">
        <v>176</v>
      </c>
      <c r="D216" s="136"/>
      <c r="E216" s="137">
        <f t="shared" si="103"/>
        <v>0</v>
      </c>
      <c r="F216" s="142">
        <f t="shared" si="103"/>
        <v>0</v>
      </c>
      <c r="G216" s="142">
        <f t="shared" si="103"/>
        <v>0</v>
      </c>
      <c r="H216" s="142">
        <f t="shared" si="103"/>
        <v>0</v>
      </c>
      <c r="I216" s="142">
        <f t="shared" si="103"/>
        <v>0</v>
      </c>
      <c r="J216" s="143">
        <f t="shared" si="103"/>
        <v>0</v>
      </c>
      <c r="K216" s="139"/>
      <c r="L216" s="142"/>
      <c r="M216" s="144"/>
      <c r="N216" s="141"/>
      <c r="O216" s="125"/>
      <c r="P216" s="141"/>
      <c r="Q216" s="282"/>
      <c r="R216" s="141"/>
      <c r="S216" s="334"/>
      <c r="T216" s="345"/>
      <c r="U216" s="346"/>
      <c r="V216" s="345"/>
      <c r="W216" s="346"/>
      <c r="X216" s="345"/>
      <c r="Y216" s="346"/>
      <c r="Z216" s="345"/>
      <c r="AA216" s="346"/>
      <c r="AB216" s="302"/>
      <c r="AC216" s="125"/>
      <c r="AG216" s="117"/>
      <c r="AH216" s="117"/>
      <c r="AI216" s="130"/>
      <c r="AJ216" s="130"/>
      <c r="AK216" s="117"/>
      <c r="AL216" s="117"/>
      <c r="AM216" s="117"/>
      <c r="AN216" s="117"/>
      <c r="AO216" s="117"/>
      <c r="AP216" s="128"/>
      <c r="AQ216" s="117"/>
      <c r="AR216" s="89"/>
      <c r="AS216" s="89"/>
      <c r="AT216" s="89"/>
    </row>
    <row r="217" spans="1:46" s="82" customFormat="1" ht="15" hidden="1" customHeight="1" x14ac:dyDescent="0.25">
      <c r="A217" s="192"/>
      <c r="B217" s="193"/>
      <c r="C217" s="109" t="s">
        <v>176</v>
      </c>
      <c r="D217" s="136"/>
      <c r="E217" s="137">
        <f t="shared" si="103"/>
        <v>0</v>
      </c>
      <c r="F217" s="142">
        <f t="shared" si="103"/>
        <v>0</v>
      </c>
      <c r="G217" s="142">
        <f t="shared" si="103"/>
        <v>0</v>
      </c>
      <c r="H217" s="142">
        <f t="shared" si="103"/>
        <v>0</v>
      </c>
      <c r="I217" s="142">
        <f t="shared" si="103"/>
        <v>0</v>
      </c>
      <c r="J217" s="143">
        <f t="shared" si="103"/>
        <v>0</v>
      </c>
      <c r="K217" s="139"/>
      <c r="L217" s="142"/>
      <c r="M217" s="144"/>
      <c r="N217" s="141"/>
      <c r="O217" s="125"/>
      <c r="P217" s="141"/>
      <c r="Q217" s="282"/>
      <c r="R217" s="141"/>
      <c r="S217" s="334"/>
      <c r="T217" s="345"/>
      <c r="U217" s="346"/>
      <c r="V217" s="345"/>
      <c r="W217" s="346"/>
      <c r="X217" s="345"/>
      <c r="Y217" s="346"/>
      <c r="Z217" s="345"/>
      <c r="AA217" s="346"/>
      <c r="AB217" s="302"/>
      <c r="AC217" s="125"/>
      <c r="AG217" s="117"/>
      <c r="AH217" s="117"/>
      <c r="AI217" s="130"/>
      <c r="AJ217" s="130"/>
      <c r="AK217" s="117"/>
      <c r="AL217" s="117"/>
      <c r="AM217" s="117"/>
      <c r="AN217" s="117"/>
      <c r="AO217" s="117"/>
      <c r="AP217" s="128"/>
      <c r="AQ217" s="117"/>
      <c r="AR217" s="89"/>
      <c r="AS217" s="89"/>
      <c r="AT217" s="89"/>
    </row>
    <row r="218" spans="1:46" s="82" customFormat="1" ht="15" hidden="1" customHeight="1" x14ac:dyDescent="0.25">
      <c r="A218" s="194"/>
      <c r="B218" s="195"/>
      <c r="C218" s="109" t="s">
        <v>628</v>
      </c>
      <c r="D218" s="136"/>
      <c r="E218" s="137">
        <f t="shared" ref="E218:J220" si="104">IF(E210&gt;0, (E210+$D210)*2/1000, 0)</f>
        <v>0</v>
      </c>
      <c r="F218" s="142">
        <f t="shared" si="104"/>
        <v>0</v>
      </c>
      <c r="G218" s="142">
        <f t="shared" si="104"/>
        <v>0</v>
      </c>
      <c r="H218" s="142">
        <f t="shared" si="104"/>
        <v>0</v>
      </c>
      <c r="I218" s="142">
        <f t="shared" si="104"/>
        <v>0</v>
      </c>
      <c r="J218" s="143">
        <f t="shared" si="104"/>
        <v>0</v>
      </c>
      <c r="K218" s="139"/>
      <c r="L218" s="142"/>
      <c r="M218" s="144"/>
      <c r="N218" s="141"/>
      <c r="O218" s="125"/>
      <c r="P218" s="141"/>
      <c r="Q218" s="282"/>
      <c r="R218" s="141"/>
      <c r="S218" s="334"/>
      <c r="T218" s="345"/>
      <c r="U218" s="346"/>
      <c r="V218" s="345"/>
      <c r="W218" s="346"/>
      <c r="X218" s="345"/>
      <c r="Y218" s="346"/>
      <c r="Z218" s="345"/>
      <c r="AA218" s="346"/>
      <c r="AB218" s="302"/>
      <c r="AC218" s="125"/>
      <c r="AG218" s="117"/>
      <c r="AH218" s="117"/>
      <c r="AI218" s="130"/>
      <c r="AJ218" s="130"/>
      <c r="AK218" s="117"/>
      <c r="AL218" s="117"/>
      <c r="AM218" s="117"/>
      <c r="AN218" s="117"/>
      <c r="AO218" s="117"/>
      <c r="AP218" s="128"/>
      <c r="AQ218" s="117"/>
      <c r="AR218" s="89"/>
      <c r="AS218" s="89"/>
      <c r="AT218" s="89"/>
    </row>
    <row r="219" spans="1:46" s="82" customFormat="1" ht="15" hidden="1" customHeight="1" x14ac:dyDescent="0.25">
      <c r="A219" s="186"/>
      <c r="B219" s="187"/>
      <c r="C219" s="109" t="s">
        <v>628</v>
      </c>
      <c r="D219" s="136"/>
      <c r="E219" s="137">
        <f t="shared" si="104"/>
        <v>0</v>
      </c>
      <c r="F219" s="142">
        <f t="shared" si="104"/>
        <v>0</v>
      </c>
      <c r="G219" s="142">
        <f t="shared" si="104"/>
        <v>0</v>
      </c>
      <c r="H219" s="142">
        <f t="shared" si="104"/>
        <v>0</v>
      </c>
      <c r="I219" s="142">
        <f t="shared" si="104"/>
        <v>0</v>
      </c>
      <c r="J219" s="143">
        <f t="shared" si="104"/>
        <v>0</v>
      </c>
      <c r="K219" s="139"/>
      <c r="L219" s="142"/>
      <c r="M219" s="144"/>
      <c r="N219" s="141"/>
      <c r="O219" s="125"/>
      <c r="P219" s="141"/>
      <c r="Q219" s="282"/>
      <c r="R219" s="141"/>
      <c r="S219" s="334"/>
      <c r="T219" s="345"/>
      <c r="U219" s="346"/>
      <c r="V219" s="345"/>
      <c r="W219" s="346"/>
      <c r="X219" s="345"/>
      <c r="Y219" s="346"/>
      <c r="Z219" s="345"/>
      <c r="AA219" s="346"/>
      <c r="AB219" s="302"/>
      <c r="AC219" s="125"/>
      <c r="AG219" s="117"/>
      <c r="AH219" s="117"/>
      <c r="AI219" s="130"/>
      <c r="AJ219" s="130"/>
      <c r="AK219" s="117"/>
      <c r="AL219" s="117"/>
      <c r="AM219" s="117"/>
      <c r="AN219" s="117"/>
      <c r="AO219" s="117"/>
      <c r="AP219" s="128"/>
      <c r="AQ219" s="117"/>
      <c r="AR219" s="89"/>
      <c r="AS219" s="89"/>
      <c r="AT219" s="89"/>
    </row>
    <row r="220" spans="1:46" s="82" customFormat="1" ht="15" hidden="1" customHeight="1" thickBot="1" x14ac:dyDescent="0.3">
      <c r="A220" s="188"/>
      <c r="B220" s="189"/>
      <c r="C220" s="109" t="s">
        <v>628</v>
      </c>
      <c r="D220" s="145"/>
      <c r="E220" s="146">
        <f t="shared" si="104"/>
        <v>0</v>
      </c>
      <c r="F220" s="147">
        <f t="shared" si="104"/>
        <v>0</v>
      </c>
      <c r="G220" s="147">
        <f t="shared" si="104"/>
        <v>0</v>
      </c>
      <c r="H220" s="147">
        <f t="shared" si="104"/>
        <v>0</v>
      </c>
      <c r="I220" s="147">
        <f t="shared" si="104"/>
        <v>0</v>
      </c>
      <c r="J220" s="148">
        <f t="shared" si="104"/>
        <v>0</v>
      </c>
      <c r="K220" s="149"/>
      <c r="L220" s="147"/>
      <c r="M220" s="150"/>
      <c r="N220" s="151"/>
      <c r="O220" s="152"/>
      <c r="P220" s="151"/>
      <c r="Q220" s="283"/>
      <c r="R220" s="151"/>
      <c r="S220" s="335"/>
      <c r="T220" s="347"/>
      <c r="U220" s="348"/>
      <c r="V220" s="347"/>
      <c r="W220" s="348"/>
      <c r="X220" s="347"/>
      <c r="Y220" s="348"/>
      <c r="Z220" s="347"/>
      <c r="AA220" s="348"/>
      <c r="AB220" s="303"/>
      <c r="AC220" s="152"/>
      <c r="AG220" s="117"/>
      <c r="AH220" s="117"/>
      <c r="AI220" s="130"/>
      <c r="AJ220" s="130"/>
      <c r="AK220" s="117"/>
      <c r="AL220" s="117"/>
      <c r="AM220" s="117"/>
      <c r="AN220" s="117"/>
      <c r="AO220" s="117"/>
      <c r="AP220" s="128"/>
      <c r="AQ220" s="117"/>
      <c r="AR220" s="89"/>
      <c r="AS220" s="89"/>
      <c r="AT220" s="89"/>
    </row>
    <row r="221" spans="1:46" s="82" customFormat="1" ht="15" customHeight="1" x14ac:dyDescent="0.25">
      <c r="A221" s="181"/>
      <c r="B221" s="185" t="s">
        <v>549</v>
      </c>
      <c r="C221" s="105" t="s">
        <v>165</v>
      </c>
      <c r="D221" s="162"/>
      <c r="E221" s="306"/>
      <c r="F221" s="307"/>
      <c r="G221" s="307">
        <v>1</v>
      </c>
      <c r="H221" s="307">
        <v>1</v>
      </c>
      <c r="I221" s="307">
        <v>1</v>
      </c>
      <c r="J221" s="308">
        <v>1</v>
      </c>
      <c r="K221" s="309"/>
      <c r="L221" s="307"/>
      <c r="M221" s="310"/>
      <c r="N221" s="106"/>
      <c r="O221" s="107"/>
      <c r="P221" s="106"/>
      <c r="Q221" s="278"/>
      <c r="R221" s="309"/>
      <c r="S221" s="308"/>
      <c r="T221" s="336"/>
      <c r="U221" s="337"/>
      <c r="V221" s="336"/>
      <c r="W221" s="337"/>
      <c r="X221" s="336"/>
      <c r="Y221" s="337"/>
      <c r="Z221" s="336"/>
      <c r="AA221" s="337"/>
      <c r="AB221" s="307"/>
      <c r="AC221" s="310"/>
      <c r="AG221" s="117" t="s">
        <v>77</v>
      </c>
      <c r="AH221" s="117" t="s">
        <v>167</v>
      </c>
      <c r="AI221" s="117" t="s">
        <v>164</v>
      </c>
      <c r="AJ221" s="117" t="s">
        <v>166</v>
      </c>
      <c r="AK221" s="94" t="s">
        <v>106</v>
      </c>
      <c r="AL221" s="117" t="s">
        <v>162</v>
      </c>
      <c r="AM221" s="117" t="s">
        <v>629</v>
      </c>
      <c r="AN221" s="117"/>
      <c r="AO221" s="117"/>
      <c r="AP221" s="128"/>
      <c r="AQ221" s="117"/>
      <c r="AR221" s="89"/>
      <c r="AS221" s="89"/>
      <c r="AT221" s="89"/>
    </row>
    <row r="222" spans="1:46" s="82" customFormat="1" ht="15" customHeight="1" x14ac:dyDescent="0.25">
      <c r="A222" s="186"/>
      <c r="B222" s="367" t="s">
        <v>546</v>
      </c>
      <c r="C222" s="118" t="s">
        <v>627</v>
      </c>
      <c r="D222" s="119">
        <v>2645</v>
      </c>
      <c r="E222" s="120"/>
      <c r="F222" s="121"/>
      <c r="G222" s="121">
        <v>2889</v>
      </c>
      <c r="H222" s="121">
        <v>2836</v>
      </c>
      <c r="I222" s="122">
        <f>G222-E222</f>
        <v>2889</v>
      </c>
      <c r="J222" s="123">
        <f>H222-F222</f>
        <v>2836</v>
      </c>
      <c r="K222" s="124"/>
      <c r="L222" s="122">
        <f>K222</f>
        <v>0</v>
      </c>
      <c r="M222" s="125">
        <f>IF(L222&gt;0, 100, 0)</f>
        <v>0</v>
      </c>
      <c r="N222" s="126"/>
      <c r="O222" s="127"/>
      <c r="P222" s="126"/>
      <c r="Q222" s="279"/>
      <c r="R222" s="126"/>
      <c r="S222" s="332"/>
      <c r="T222" s="338"/>
      <c r="U222" s="339"/>
      <c r="V222" s="338"/>
      <c r="W222" s="339"/>
      <c r="X222" s="338"/>
      <c r="Y222" s="339"/>
      <c r="Z222" s="338"/>
      <c r="AA222" s="339"/>
      <c r="AB222" s="300"/>
      <c r="AC222" s="127"/>
      <c r="AG222" s="108">
        <f>SUM(E231:L231)</f>
        <v>19.846935000000002</v>
      </c>
      <c r="AH222" s="108">
        <f>SUM(E232:AC232)</f>
        <v>19.846935000000002</v>
      </c>
      <c r="AI222" s="286">
        <f>((E222*F222+H222*I222)-K222*M222-(R222*S222+T222*U222+V222*W222+X222*Y222+Z222*AA222+AB222*AC222)-P222*Q222)/1000000</f>
        <v>8.1932039999999997</v>
      </c>
      <c r="AJ222" s="117">
        <f>((E222*F222+H222*I222)-K222*M222-(R222*S222+T222*U222+V222*W222+X222*Y222+Z222*AA222+AB222*AC222)+N222*O222)/1000000</f>
        <v>8.1932039999999997</v>
      </c>
      <c r="AK222" s="108">
        <f>(SUM(E222:M222)-SUM(E223:M227))/1000</f>
        <v>6.8029999999999999</v>
      </c>
      <c r="AL222" s="108">
        <f>SUM(E233:J235)</f>
        <v>0</v>
      </c>
      <c r="AM222" s="159">
        <f>SUM(E236:J238)</f>
        <v>0</v>
      </c>
      <c r="AN222" s="117"/>
      <c r="AO222" s="117"/>
      <c r="AP222" s="128"/>
      <c r="AQ222" s="117"/>
      <c r="AR222" s="89"/>
      <c r="AS222" s="89"/>
      <c r="AT222" s="89"/>
    </row>
    <row r="223" spans="1:46" s="82" customFormat="1" ht="15" customHeight="1" x14ac:dyDescent="0.25">
      <c r="A223" s="186"/>
      <c r="B223" s="187"/>
      <c r="C223" s="131" t="s">
        <v>158</v>
      </c>
      <c r="D223" s="119">
        <f>D222</f>
        <v>2645</v>
      </c>
      <c r="E223" s="120"/>
      <c r="F223" s="121"/>
      <c r="G223" s="121">
        <f>I205</f>
        <v>1247</v>
      </c>
      <c r="H223" s="121"/>
      <c r="I223" s="121"/>
      <c r="J223" s="132"/>
      <c r="K223" s="133"/>
      <c r="L223" s="129"/>
      <c r="M223" s="134"/>
      <c r="N223" s="135"/>
      <c r="O223" s="134"/>
      <c r="P223" s="135"/>
      <c r="Q223" s="280"/>
      <c r="R223" s="135"/>
      <c r="S223" s="333"/>
      <c r="T223" s="340"/>
      <c r="U223" s="341"/>
      <c r="V223" s="340"/>
      <c r="W223" s="341"/>
      <c r="X223" s="340"/>
      <c r="Y223" s="341"/>
      <c r="Z223" s="340"/>
      <c r="AA223" s="341"/>
      <c r="AB223" s="301"/>
      <c r="AC223" s="134"/>
      <c r="AG223" s="130"/>
      <c r="AH223" s="130"/>
      <c r="AI223" s="130"/>
      <c r="AJ223" s="130"/>
      <c r="AK223" s="130"/>
      <c r="AL223" s="130"/>
      <c r="AM223" s="130"/>
      <c r="AN223" s="117"/>
      <c r="AO223" s="117"/>
      <c r="AP223" s="128"/>
      <c r="AQ223" s="117"/>
      <c r="AR223" s="89"/>
      <c r="AS223" s="89"/>
      <c r="AT223" s="89"/>
    </row>
    <row r="224" spans="1:46" s="82" customFormat="1" ht="15" customHeight="1" x14ac:dyDescent="0.25">
      <c r="A224" s="186"/>
      <c r="B224" s="187"/>
      <c r="C224" s="131" t="s">
        <v>158</v>
      </c>
      <c r="D224" s="119"/>
      <c r="E224" s="120"/>
      <c r="F224" s="121"/>
      <c r="G224" s="121"/>
      <c r="H224" s="121"/>
      <c r="I224" s="121"/>
      <c r="J224" s="132"/>
      <c r="K224" s="133"/>
      <c r="L224" s="129"/>
      <c r="M224" s="134"/>
      <c r="N224" s="135"/>
      <c r="O224" s="134"/>
      <c r="P224" s="135"/>
      <c r="Q224" s="280"/>
      <c r="R224" s="135"/>
      <c r="S224" s="333"/>
      <c r="T224" s="340"/>
      <c r="U224" s="341"/>
      <c r="V224" s="340"/>
      <c r="W224" s="341"/>
      <c r="X224" s="340"/>
      <c r="Y224" s="341"/>
      <c r="Z224" s="340"/>
      <c r="AA224" s="341"/>
      <c r="AB224" s="301"/>
      <c r="AC224" s="134"/>
      <c r="AG224" s="130"/>
      <c r="AH224" s="130"/>
      <c r="AI224" s="130"/>
      <c r="AJ224" s="130"/>
      <c r="AK224" s="130"/>
      <c r="AL224" s="130"/>
      <c r="AM224" s="130"/>
      <c r="AN224" s="117"/>
      <c r="AO224" s="117"/>
      <c r="AP224" s="128"/>
      <c r="AQ224" s="117"/>
      <c r="AR224" s="89"/>
      <c r="AS224" s="89"/>
      <c r="AT224" s="89"/>
    </row>
    <row r="225" spans="1:46" s="82" customFormat="1" ht="15" customHeight="1" x14ac:dyDescent="0.25">
      <c r="A225" s="186"/>
      <c r="B225" s="187"/>
      <c r="C225" s="131" t="s">
        <v>159</v>
      </c>
      <c r="D225" s="136">
        <v>2100</v>
      </c>
      <c r="E225" s="120"/>
      <c r="F225" s="121"/>
      <c r="G225" s="121"/>
      <c r="H225" s="121">
        <v>800</v>
      </c>
      <c r="I225" s="121">
        <v>900</v>
      </c>
      <c r="J225" s="132"/>
      <c r="K225" s="133"/>
      <c r="L225" s="129"/>
      <c r="M225" s="134"/>
      <c r="N225" s="135"/>
      <c r="O225" s="134"/>
      <c r="P225" s="135"/>
      <c r="Q225" s="280"/>
      <c r="R225" s="135"/>
      <c r="S225" s="333"/>
      <c r="T225" s="340"/>
      <c r="U225" s="341"/>
      <c r="V225" s="340"/>
      <c r="W225" s="341"/>
      <c r="X225" s="340"/>
      <c r="Y225" s="341"/>
      <c r="Z225" s="340"/>
      <c r="AA225" s="341"/>
      <c r="AB225" s="301"/>
      <c r="AC225" s="134"/>
      <c r="AG225" s="117"/>
      <c r="AH225" s="117"/>
      <c r="AI225" s="117"/>
      <c r="AJ225" s="117"/>
      <c r="AK225" s="117"/>
      <c r="AL225" s="117"/>
      <c r="AM225" s="117"/>
      <c r="AN225" s="117"/>
      <c r="AO225" s="117"/>
      <c r="AP225" s="128"/>
      <c r="AQ225" s="117"/>
      <c r="AR225" s="89"/>
      <c r="AS225" s="89"/>
      <c r="AT225" s="89"/>
    </row>
    <row r="226" spans="1:46" s="82" customFormat="1" ht="15" customHeight="1" x14ac:dyDescent="0.25">
      <c r="A226" s="186"/>
      <c r="B226" s="187"/>
      <c r="C226" s="131" t="s">
        <v>159</v>
      </c>
      <c r="D226" s="136">
        <v>2100</v>
      </c>
      <c r="E226" s="120"/>
      <c r="F226" s="121"/>
      <c r="G226" s="121"/>
      <c r="H226" s="121"/>
      <c r="I226" s="121">
        <v>900</v>
      </c>
      <c r="J226" s="132">
        <v>800</v>
      </c>
      <c r="K226" s="133"/>
      <c r="L226" s="129"/>
      <c r="M226" s="134"/>
      <c r="N226" s="135"/>
      <c r="O226" s="134"/>
      <c r="P226" s="135"/>
      <c r="Q226" s="280"/>
      <c r="R226" s="135"/>
      <c r="S226" s="333"/>
      <c r="T226" s="340"/>
      <c r="U226" s="341"/>
      <c r="V226" s="340"/>
      <c r="W226" s="341"/>
      <c r="X226" s="340"/>
      <c r="Y226" s="341"/>
      <c r="Z226" s="340"/>
      <c r="AA226" s="341"/>
      <c r="AB226" s="301"/>
      <c r="AC226" s="134"/>
      <c r="AG226" s="117"/>
      <c r="AH226" s="117"/>
      <c r="AI226" s="117"/>
      <c r="AJ226" s="117"/>
      <c r="AK226" s="117"/>
      <c r="AL226" s="117"/>
      <c r="AM226" s="117"/>
      <c r="AN226" s="117"/>
      <c r="AO226" s="117"/>
      <c r="AP226" s="128"/>
      <c r="AQ226" s="117"/>
      <c r="AR226" s="89"/>
      <c r="AS226" s="89"/>
      <c r="AT226" s="89"/>
    </row>
    <row r="227" spans="1:46" s="82" customFormat="1" ht="15" customHeight="1" thickBot="1" x14ac:dyDescent="0.3">
      <c r="A227" s="186"/>
      <c r="B227" s="187"/>
      <c r="C227" s="131" t="s">
        <v>159</v>
      </c>
      <c r="D227" s="136">
        <v>2100</v>
      </c>
      <c r="E227" s="120"/>
      <c r="F227" s="121"/>
      <c r="G227" s="121"/>
      <c r="H227" s="121"/>
      <c r="I227" s="121"/>
      <c r="J227" s="132"/>
      <c r="K227" s="133"/>
      <c r="L227" s="129"/>
      <c r="M227" s="134"/>
      <c r="N227" s="135"/>
      <c r="O227" s="134"/>
      <c r="P227" s="135"/>
      <c r="Q227" s="280"/>
      <c r="R227" s="135"/>
      <c r="S227" s="333"/>
      <c r="T227" s="340"/>
      <c r="U227" s="341"/>
      <c r="V227" s="340"/>
      <c r="W227" s="341"/>
      <c r="X227" s="340"/>
      <c r="Y227" s="341"/>
      <c r="Z227" s="340"/>
      <c r="AA227" s="341"/>
      <c r="AB227" s="301"/>
      <c r="AC227" s="134"/>
      <c r="AG227" s="117"/>
      <c r="AH227" s="117"/>
      <c r="AI227" s="117"/>
      <c r="AJ227" s="117"/>
      <c r="AK227" s="117"/>
      <c r="AL227" s="117"/>
      <c r="AM227" s="117"/>
      <c r="AN227" s="117"/>
      <c r="AO227" s="117"/>
      <c r="AP227" s="128"/>
      <c r="AQ227" s="117"/>
      <c r="AR227" s="89"/>
      <c r="AS227" s="89"/>
      <c r="AT227" s="89"/>
    </row>
    <row r="228" spans="1:46" s="82" customFormat="1" ht="15" hidden="1" customHeight="1" x14ac:dyDescent="0.25">
      <c r="A228" s="186"/>
      <c r="B228" s="187"/>
      <c r="C228" s="131" t="s">
        <v>175</v>
      </c>
      <c r="D228" s="119"/>
      <c r="E228" s="120"/>
      <c r="F228" s="121"/>
      <c r="G228" s="121"/>
      <c r="H228" s="121"/>
      <c r="I228" s="121"/>
      <c r="J228" s="132"/>
      <c r="K228" s="133"/>
      <c r="L228" s="129"/>
      <c r="M228" s="134"/>
      <c r="N228" s="135"/>
      <c r="O228" s="134"/>
      <c r="P228" s="135"/>
      <c r="Q228" s="280"/>
      <c r="R228" s="135"/>
      <c r="S228" s="333"/>
      <c r="T228" s="340"/>
      <c r="U228" s="341"/>
      <c r="V228" s="340"/>
      <c r="W228" s="341"/>
      <c r="X228" s="340"/>
      <c r="Y228" s="341"/>
      <c r="Z228" s="340"/>
      <c r="AA228" s="341"/>
      <c r="AB228" s="301"/>
      <c r="AC228" s="134"/>
      <c r="AG228" s="117"/>
      <c r="AH228" s="117"/>
      <c r="AI228" s="130"/>
      <c r="AJ228" s="130"/>
      <c r="AK228" s="117"/>
      <c r="AL228" s="117"/>
      <c r="AM228" s="117"/>
      <c r="AN228" s="117"/>
      <c r="AO228" s="117"/>
      <c r="AP228" s="128"/>
      <c r="AQ228" s="117"/>
      <c r="AR228" s="89"/>
      <c r="AS228" s="89"/>
      <c r="AT228" s="89"/>
    </row>
    <row r="229" spans="1:46" s="82" customFormat="1" ht="15" hidden="1" customHeight="1" x14ac:dyDescent="0.25">
      <c r="A229" s="186"/>
      <c r="B229" s="187"/>
      <c r="C229" s="131" t="s">
        <v>175</v>
      </c>
      <c r="D229" s="136">
        <f>D228</f>
        <v>0</v>
      </c>
      <c r="E229" s="120"/>
      <c r="F229" s="121"/>
      <c r="G229" s="121"/>
      <c r="H229" s="121"/>
      <c r="I229" s="121"/>
      <c r="J229" s="132"/>
      <c r="K229" s="133"/>
      <c r="L229" s="129"/>
      <c r="M229" s="134"/>
      <c r="N229" s="135"/>
      <c r="O229" s="134"/>
      <c r="P229" s="135"/>
      <c r="Q229" s="280"/>
      <c r="R229" s="135"/>
      <c r="S229" s="333"/>
      <c r="T229" s="340"/>
      <c r="U229" s="341"/>
      <c r="V229" s="340"/>
      <c r="W229" s="341"/>
      <c r="X229" s="340"/>
      <c r="Y229" s="341"/>
      <c r="Z229" s="340"/>
      <c r="AA229" s="341"/>
      <c r="AB229" s="301"/>
      <c r="AC229" s="134"/>
      <c r="AG229" s="117"/>
      <c r="AH229" s="117"/>
      <c r="AI229" s="130"/>
      <c r="AJ229" s="130"/>
      <c r="AK229" s="117"/>
      <c r="AL229" s="117"/>
      <c r="AM229" s="117"/>
      <c r="AN229" s="117"/>
      <c r="AO229" s="117"/>
      <c r="AP229" s="128"/>
      <c r="AQ229" s="117"/>
      <c r="AR229" s="89"/>
      <c r="AS229" s="89"/>
      <c r="AT229" s="89"/>
    </row>
    <row r="230" spans="1:46" s="82" customFormat="1" ht="15" hidden="1" customHeight="1" x14ac:dyDescent="0.25">
      <c r="A230" s="186"/>
      <c r="B230" s="187"/>
      <c r="C230" s="131" t="s">
        <v>175</v>
      </c>
      <c r="D230" s="136">
        <f>D228</f>
        <v>0</v>
      </c>
      <c r="E230" s="120"/>
      <c r="F230" s="121"/>
      <c r="G230" s="121"/>
      <c r="H230" s="121"/>
      <c r="I230" s="121"/>
      <c r="J230" s="132"/>
      <c r="K230" s="133"/>
      <c r="L230" s="129"/>
      <c r="M230" s="134"/>
      <c r="N230" s="135"/>
      <c r="O230" s="134"/>
      <c r="P230" s="135"/>
      <c r="Q230" s="280"/>
      <c r="R230" s="135"/>
      <c r="S230" s="333"/>
      <c r="T230" s="340"/>
      <c r="U230" s="341"/>
      <c r="V230" s="340"/>
      <c r="W230" s="341"/>
      <c r="X230" s="340"/>
      <c r="Y230" s="341"/>
      <c r="Z230" s="340"/>
      <c r="AA230" s="341"/>
      <c r="AB230" s="301"/>
      <c r="AC230" s="134"/>
      <c r="AG230" s="117"/>
      <c r="AH230" s="117"/>
      <c r="AI230" s="130"/>
      <c r="AJ230" s="130"/>
      <c r="AK230" s="117"/>
      <c r="AL230" s="117"/>
      <c r="AM230" s="117"/>
      <c r="AN230" s="117"/>
      <c r="AO230" s="117"/>
      <c r="AP230" s="128"/>
      <c r="AQ230" s="117"/>
      <c r="AR230" s="89"/>
      <c r="AS230" s="89"/>
      <c r="AT230" s="89"/>
    </row>
    <row r="231" spans="1:46" s="82" customFormat="1" ht="15" hidden="1" customHeight="1" x14ac:dyDescent="0.25">
      <c r="A231" s="190"/>
      <c r="B231" s="191"/>
      <c r="C231" s="163" t="s">
        <v>160</v>
      </c>
      <c r="D231" s="164"/>
      <c r="E231" s="165">
        <f t="shared" ref="E231:M231" si="105">(E222*$D222-E223*$D223-E224*$D224-E225*$D225-E226*$D226-E227*$D227-E228*$D228-E229*$D229-E230*$D230)/1000000</f>
        <v>0</v>
      </c>
      <c r="F231" s="165">
        <f t="shared" si="105"/>
        <v>0</v>
      </c>
      <c r="G231" s="165">
        <f t="shared" si="105"/>
        <v>4.3430900000000001</v>
      </c>
      <c r="H231" s="165">
        <f t="shared" si="105"/>
        <v>5.8212200000000003</v>
      </c>
      <c r="I231" s="165">
        <f t="shared" si="105"/>
        <v>3.861405</v>
      </c>
      <c r="J231" s="166">
        <f t="shared" si="105"/>
        <v>5.8212200000000003</v>
      </c>
      <c r="K231" s="167">
        <f t="shared" si="105"/>
        <v>0</v>
      </c>
      <c r="L231" s="165">
        <f t="shared" si="105"/>
        <v>0</v>
      </c>
      <c r="M231" s="165">
        <f t="shared" si="105"/>
        <v>0</v>
      </c>
      <c r="N231" s="169"/>
      <c r="O231" s="170"/>
      <c r="P231" s="169"/>
      <c r="Q231" s="281"/>
      <c r="R231" s="327">
        <f t="shared" ref="R231:AC231" si="106">(R222*$D222)/1000000</f>
        <v>0</v>
      </c>
      <c r="S231" s="143">
        <f t="shared" si="106"/>
        <v>0</v>
      </c>
      <c r="T231" s="342">
        <f t="shared" si="106"/>
        <v>0</v>
      </c>
      <c r="U231" s="343">
        <f t="shared" si="106"/>
        <v>0</v>
      </c>
      <c r="V231" s="342">
        <f t="shared" si="106"/>
        <v>0</v>
      </c>
      <c r="W231" s="343">
        <f t="shared" si="106"/>
        <v>0</v>
      </c>
      <c r="X231" s="342">
        <f t="shared" ref="X231:AA231" si="107">(X222*$D222)/1000000</f>
        <v>0</v>
      </c>
      <c r="Y231" s="343">
        <f t="shared" si="107"/>
        <v>0</v>
      </c>
      <c r="Z231" s="342">
        <f t="shared" si="107"/>
        <v>0</v>
      </c>
      <c r="AA231" s="343">
        <f t="shared" si="107"/>
        <v>0</v>
      </c>
      <c r="AB231" s="142">
        <f t="shared" si="106"/>
        <v>0</v>
      </c>
      <c r="AC231" s="168">
        <f t="shared" si="106"/>
        <v>0</v>
      </c>
      <c r="AG231" s="117"/>
      <c r="AH231" s="117"/>
      <c r="AI231" s="130"/>
      <c r="AJ231" s="130"/>
      <c r="AK231" s="117"/>
      <c r="AL231" s="117"/>
      <c r="AM231" s="117"/>
      <c r="AN231" s="117"/>
      <c r="AO231" s="117"/>
      <c r="AP231" s="128"/>
      <c r="AQ231" s="117"/>
      <c r="AR231" s="89"/>
      <c r="AS231" s="89"/>
      <c r="AT231" s="89"/>
    </row>
    <row r="232" spans="1:46" s="82" customFormat="1" ht="15" hidden="1" customHeight="1" x14ac:dyDescent="0.25">
      <c r="A232" s="186"/>
      <c r="B232" s="187"/>
      <c r="C232" s="109" t="s">
        <v>163</v>
      </c>
      <c r="D232" s="136"/>
      <c r="E232" s="137">
        <f t="shared" ref="E232:M232" si="108">E231*E221</f>
        <v>0</v>
      </c>
      <c r="F232" s="137">
        <f t="shared" si="108"/>
        <v>0</v>
      </c>
      <c r="G232" s="137">
        <f t="shared" si="108"/>
        <v>4.3430900000000001</v>
      </c>
      <c r="H232" s="137">
        <f t="shared" si="108"/>
        <v>5.8212200000000003</v>
      </c>
      <c r="I232" s="137">
        <f t="shared" si="108"/>
        <v>3.861405</v>
      </c>
      <c r="J232" s="138">
        <f t="shared" si="108"/>
        <v>5.8212200000000003</v>
      </c>
      <c r="K232" s="139">
        <f t="shared" si="108"/>
        <v>0</v>
      </c>
      <c r="L232" s="137">
        <f t="shared" si="108"/>
        <v>0</v>
      </c>
      <c r="M232" s="140">
        <f t="shared" si="108"/>
        <v>0</v>
      </c>
      <c r="N232" s="141"/>
      <c r="O232" s="125"/>
      <c r="P232" s="141"/>
      <c r="Q232" s="282"/>
      <c r="R232" s="139">
        <f t="shared" ref="R232:AC232" si="109">R231*R221</f>
        <v>0</v>
      </c>
      <c r="S232" s="138">
        <f t="shared" si="109"/>
        <v>0</v>
      </c>
      <c r="T232" s="342">
        <f t="shared" si="109"/>
        <v>0</v>
      </c>
      <c r="U232" s="344">
        <f t="shared" si="109"/>
        <v>0</v>
      </c>
      <c r="V232" s="342">
        <f t="shared" si="109"/>
        <v>0</v>
      </c>
      <c r="W232" s="344">
        <f t="shared" si="109"/>
        <v>0</v>
      </c>
      <c r="X232" s="342">
        <f t="shared" ref="X232:AA232" si="110">X231*X221</f>
        <v>0</v>
      </c>
      <c r="Y232" s="344">
        <f t="shared" si="110"/>
        <v>0</v>
      </c>
      <c r="Z232" s="342">
        <f t="shared" si="110"/>
        <v>0</v>
      </c>
      <c r="AA232" s="344">
        <f t="shared" si="110"/>
        <v>0</v>
      </c>
      <c r="AB232" s="137">
        <f t="shared" si="109"/>
        <v>0</v>
      </c>
      <c r="AC232" s="140">
        <f t="shared" si="109"/>
        <v>0</v>
      </c>
      <c r="AG232" s="117"/>
      <c r="AH232" s="117"/>
      <c r="AI232" s="130"/>
      <c r="AJ232" s="130"/>
      <c r="AK232" s="117"/>
      <c r="AL232" s="117"/>
      <c r="AM232" s="117"/>
      <c r="AN232" s="117"/>
      <c r="AO232" s="117"/>
      <c r="AP232" s="128"/>
      <c r="AQ232" s="117"/>
      <c r="AR232" s="89"/>
      <c r="AS232" s="89"/>
      <c r="AT232" s="89"/>
    </row>
    <row r="233" spans="1:46" s="82" customFormat="1" ht="15" hidden="1" customHeight="1" x14ac:dyDescent="0.25">
      <c r="A233" s="186"/>
      <c r="B233" s="187"/>
      <c r="C233" s="109" t="s">
        <v>176</v>
      </c>
      <c r="D233" s="136"/>
      <c r="E233" s="137">
        <f t="shared" ref="E233:J235" si="111">IF(E228&gt;0, (E228+$D228*2)/1000, 0)</f>
        <v>0</v>
      </c>
      <c r="F233" s="142">
        <f t="shared" si="111"/>
        <v>0</v>
      </c>
      <c r="G233" s="142">
        <f t="shared" si="111"/>
        <v>0</v>
      </c>
      <c r="H233" s="142">
        <f t="shared" si="111"/>
        <v>0</v>
      </c>
      <c r="I233" s="142">
        <f t="shared" si="111"/>
        <v>0</v>
      </c>
      <c r="J233" s="143">
        <f t="shared" si="111"/>
        <v>0</v>
      </c>
      <c r="K233" s="139"/>
      <c r="L233" s="142"/>
      <c r="M233" s="144"/>
      <c r="N233" s="141"/>
      <c r="O233" s="125"/>
      <c r="P233" s="141"/>
      <c r="Q233" s="282"/>
      <c r="R233" s="141"/>
      <c r="S233" s="334"/>
      <c r="T233" s="345"/>
      <c r="U233" s="346"/>
      <c r="V233" s="345"/>
      <c r="W233" s="346"/>
      <c r="X233" s="345"/>
      <c r="Y233" s="346"/>
      <c r="Z233" s="345"/>
      <c r="AA233" s="346"/>
      <c r="AB233" s="302"/>
      <c r="AC233" s="125"/>
      <c r="AG233" s="117"/>
      <c r="AH233" s="117"/>
      <c r="AI233" s="130"/>
      <c r="AJ233" s="130"/>
      <c r="AK233" s="117"/>
      <c r="AL233" s="117"/>
      <c r="AM233" s="117"/>
      <c r="AN233" s="117"/>
      <c r="AO233" s="117"/>
      <c r="AP233" s="128"/>
      <c r="AQ233" s="117"/>
      <c r="AR233" s="89"/>
      <c r="AS233" s="89"/>
      <c r="AT233" s="89"/>
    </row>
    <row r="234" spans="1:46" s="82" customFormat="1" ht="15" hidden="1" customHeight="1" x14ac:dyDescent="0.25">
      <c r="A234" s="192"/>
      <c r="B234" s="193"/>
      <c r="C234" s="109" t="s">
        <v>176</v>
      </c>
      <c r="D234" s="136"/>
      <c r="E234" s="137">
        <f t="shared" si="111"/>
        <v>0</v>
      </c>
      <c r="F234" s="142">
        <f t="shared" si="111"/>
        <v>0</v>
      </c>
      <c r="G234" s="142">
        <f t="shared" si="111"/>
        <v>0</v>
      </c>
      <c r="H234" s="142">
        <f t="shared" si="111"/>
        <v>0</v>
      </c>
      <c r="I234" s="142">
        <f t="shared" si="111"/>
        <v>0</v>
      </c>
      <c r="J234" s="143">
        <f t="shared" si="111"/>
        <v>0</v>
      </c>
      <c r="K234" s="139"/>
      <c r="L234" s="142"/>
      <c r="M234" s="144"/>
      <c r="N234" s="141"/>
      <c r="O234" s="125"/>
      <c r="P234" s="141"/>
      <c r="Q234" s="282"/>
      <c r="R234" s="141"/>
      <c r="S234" s="334"/>
      <c r="T234" s="345"/>
      <c r="U234" s="346"/>
      <c r="V234" s="345"/>
      <c r="W234" s="346"/>
      <c r="X234" s="345"/>
      <c r="Y234" s="346"/>
      <c r="Z234" s="345"/>
      <c r="AA234" s="346"/>
      <c r="AB234" s="302"/>
      <c r="AC234" s="125"/>
      <c r="AG234" s="117"/>
      <c r="AH234" s="117"/>
      <c r="AI234" s="130"/>
      <c r="AJ234" s="130"/>
      <c r="AK234" s="117"/>
      <c r="AL234" s="117"/>
      <c r="AM234" s="117"/>
      <c r="AN234" s="117"/>
      <c r="AO234" s="117"/>
      <c r="AP234" s="128"/>
      <c r="AQ234" s="117"/>
      <c r="AR234" s="89"/>
      <c r="AS234" s="89"/>
      <c r="AT234" s="89"/>
    </row>
    <row r="235" spans="1:46" s="82" customFormat="1" ht="15" hidden="1" customHeight="1" x14ac:dyDescent="0.25">
      <c r="A235" s="192"/>
      <c r="B235" s="193"/>
      <c r="C235" s="109" t="s">
        <v>176</v>
      </c>
      <c r="D235" s="136"/>
      <c r="E235" s="137">
        <f t="shared" si="111"/>
        <v>0</v>
      </c>
      <c r="F235" s="142">
        <f t="shared" si="111"/>
        <v>0</v>
      </c>
      <c r="G235" s="142">
        <f t="shared" si="111"/>
        <v>0</v>
      </c>
      <c r="H235" s="142">
        <f t="shared" si="111"/>
        <v>0</v>
      </c>
      <c r="I235" s="142">
        <f t="shared" si="111"/>
        <v>0</v>
      </c>
      <c r="J235" s="143">
        <f t="shared" si="111"/>
        <v>0</v>
      </c>
      <c r="K235" s="139"/>
      <c r="L235" s="142"/>
      <c r="M235" s="144"/>
      <c r="N235" s="141"/>
      <c r="O235" s="125"/>
      <c r="P235" s="141"/>
      <c r="Q235" s="282"/>
      <c r="R235" s="141"/>
      <c r="S235" s="334"/>
      <c r="T235" s="345"/>
      <c r="U235" s="346"/>
      <c r="V235" s="345"/>
      <c r="W235" s="346"/>
      <c r="X235" s="345"/>
      <c r="Y235" s="346"/>
      <c r="Z235" s="345"/>
      <c r="AA235" s="346"/>
      <c r="AB235" s="302"/>
      <c r="AC235" s="125"/>
      <c r="AG235" s="117"/>
      <c r="AH235" s="117"/>
      <c r="AI235" s="130"/>
      <c r="AJ235" s="130"/>
      <c r="AK235" s="117"/>
      <c r="AL235" s="117"/>
      <c r="AM235" s="117"/>
      <c r="AN235" s="117"/>
      <c r="AO235" s="117"/>
      <c r="AP235" s="128"/>
      <c r="AQ235" s="117"/>
      <c r="AR235" s="89"/>
      <c r="AS235" s="89"/>
      <c r="AT235" s="89"/>
    </row>
    <row r="236" spans="1:46" s="82" customFormat="1" ht="15" hidden="1" customHeight="1" x14ac:dyDescent="0.25">
      <c r="A236" s="194"/>
      <c r="B236" s="195"/>
      <c r="C236" s="109" t="s">
        <v>628</v>
      </c>
      <c r="D236" s="136"/>
      <c r="E236" s="137">
        <f t="shared" ref="E236:J238" si="112">IF(E228&gt;0, (E228+$D228)*2/1000, 0)</f>
        <v>0</v>
      </c>
      <c r="F236" s="142">
        <f t="shared" si="112"/>
        <v>0</v>
      </c>
      <c r="G236" s="142">
        <f t="shared" si="112"/>
        <v>0</v>
      </c>
      <c r="H236" s="142">
        <f t="shared" si="112"/>
        <v>0</v>
      </c>
      <c r="I236" s="142">
        <f t="shared" si="112"/>
        <v>0</v>
      </c>
      <c r="J236" s="143">
        <f t="shared" si="112"/>
        <v>0</v>
      </c>
      <c r="K236" s="139"/>
      <c r="L236" s="142"/>
      <c r="M236" s="144"/>
      <c r="N236" s="141"/>
      <c r="O236" s="125"/>
      <c r="P236" s="141"/>
      <c r="Q236" s="282"/>
      <c r="R236" s="141"/>
      <c r="S236" s="334"/>
      <c r="T236" s="345"/>
      <c r="U236" s="346"/>
      <c r="V236" s="345"/>
      <c r="W236" s="346"/>
      <c r="X236" s="345"/>
      <c r="Y236" s="346"/>
      <c r="Z236" s="345"/>
      <c r="AA236" s="346"/>
      <c r="AB236" s="302"/>
      <c r="AC236" s="125"/>
      <c r="AG236" s="117"/>
      <c r="AH236" s="117"/>
      <c r="AI236" s="130"/>
      <c r="AJ236" s="130"/>
      <c r="AK236" s="117"/>
      <c r="AL236" s="117"/>
      <c r="AM236" s="117"/>
      <c r="AN236" s="117"/>
      <c r="AO236" s="117"/>
      <c r="AP236" s="128"/>
      <c r="AQ236" s="117"/>
      <c r="AR236" s="89"/>
      <c r="AS236" s="89"/>
      <c r="AT236" s="89"/>
    </row>
    <row r="237" spans="1:46" s="82" customFormat="1" ht="15" hidden="1" customHeight="1" x14ac:dyDescent="0.25">
      <c r="A237" s="186"/>
      <c r="B237" s="187"/>
      <c r="C237" s="109" t="s">
        <v>628</v>
      </c>
      <c r="D237" s="136"/>
      <c r="E237" s="137">
        <f t="shared" si="112"/>
        <v>0</v>
      </c>
      <c r="F237" s="142">
        <f t="shared" si="112"/>
        <v>0</v>
      </c>
      <c r="G237" s="142">
        <f t="shared" si="112"/>
        <v>0</v>
      </c>
      <c r="H237" s="142">
        <f t="shared" si="112"/>
        <v>0</v>
      </c>
      <c r="I237" s="142">
        <f t="shared" si="112"/>
        <v>0</v>
      </c>
      <c r="J237" s="143">
        <f t="shared" si="112"/>
        <v>0</v>
      </c>
      <c r="K237" s="139"/>
      <c r="L237" s="142"/>
      <c r="M237" s="144"/>
      <c r="N237" s="141"/>
      <c r="O237" s="125"/>
      <c r="P237" s="141"/>
      <c r="Q237" s="282"/>
      <c r="R237" s="141"/>
      <c r="S237" s="334"/>
      <c r="T237" s="345"/>
      <c r="U237" s="346"/>
      <c r="V237" s="345"/>
      <c r="W237" s="346"/>
      <c r="X237" s="345"/>
      <c r="Y237" s="346"/>
      <c r="Z237" s="345"/>
      <c r="AA237" s="346"/>
      <c r="AB237" s="302"/>
      <c r="AC237" s="125"/>
      <c r="AG237" s="117"/>
      <c r="AH237" s="117"/>
      <c r="AI237" s="130"/>
      <c r="AJ237" s="130"/>
      <c r="AK237" s="117"/>
      <c r="AL237" s="117"/>
      <c r="AM237" s="117"/>
      <c r="AN237" s="117"/>
      <c r="AO237" s="117"/>
      <c r="AP237" s="128"/>
      <c r="AQ237" s="117"/>
      <c r="AR237" s="89"/>
      <c r="AS237" s="89"/>
      <c r="AT237" s="89"/>
    </row>
    <row r="238" spans="1:46" s="82" customFormat="1" ht="15" hidden="1" customHeight="1" thickBot="1" x14ac:dyDescent="0.3">
      <c r="A238" s="188"/>
      <c r="B238" s="189"/>
      <c r="C238" s="109" t="s">
        <v>628</v>
      </c>
      <c r="D238" s="145"/>
      <c r="E238" s="146">
        <f t="shared" si="112"/>
        <v>0</v>
      </c>
      <c r="F238" s="147">
        <f t="shared" si="112"/>
        <v>0</v>
      </c>
      <c r="G238" s="147">
        <f t="shared" si="112"/>
        <v>0</v>
      </c>
      <c r="H238" s="147">
        <f t="shared" si="112"/>
        <v>0</v>
      </c>
      <c r="I238" s="147">
        <f t="shared" si="112"/>
        <v>0</v>
      </c>
      <c r="J238" s="148">
        <f t="shared" si="112"/>
        <v>0</v>
      </c>
      <c r="K238" s="149"/>
      <c r="L238" s="147"/>
      <c r="M238" s="150"/>
      <c r="N238" s="151"/>
      <c r="O238" s="152"/>
      <c r="P238" s="151"/>
      <c r="Q238" s="283"/>
      <c r="R238" s="151"/>
      <c r="S238" s="335"/>
      <c r="T238" s="347"/>
      <c r="U238" s="348"/>
      <c r="V238" s="347"/>
      <c r="W238" s="348"/>
      <c r="X238" s="347"/>
      <c r="Y238" s="348"/>
      <c r="Z238" s="347"/>
      <c r="AA238" s="348"/>
      <c r="AB238" s="303"/>
      <c r="AC238" s="152"/>
      <c r="AG238" s="117"/>
      <c r="AH238" s="117"/>
      <c r="AI238" s="130"/>
      <c r="AJ238" s="130"/>
      <c r="AK238" s="117"/>
      <c r="AL238" s="117"/>
      <c r="AM238" s="117"/>
      <c r="AN238" s="117"/>
      <c r="AO238" s="117"/>
      <c r="AP238" s="128"/>
      <c r="AQ238" s="117"/>
      <c r="AR238" s="89"/>
      <c r="AS238" s="89"/>
      <c r="AT238" s="89"/>
    </row>
    <row r="239" spans="1:46" s="82" customFormat="1" ht="15" customHeight="1" x14ac:dyDescent="0.25">
      <c r="A239" s="181">
        <v>7</v>
      </c>
      <c r="B239" s="185" t="s">
        <v>124</v>
      </c>
      <c r="C239" s="105" t="s">
        <v>165</v>
      </c>
      <c r="D239" s="162"/>
      <c r="E239" s="306"/>
      <c r="F239" s="307"/>
      <c r="G239" s="307"/>
      <c r="H239" s="307"/>
      <c r="I239" s="307"/>
      <c r="J239" s="308"/>
      <c r="K239" s="309"/>
      <c r="L239" s="307"/>
      <c r="M239" s="310"/>
      <c r="N239" s="106"/>
      <c r="O239" s="107"/>
      <c r="P239" s="106"/>
      <c r="Q239" s="278"/>
      <c r="R239" s="309"/>
      <c r="S239" s="308"/>
      <c r="T239" s="336"/>
      <c r="U239" s="337"/>
      <c r="V239" s="336"/>
      <c r="W239" s="337"/>
      <c r="X239" s="336"/>
      <c r="Y239" s="337"/>
      <c r="Z239" s="336"/>
      <c r="AA239" s="337"/>
      <c r="AB239" s="307"/>
      <c r="AC239" s="310"/>
      <c r="AG239" s="117" t="s">
        <v>77</v>
      </c>
      <c r="AH239" s="117" t="s">
        <v>167</v>
      </c>
      <c r="AI239" s="117" t="s">
        <v>164</v>
      </c>
      <c r="AJ239" s="117" t="s">
        <v>166</v>
      </c>
      <c r="AK239" s="94" t="s">
        <v>106</v>
      </c>
      <c r="AL239" s="117" t="s">
        <v>162</v>
      </c>
      <c r="AM239" s="117" t="s">
        <v>629</v>
      </c>
      <c r="AN239" s="117"/>
      <c r="AO239" s="117"/>
      <c r="AP239" s="128"/>
      <c r="AQ239" s="117"/>
      <c r="AR239" s="89"/>
      <c r="AS239" s="89"/>
      <c r="AT239" s="89"/>
    </row>
    <row r="240" spans="1:46" s="82" customFormat="1" ht="15" customHeight="1" x14ac:dyDescent="0.25">
      <c r="A240" s="186"/>
      <c r="B240" s="187"/>
      <c r="C240" s="118" t="s">
        <v>627</v>
      </c>
      <c r="D240" s="119">
        <f>D222</f>
        <v>2645</v>
      </c>
      <c r="E240" s="120"/>
      <c r="F240" s="121"/>
      <c r="G240" s="120">
        <v>2180</v>
      </c>
      <c r="H240" s="121">
        <v>1580</v>
      </c>
      <c r="I240" s="122">
        <f>G240-E240</f>
        <v>2180</v>
      </c>
      <c r="J240" s="123">
        <f>H240-F240</f>
        <v>1580</v>
      </c>
      <c r="K240" s="124"/>
      <c r="L240" s="122">
        <f>K240</f>
        <v>0</v>
      </c>
      <c r="M240" s="125">
        <f>IF(L240&gt;0, 100, 0)</f>
        <v>0</v>
      </c>
      <c r="N240" s="126"/>
      <c r="O240" s="127"/>
      <c r="P240" s="126"/>
      <c r="Q240" s="279"/>
      <c r="R240" s="126"/>
      <c r="S240" s="332"/>
      <c r="T240" s="338"/>
      <c r="U240" s="339"/>
      <c r="V240" s="338"/>
      <c r="W240" s="339"/>
      <c r="X240" s="338"/>
      <c r="Y240" s="339"/>
      <c r="Z240" s="338"/>
      <c r="AA240" s="339"/>
      <c r="AB240" s="300"/>
      <c r="AC240" s="127"/>
      <c r="AG240" s="108">
        <f>SUM(E249:L249)</f>
        <v>18.2104</v>
      </c>
      <c r="AH240" s="108">
        <f>SUM(E250:AC250)</f>
        <v>0</v>
      </c>
      <c r="AI240" s="286">
        <f>((E240*F240+H240*I240)-K240*M240-(R240*S240+T240*U240+V240*W240+X240*Y240+Z240*AA240+AB240*AC240)-P240*Q240)/1000000</f>
        <v>3.4443999999999999</v>
      </c>
      <c r="AJ240" s="117">
        <f>((E240*F240+H240*I240)-K240*M240-(R240*S240+T240*U240+V240*W240+X240*Y240+Z240*AA240+AB240*AC240)+N240*O240)/1000000</f>
        <v>3.4443999999999999</v>
      </c>
      <c r="AK240" s="108">
        <f>(SUM(E240:M240)-SUM(E241:M245))/1000</f>
        <v>6.72</v>
      </c>
      <c r="AL240" s="108">
        <f>SUM(E251:J253)</f>
        <v>0</v>
      </c>
      <c r="AM240" s="159">
        <f>SUM(E254:J256)</f>
        <v>0</v>
      </c>
      <c r="AN240" s="117"/>
      <c r="AO240" s="117"/>
      <c r="AP240" s="128"/>
      <c r="AQ240" s="117"/>
      <c r="AR240" s="89"/>
      <c r="AS240" s="89"/>
      <c r="AT240" s="89"/>
    </row>
    <row r="241" spans="1:46" s="82" customFormat="1" ht="15" hidden="1" customHeight="1" x14ac:dyDescent="0.25">
      <c r="A241" s="186"/>
      <c r="B241" s="187"/>
      <c r="C241" s="131" t="s">
        <v>158</v>
      </c>
      <c r="D241" s="119">
        <f>D240</f>
        <v>2645</v>
      </c>
      <c r="E241" s="120"/>
      <c r="F241" s="121"/>
      <c r="G241" s="121"/>
      <c r="H241" s="121"/>
      <c r="I241" s="121"/>
      <c r="J241" s="132"/>
      <c r="K241" s="133"/>
      <c r="L241" s="129"/>
      <c r="M241" s="134"/>
      <c r="N241" s="135"/>
      <c r="O241" s="134"/>
      <c r="P241" s="135"/>
      <c r="Q241" s="280"/>
      <c r="R241" s="135"/>
      <c r="S241" s="333"/>
      <c r="T241" s="340"/>
      <c r="U241" s="341"/>
      <c r="V241" s="340"/>
      <c r="W241" s="341"/>
      <c r="X241" s="340"/>
      <c r="Y241" s="341"/>
      <c r="Z241" s="340"/>
      <c r="AA241" s="341"/>
      <c r="AB241" s="301"/>
      <c r="AC241" s="134"/>
      <c r="AG241" s="117"/>
      <c r="AH241" s="117"/>
      <c r="AI241" s="130"/>
      <c r="AJ241" s="130"/>
      <c r="AK241" s="117"/>
      <c r="AL241" s="117"/>
      <c r="AM241" s="117"/>
      <c r="AN241" s="117"/>
      <c r="AO241" s="117"/>
      <c r="AP241" s="128"/>
      <c r="AQ241" s="117"/>
      <c r="AR241" s="89"/>
      <c r="AS241" s="89"/>
      <c r="AT241" s="89"/>
    </row>
    <row r="242" spans="1:46" s="82" customFormat="1" ht="15" hidden="1" customHeight="1" x14ac:dyDescent="0.25">
      <c r="A242" s="186"/>
      <c r="B242" s="187"/>
      <c r="C242" s="131" t="s">
        <v>158</v>
      </c>
      <c r="D242" s="119"/>
      <c r="E242" s="120"/>
      <c r="F242" s="121"/>
      <c r="G242" s="121"/>
      <c r="H242" s="121"/>
      <c r="I242" s="121"/>
      <c r="J242" s="132"/>
      <c r="K242" s="133"/>
      <c r="L242" s="129"/>
      <c r="M242" s="134"/>
      <c r="N242" s="135"/>
      <c r="O242" s="134"/>
      <c r="P242" s="135"/>
      <c r="Q242" s="280"/>
      <c r="R242" s="135"/>
      <c r="S242" s="333"/>
      <c r="T242" s="340"/>
      <c r="U242" s="341"/>
      <c r="V242" s="340"/>
      <c r="W242" s="341"/>
      <c r="X242" s="340"/>
      <c r="Y242" s="341"/>
      <c r="Z242" s="340"/>
      <c r="AA242" s="341"/>
      <c r="AB242" s="301"/>
      <c r="AC242" s="134"/>
      <c r="AG242" s="130"/>
      <c r="AH242" s="130"/>
      <c r="AI242" s="130"/>
      <c r="AJ242" s="130"/>
      <c r="AK242" s="130"/>
      <c r="AL242" s="130"/>
      <c r="AM242" s="130"/>
      <c r="AN242" s="117"/>
      <c r="AO242" s="117"/>
      <c r="AP242" s="128"/>
      <c r="AQ242" s="117"/>
      <c r="AR242" s="89"/>
      <c r="AS242" s="89"/>
      <c r="AT242" s="89"/>
    </row>
    <row r="243" spans="1:46" s="82" customFormat="1" ht="15" customHeight="1" thickBot="1" x14ac:dyDescent="0.3">
      <c r="A243" s="186"/>
      <c r="B243" s="187"/>
      <c r="C243" s="131" t="s">
        <v>159</v>
      </c>
      <c r="D243" s="136">
        <v>2100</v>
      </c>
      <c r="E243" s="120"/>
      <c r="F243" s="121"/>
      <c r="G243" s="121">
        <f>IF(AND(G240 &lt;&gt;"", E240=""), 800, 0)</f>
        <v>800</v>
      </c>
      <c r="H243" s="121"/>
      <c r="I243" s="121"/>
      <c r="J243" s="132"/>
      <c r="K243" s="133"/>
      <c r="L243" s="129"/>
      <c r="M243" s="134"/>
      <c r="N243" s="135"/>
      <c r="O243" s="134"/>
      <c r="P243" s="135"/>
      <c r="Q243" s="280"/>
      <c r="R243" s="135"/>
      <c r="S243" s="333"/>
      <c r="T243" s="340"/>
      <c r="U243" s="341"/>
      <c r="V243" s="340"/>
      <c r="W243" s="341"/>
      <c r="X243" s="340"/>
      <c r="Y243" s="341"/>
      <c r="Z243" s="340"/>
      <c r="AA243" s="341"/>
      <c r="AB243" s="301"/>
      <c r="AC243" s="134"/>
      <c r="AG243" s="130"/>
      <c r="AH243" s="130"/>
      <c r="AI243" s="130"/>
      <c r="AJ243" s="130"/>
      <c r="AK243" s="130"/>
      <c r="AL243" s="130"/>
      <c r="AM243" s="130"/>
      <c r="AN243" s="117"/>
      <c r="AO243" s="117"/>
      <c r="AP243" s="128"/>
      <c r="AQ243" s="117"/>
      <c r="AR243" s="89"/>
      <c r="AS243" s="89"/>
      <c r="AT243" s="89"/>
    </row>
    <row r="244" spans="1:46" s="82" customFormat="1" ht="15" hidden="1" customHeight="1" x14ac:dyDescent="0.25">
      <c r="A244" s="186"/>
      <c r="B244" s="187"/>
      <c r="C244" s="131" t="s">
        <v>159</v>
      </c>
      <c r="D244" s="136">
        <v>2100</v>
      </c>
      <c r="E244" s="120"/>
      <c r="F244" s="121"/>
      <c r="G244" s="121"/>
      <c r="H244" s="121"/>
      <c r="I244" s="121"/>
      <c r="J244" s="132"/>
      <c r="K244" s="133"/>
      <c r="L244" s="129"/>
      <c r="M244" s="134"/>
      <c r="N244" s="135"/>
      <c r="O244" s="134"/>
      <c r="P244" s="135"/>
      <c r="Q244" s="280"/>
      <c r="R244" s="135"/>
      <c r="S244" s="333"/>
      <c r="T244" s="340"/>
      <c r="U244" s="341"/>
      <c r="V244" s="340"/>
      <c r="W244" s="341"/>
      <c r="X244" s="340"/>
      <c r="Y244" s="341"/>
      <c r="Z244" s="340"/>
      <c r="AA244" s="341"/>
      <c r="AB244" s="301"/>
      <c r="AC244" s="134"/>
      <c r="AG244" s="130"/>
      <c r="AH244" s="130"/>
      <c r="AI244" s="130"/>
      <c r="AJ244" s="130"/>
      <c r="AK244" s="130"/>
      <c r="AL244" s="130"/>
      <c r="AM244" s="130"/>
      <c r="AN244" s="117"/>
      <c r="AO244" s="117"/>
      <c r="AP244" s="128"/>
      <c r="AQ244" s="117"/>
      <c r="AR244" s="89"/>
      <c r="AS244" s="89"/>
      <c r="AT244" s="89"/>
    </row>
    <row r="245" spans="1:46" s="82" customFormat="1" ht="15" hidden="1" customHeight="1" x14ac:dyDescent="0.25">
      <c r="A245" s="186"/>
      <c r="B245" s="187"/>
      <c r="C245" s="131" t="s">
        <v>159</v>
      </c>
      <c r="D245" s="136">
        <v>2100</v>
      </c>
      <c r="E245" s="120"/>
      <c r="F245" s="121"/>
      <c r="G245" s="121"/>
      <c r="H245" s="121"/>
      <c r="I245" s="121"/>
      <c r="J245" s="132"/>
      <c r="K245" s="133"/>
      <c r="L245" s="129"/>
      <c r="M245" s="134"/>
      <c r="N245" s="135"/>
      <c r="O245" s="134"/>
      <c r="P245" s="135"/>
      <c r="Q245" s="280"/>
      <c r="R245" s="135"/>
      <c r="S245" s="333"/>
      <c r="T245" s="340"/>
      <c r="U245" s="341"/>
      <c r="V245" s="340"/>
      <c r="W245" s="341"/>
      <c r="X245" s="340"/>
      <c r="Y245" s="341"/>
      <c r="Z245" s="340"/>
      <c r="AA245" s="341"/>
      <c r="AB245" s="301"/>
      <c r="AC245" s="134"/>
      <c r="AG245" s="117"/>
      <c r="AH245" s="117"/>
      <c r="AI245" s="117"/>
      <c r="AJ245" s="117"/>
      <c r="AK245" s="117"/>
      <c r="AL245" s="117"/>
      <c r="AM245" s="117"/>
      <c r="AN245" s="117"/>
      <c r="AO245" s="117"/>
      <c r="AP245" s="128"/>
      <c r="AQ245" s="117"/>
      <c r="AR245" s="89"/>
      <c r="AS245" s="89"/>
      <c r="AT245" s="89"/>
    </row>
    <row r="246" spans="1:46" s="82" customFormat="1" ht="15" hidden="1" customHeight="1" x14ac:dyDescent="0.25">
      <c r="A246" s="186"/>
      <c r="B246" s="187"/>
      <c r="C246" s="131" t="s">
        <v>175</v>
      </c>
      <c r="D246" s="119">
        <v>1817</v>
      </c>
      <c r="E246" s="120"/>
      <c r="F246" s="121"/>
      <c r="G246" s="121"/>
      <c r="H246" s="121"/>
      <c r="I246" s="121"/>
      <c r="J246" s="132"/>
      <c r="K246" s="133"/>
      <c r="L246" s="129"/>
      <c r="M246" s="134"/>
      <c r="N246" s="135"/>
      <c r="O246" s="134"/>
      <c r="P246" s="135"/>
      <c r="Q246" s="280"/>
      <c r="R246" s="135"/>
      <c r="S246" s="333"/>
      <c r="T246" s="340"/>
      <c r="U246" s="341"/>
      <c r="V246" s="340"/>
      <c r="W246" s="341"/>
      <c r="X246" s="340"/>
      <c r="Y246" s="341"/>
      <c r="Z246" s="340"/>
      <c r="AA246" s="341"/>
      <c r="AB246" s="301"/>
      <c r="AC246" s="134"/>
      <c r="AG246" s="117"/>
      <c r="AH246" s="117"/>
      <c r="AI246" s="130"/>
      <c r="AJ246" s="130"/>
      <c r="AK246" s="117"/>
      <c r="AL246" s="117"/>
      <c r="AM246" s="117"/>
      <c r="AN246" s="117"/>
      <c r="AO246" s="117"/>
      <c r="AP246" s="128"/>
      <c r="AQ246" s="117"/>
      <c r="AR246" s="89"/>
      <c r="AS246" s="89"/>
      <c r="AT246" s="89"/>
    </row>
    <row r="247" spans="1:46" s="82" customFormat="1" ht="15" hidden="1" customHeight="1" x14ac:dyDescent="0.25">
      <c r="A247" s="186"/>
      <c r="B247" s="187"/>
      <c r="C247" s="131" t="s">
        <v>175</v>
      </c>
      <c r="D247" s="136">
        <f>D246</f>
        <v>1817</v>
      </c>
      <c r="E247" s="120"/>
      <c r="F247" s="121"/>
      <c r="G247" s="121"/>
      <c r="H247" s="121"/>
      <c r="I247" s="121"/>
      <c r="J247" s="132"/>
      <c r="K247" s="133"/>
      <c r="L247" s="129"/>
      <c r="M247" s="134"/>
      <c r="N247" s="135"/>
      <c r="O247" s="134"/>
      <c r="P247" s="135"/>
      <c r="Q247" s="280"/>
      <c r="R247" s="135"/>
      <c r="S247" s="333"/>
      <c r="T247" s="340"/>
      <c r="U247" s="341"/>
      <c r="V247" s="340"/>
      <c r="W247" s="341"/>
      <c r="X247" s="340"/>
      <c r="Y247" s="341"/>
      <c r="Z247" s="340"/>
      <c r="AA247" s="341"/>
      <c r="AB247" s="301"/>
      <c r="AC247" s="134"/>
      <c r="AG247" s="117"/>
      <c r="AH247" s="117"/>
      <c r="AI247" s="130"/>
      <c r="AJ247" s="130"/>
      <c r="AK247" s="117"/>
      <c r="AL247" s="117"/>
      <c r="AM247" s="117"/>
      <c r="AN247" s="117"/>
      <c r="AO247" s="117"/>
      <c r="AP247" s="128"/>
      <c r="AQ247" s="117"/>
      <c r="AR247" s="89"/>
      <c r="AS247" s="89"/>
      <c r="AT247" s="89"/>
    </row>
    <row r="248" spans="1:46" s="82" customFormat="1" ht="15" hidden="1" customHeight="1" x14ac:dyDescent="0.25">
      <c r="A248" s="186"/>
      <c r="B248" s="187"/>
      <c r="C248" s="131" t="s">
        <v>175</v>
      </c>
      <c r="D248" s="136">
        <f>D246</f>
        <v>1817</v>
      </c>
      <c r="E248" s="120"/>
      <c r="F248" s="121"/>
      <c r="G248" s="121"/>
      <c r="H248" s="121"/>
      <c r="I248" s="121"/>
      <c r="J248" s="132"/>
      <c r="K248" s="133"/>
      <c r="L248" s="129"/>
      <c r="M248" s="134"/>
      <c r="N248" s="135"/>
      <c r="O248" s="134"/>
      <c r="P248" s="135"/>
      <c r="Q248" s="280"/>
      <c r="R248" s="135"/>
      <c r="S248" s="333"/>
      <c r="T248" s="340"/>
      <c r="U248" s="341"/>
      <c r="V248" s="340"/>
      <c r="W248" s="341"/>
      <c r="X248" s="340"/>
      <c r="Y248" s="341"/>
      <c r="Z248" s="340"/>
      <c r="AA248" s="341"/>
      <c r="AB248" s="301"/>
      <c r="AC248" s="134"/>
      <c r="AG248" s="117"/>
      <c r="AH248" s="117"/>
      <c r="AI248" s="130"/>
      <c r="AJ248" s="130"/>
      <c r="AK248" s="117"/>
      <c r="AL248" s="117"/>
      <c r="AM248" s="117"/>
      <c r="AN248" s="117"/>
      <c r="AO248" s="117"/>
      <c r="AP248" s="128"/>
      <c r="AQ248" s="117"/>
      <c r="AR248" s="89"/>
      <c r="AS248" s="89"/>
      <c r="AT248" s="89"/>
    </row>
    <row r="249" spans="1:46" s="82" customFormat="1" ht="15" hidden="1" customHeight="1" x14ac:dyDescent="0.25">
      <c r="A249" s="190"/>
      <c r="B249" s="191"/>
      <c r="C249" s="163" t="s">
        <v>160</v>
      </c>
      <c r="D249" s="164"/>
      <c r="E249" s="165">
        <f t="shared" ref="E249:M249" si="113">(E240*$D240-E241*$D241-E242*$D242-E243*$D243-E244*$D244-E245*$D245-E246*$D246-E247*$D247-E248*$D248)/1000000</f>
        <v>0</v>
      </c>
      <c r="F249" s="165">
        <f t="shared" si="113"/>
        <v>0</v>
      </c>
      <c r="G249" s="165">
        <f t="shared" si="113"/>
        <v>4.0861000000000001</v>
      </c>
      <c r="H249" s="165">
        <f t="shared" si="113"/>
        <v>4.1791</v>
      </c>
      <c r="I249" s="165">
        <f t="shared" si="113"/>
        <v>5.7660999999999998</v>
      </c>
      <c r="J249" s="166">
        <f t="shared" si="113"/>
        <v>4.1791</v>
      </c>
      <c r="K249" s="167">
        <f t="shared" si="113"/>
        <v>0</v>
      </c>
      <c r="L249" s="165">
        <f t="shared" si="113"/>
        <v>0</v>
      </c>
      <c r="M249" s="165">
        <f t="shared" si="113"/>
        <v>0</v>
      </c>
      <c r="N249" s="169"/>
      <c r="O249" s="170"/>
      <c r="P249" s="169"/>
      <c r="Q249" s="281"/>
      <c r="R249" s="327">
        <f t="shared" ref="R249:AC249" si="114">(R240*$D240)/1000000</f>
        <v>0</v>
      </c>
      <c r="S249" s="143">
        <f t="shared" si="114"/>
        <v>0</v>
      </c>
      <c r="T249" s="342">
        <f t="shared" si="114"/>
        <v>0</v>
      </c>
      <c r="U249" s="343">
        <f t="shared" si="114"/>
        <v>0</v>
      </c>
      <c r="V249" s="342">
        <f t="shared" si="114"/>
        <v>0</v>
      </c>
      <c r="W249" s="343">
        <f t="shared" si="114"/>
        <v>0</v>
      </c>
      <c r="X249" s="342">
        <f t="shared" ref="X249:AA249" si="115">(X240*$D240)/1000000</f>
        <v>0</v>
      </c>
      <c r="Y249" s="343">
        <f t="shared" si="115"/>
        <v>0</v>
      </c>
      <c r="Z249" s="342">
        <f t="shared" si="115"/>
        <v>0</v>
      </c>
      <c r="AA249" s="343">
        <f t="shared" si="115"/>
        <v>0</v>
      </c>
      <c r="AB249" s="142">
        <f t="shared" si="114"/>
        <v>0</v>
      </c>
      <c r="AC249" s="168">
        <f t="shared" si="114"/>
        <v>0</v>
      </c>
      <c r="AG249" s="117"/>
      <c r="AH249" s="117"/>
      <c r="AI249" s="130"/>
      <c r="AJ249" s="130"/>
      <c r="AK249" s="117"/>
      <c r="AL249" s="117"/>
      <c r="AM249" s="117"/>
      <c r="AN249" s="117"/>
      <c r="AO249" s="117"/>
      <c r="AP249" s="128"/>
      <c r="AQ249" s="117"/>
      <c r="AR249" s="89"/>
      <c r="AS249" s="89"/>
      <c r="AT249" s="89"/>
    </row>
    <row r="250" spans="1:46" s="82" customFormat="1" ht="15" hidden="1" customHeight="1" x14ac:dyDescent="0.25">
      <c r="A250" s="186"/>
      <c r="B250" s="187"/>
      <c r="C250" s="109" t="s">
        <v>163</v>
      </c>
      <c r="D250" s="136"/>
      <c r="E250" s="137">
        <f t="shared" ref="E250:M250" si="116">E249*E239</f>
        <v>0</v>
      </c>
      <c r="F250" s="137">
        <f t="shared" si="116"/>
        <v>0</v>
      </c>
      <c r="G250" s="137">
        <f t="shared" si="116"/>
        <v>0</v>
      </c>
      <c r="H250" s="137">
        <f t="shared" si="116"/>
        <v>0</v>
      </c>
      <c r="I250" s="137">
        <f t="shared" si="116"/>
        <v>0</v>
      </c>
      <c r="J250" s="138">
        <f t="shared" si="116"/>
        <v>0</v>
      </c>
      <c r="K250" s="139">
        <f t="shared" si="116"/>
        <v>0</v>
      </c>
      <c r="L250" s="137">
        <f t="shared" si="116"/>
        <v>0</v>
      </c>
      <c r="M250" s="140">
        <f t="shared" si="116"/>
        <v>0</v>
      </c>
      <c r="N250" s="141"/>
      <c r="O250" s="125"/>
      <c r="P250" s="141"/>
      <c r="Q250" s="282"/>
      <c r="R250" s="139">
        <f t="shared" ref="R250:AC250" si="117">R249*R239</f>
        <v>0</v>
      </c>
      <c r="S250" s="138">
        <f t="shared" si="117"/>
        <v>0</v>
      </c>
      <c r="T250" s="342">
        <f t="shared" si="117"/>
        <v>0</v>
      </c>
      <c r="U250" s="344">
        <f t="shared" si="117"/>
        <v>0</v>
      </c>
      <c r="V250" s="342">
        <f t="shared" si="117"/>
        <v>0</v>
      </c>
      <c r="W250" s="344">
        <f t="shared" si="117"/>
        <v>0</v>
      </c>
      <c r="X250" s="342">
        <f t="shared" ref="X250:AA250" si="118">X249*X239</f>
        <v>0</v>
      </c>
      <c r="Y250" s="344">
        <f t="shared" si="118"/>
        <v>0</v>
      </c>
      <c r="Z250" s="342">
        <f t="shared" si="118"/>
        <v>0</v>
      </c>
      <c r="AA250" s="344">
        <f t="shared" si="118"/>
        <v>0</v>
      </c>
      <c r="AB250" s="137">
        <f t="shared" si="117"/>
        <v>0</v>
      </c>
      <c r="AC250" s="140">
        <f t="shared" si="117"/>
        <v>0</v>
      </c>
      <c r="AG250" s="117"/>
      <c r="AH250" s="117"/>
      <c r="AI250" s="130"/>
      <c r="AJ250" s="130"/>
      <c r="AK250" s="117"/>
      <c r="AL250" s="117"/>
      <c r="AM250" s="117"/>
      <c r="AN250" s="117"/>
      <c r="AO250" s="117"/>
      <c r="AP250" s="128"/>
      <c r="AQ250" s="117"/>
      <c r="AR250" s="89"/>
      <c r="AS250" s="89"/>
      <c r="AT250" s="89"/>
    </row>
    <row r="251" spans="1:46" s="82" customFormat="1" ht="15" hidden="1" customHeight="1" x14ac:dyDescent="0.25">
      <c r="A251" s="186"/>
      <c r="B251" s="187"/>
      <c r="C251" s="109" t="s">
        <v>176</v>
      </c>
      <c r="D251" s="136"/>
      <c r="E251" s="137">
        <f t="shared" ref="E251:J253" si="119">IF(E246&gt;0, (E246+$D246*2)/1000, 0)</f>
        <v>0</v>
      </c>
      <c r="F251" s="142">
        <f t="shared" si="119"/>
        <v>0</v>
      </c>
      <c r="G251" s="142">
        <f t="shared" si="119"/>
        <v>0</v>
      </c>
      <c r="H251" s="142">
        <f t="shared" si="119"/>
        <v>0</v>
      </c>
      <c r="I251" s="142">
        <f t="shared" si="119"/>
        <v>0</v>
      </c>
      <c r="J251" s="143">
        <f t="shared" si="119"/>
        <v>0</v>
      </c>
      <c r="K251" s="139"/>
      <c r="L251" s="142"/>
      <c r="M251" s="144"/>
      <c r="N251" s="141"/>
      <c r="O251" s="125"/>
      <c r="P251" s="141"/>
      <c r="Q251" s="282"/>
      <c r="R251" s="141"/>
      <c r="S251" s="334"/>
      <c r="T251" s="345"/>
      <c r="U251" s="346"/>
      <c r="V251" s="345"/>
      <c r="W251" s="346"/>
      <c r="X251" s="345"/>
      <c r="Y251" s="346"/>
      <c r="Z251" s="345"/>
      <c r="AA251" s="346"/>
      <c r="AB251" s="302"/>
      <c r="AC251" s="125"/>
      <c r="AG251" s="117"/>
      <c r="AH251" s="117"/>
      <c r="AI251" s="130"/>
      <c r="AJ251" s="130"/>
      <c r="AK251" s="117"/>
      <c r="AL251" s="117"/>
      <c r="AM251" s="117"/>
      <c r="AN251" s="117"/>
      <c r="AO251" s="117"/>
      <c r="AP251" s="128"/>
      <c r="AQ251" s="117"/>
      <c r="AR251" s="89"/>
      <c r="AS251" s="89"/>
      <c r="AT251" s="89"/>
    </row>
    <row r="252" spans="1:46" s="82" customFormat="1" ht="15" hidden="1" customHeight="1" x14ac:dyDescent="0.25">
      <c r="A252" s="192"/>
      <c r="B252" s="193"/>
      <c r="C252" s="109" t="s">
        <v>176</v>
      </c>
      <c r="D252" s="136"/>
      <c r="E252" s="137">
        <f t="shared" si="119"/>
        <v>0</v>
      </c>
      <c r="F252" s="142">
        <f t="shared" si="119"/>
        <v>0</v>
      </c>
      <c r="G252" s="142">
        <f t="shared" si="119"/>
        <v>0</v>
      </c>
      <c r="H252" s="142">
        <f t="shared" si="119"/>
        <v>0</v>
      </c>
      <c r="I252" s="142">
        <f t="shared" si="119"/>
        <v>0</v>
      </c>
      <c r="J252" s="143">
        <f t="shared" si="119"/>
        <v>0</v>
      </c>
      <c r="K252" s="139"/>
      <c r="L252" s="142"/>
      <c r="M252" s="144"/>
      <c r="N252" s="141"/>
      <c r="O252" s="125"/>
      <c r="P252" s="141"/>
      <c r="Q252" s="282"/>
      <c r="R252" s="141"/>
      <c r="S252" s="334"/>
      <c r="T252" s="345"/>
      <c r="U252" s="346"/>
      <c r="V252" s="345"/>
      <c r="W252" s="346"/>
      <c r="X252" s="345"/>
      <c r="Y252" s="346"/>
      <c r="Z252" s="345"/>
      <c r="AA252" s="346"/>
      <c r="AB252" s="302"/>
      <c r="AC252" s="125"/>
      <c r="AG252" s="117"/>
      <c r="AH252" s="117"/>
      <c r="AI252" s="130"/>
      <c r="AJ252" s="130"/>
      <c r="AK252" s="117"/>
      <c r="AL252" s="117"/>
      <c r="AM252" s="117"/>
      <c r="AN252" s="117"/>
      <c r="AO252" s="117"/>
      <c r="AP252" s="128"/>
      <c r="AQ252" s="117"/>
      <c r="AR252" s="89"/>
      <c r="AS252" s="89"/>
      <c r="AT252" s="89"/>
    </row>
    <row r="253" spans="1:46" s="82" customFormat="1" ht="15" hidden="1" customHeight="1" x14ac:dyDescent="0.25">
      <c r="A253" s="192"/>
      <c r="B253" s="193"/>
      <c r="C253" s="109" t="s">
        <v>176</v>
      </c>
      <c r="D253" s="136"/>
      <c r="E253" s="137">
        <f t="shared" si="119"/>
        <v>0</v>
      </c>
      <c r="F253" s="142">
        <f t="shared" si="119"/>
        <v>0</v>
      </c>
      <c r="G253" s="142">
        <f t="shared" si="119"/>
        <v>0</v>
      </c>
      <c r="H253" s="142">
        <f t="shared" si="119"/>
        <v>0</v>
      </c>
      <c r="I253" s="142">
        <f t="shared" si="119"/>
        <v>0</v>
      </c>
      <c r="J253" s="143">
        <f t="shared" si="119"/>
        <v>0</v>
      </c>
      <c r="K253" s="139"/>
      <c r="L253" s="142"/>
      <c r="M253" s="144"/>
      <c r="N253" s="141"/>
      <c r="O253" s="125"/>
      <c r="P253" s="141"/>
      <c r="Q253" s="282"/>
      <c r="R253" s="141"/>
      <c r="S253" s="334"/>
      <c r="T253" s="345"/>
      <c r="U253" s="346"/>
      <c r="V253" s="345"/>
      <c r="W253" s="346"/>
      <c r="X253" s="345"/>
      <c r="Y253" s="346"/>
      <c r="Z253" s="345"/>
      <c r="AA253" s="346"/>
      <c r="AB253" s="302"/>
      <c r="AC253" s="125"/>
      <c r="AG253" s="117"/>
      <c r="AH253" s="117"/>
      <c r="AI253" s="130"/>
      <c r="AJ253" s="130"/>
      <c r="AK253" s="117"/>
      <c r="AL253" s="117"/>
      <c r="AM253" s="117"/>
      <c r="AN253" s="117"/>
      <c r="AO253" s="117"/>
      <c r="AP253" s="128"/>
      <c r="AQ253" s="117"/>
      <c r="AR253" s="89"/>
      <c r="AS253" s="89"/>
      <c r="AT253" s="89"/>
    </row>
    <row r="254" spans="1:46" s="82" customFormat="1" ht="15" hidden="1" customHeight="1" x14ac:dyDescent="0.25">
      <c r="A254" s="194"/>
      <c r="B254" s="195"/>
      <c r="C254" s="109" t="s">
        <v>628</v>
      </c>
      <c r="D254" s="136"/>
      <c r="E254" s="137">
        <f t="shared" ref="E254:J256" si="120">IF(E246&gt;0, (E246+$D246)*2/1000, 0)</f>
        <v>0</v>
      </c>
      <c r="F254" s="142">
        <f t="shared" si="120"/>
        <v>0</v>
      </c>
      <c r="G254" s="142">
        <f t="shared" si="120"/>
        <v>0</v>
      </c>
      <c r="H254" s="142">
        <f t="shared" si="120"/>
        <v>0</v>
      </c>
      <c r="I254" s="142">
        <f t="shared" si="120"/>
        <v>0</v>
      </c>
      <c r="J254" s="143">
        <f t="shared" si="120"/>
        <v>0</v>
      </c>
      <c r="K254" s="139"/>
      <c r="L254" s="142"/>
      <c r="M254" s="144"/>
      <c r="N254" s="141"/>
      <c r="O254" s="125"/>
      <c r="P254" s="141"/>
      <c r="Q254" s="282"/>
      <c r="R254" s="141"/>
      <c r="S254" s="334"/>
      <c r="T254" s="345"/>
      <c r="U254" s="346"/>
      <c r="V254" s="345"/>
      <c r="W254" s="346"/>
      <c r="X254" s="345"/>
      <c r="Y254" s="346"/>
      <c r="Z254" s="345"/>
      <c r="AA254" s="346"/>
      <c r="AB254" s="302"/>
      <c r="AC254" s="125"/>
      <c r="AG254" s="117"/>
      <c r="AH254" s="117"/>
      <c r="AI254" s="130"/>
      <c r="AJ254" s="130"/>
      <c r="AK254" s="117"/>
      <c r="AL254" s="117"/>
      <c r="AM254" s="117"/>
      <c r="AN254" s="117"/>
      <c r="AO254" s="117"/>
      <c r="AP254" s="128"/>
      <c r="AQ254" s="117"/>
      <c r="AR254" s="89"/>
      <c r="AS254" s="89"/>
      <c r="AT254" s="89"/>
    </row>
    <row r="255" spans="1:46" s="82" customFormat="1" ht="15" hidden="1" customHeight="1" x14ac:dyDescent="0.25">
      <c r="A255" s="186"/>
      <c r="B255" s="187"/>
      <c r="C255" s="109" t="s">
        <v>628</v>
      </c>
      <c r="D255" s="136"/>
      <c r="E255" s="137">
        <f t="shared" si="120"/>
        <v>0</v>
      </c>
      <c r="F255" s="142">
        <f t="shared" si="120"/>
        <v>0</v>
      </c>
      <c r="G255" s="142">
        <f t="shared" si="120"/>
        <v>0</v>
      </c>
      <c r="H255" s="142">
        <f t="shared" si="120"/>
        <v>0</v>
      </c>
      <c r="I255" s="142">
        <f t="shared" si="120"/>
        <v>0</v>
      </c>
      <c r="J255" s="143">
        <f t="shared" si="120"/>
        <v>0</v>
      </c>
      <c r="K255" s="139"/>
      <c r="L255" s="142"/>
      <c r="M255" s="144"/>
      <c r="N255" s="141"/>
      <c r="O255" s="125"/>
      <c r="P255" s="141"/>
      <c r="Q255" s="282"/>
      <c r="R255" s="141"/>
      <c r="S255" s="334"/>
      <c r="T255" s="345"/>
      <c r="U255" s="346"/>
      <c r="V255" s="345"/>
      <c r="W255" s="346"/>
      <c r="X255" s="345"/>
      <c r="Y255" s="346"/>
      <c r="Z255" s="345"/>
      <c r="AA255" s="346"/>
      <c r="AB255" s="302"/>
      <c r="AC255" s="125"/>
      <c r="AG255" s="117"/>
      <c r="AH255" s="117"/>
      <c r="AI255" s="130"/>
      <c r="AJ255" s="130"/>
      <c r="AK255" s="117"/>
      <c r="AL255" s="117"/>
      <c r="AM255" s="117"/>
      <c r="AN255" s="117"/>
      <c r="AO255" s="117"/>
      <c r="AP255" s="128"/>
      <c r="AQ255" s="117"/>
      <c r="AR255" s="89"/>
      <c r="AS255" s="89"/>
      <c r="AT255" s="89"/>
    </row>
    <row r="256" spans="1:46" s="82" customFormat="1" ht="15" hidden="1" customHeight="1" thickBot="1" x14ac:dyDescent="0.3">
      <c r="A256" s="188"/>
      <c r="B256" s="189"/>
      <c r="C256" s="109" t="s">
        <v>628</v>
      </c>
      <c r="D256" s="145"/>
      <c r="E256" s="146">
        <f t="shared" si="120"/>
        <v>0</v>
      </c>
      <c r="F256" s="147">
        <f t="shared" si="120"/>
        <v>0</v>
      </c>
      <c r="G256" s="147">
        <f t="shared" si="120"/>
        <v>0</v>
      </c>
      <c r="H256" s="147">
        <f t="shared" si="120"/>
        <v>0</v>
      </c>
      <c r="I256" s="147">
        <f t="shared" si="120"/>
        <v>0</v>
      </c>
      <c r="J256" s="148">
        <f t="shared" si="120"/>
        <v>0</v>
      </c>
      <c r="K256" s="149"/>
      <c r="L256" s="147"/>
      <c r="M256" s="150"/>
      <c r="N256" s="151"/>
      <c r="O256" s="152"/>
      <c r="P256" s="151"/>
      <c r="Q256" s="283"/>
      <c r="R256" s="151"/>
      <c r="S256" s="335"/>
      <c r="T256" s="347"/>
      <c r="U256" s="348"/>
      <c r="V256" s="347"/>
      <c r="W256" s="348"/>
      <c r="X256" s="347"/>
      <c r="Y256" s="348"/>
      <c r="Z256" s="347"/>
      <c r="AA256" s="348"/>
      <c r="AB256" s="303"/>
      <c r="AC256" s="152"/>
      <c r="AG256" s="117"/>
      <c r="AH256" s="117"/>
      <c r="AI256" s="130"/>
      <c r="AJ256" s="130"/>
      <c r="AK256" s="117"/>
      <c r="AL256" s="117"/>
      <c r="AM256" s="117"/>
      <c r="AN256" s="117"/>
      <c r="AO256" s="117"/>
      <c r="AP256" s="128"/>
      <c r="AQ256" s="117"/>
      <c r="AR256" s="89"/>
      <c r="AS256" s="89"/>
      <c r="AT256" s="89"/>
    </row>
    <row r="257" spans="1:47" s="82" customFormat="1" ht="15" customHeight="1" x14ac:dyDescent="0.25">
      <c r="A257" s="181">
        <v>8</v>
      </c>
      <c r="B257" s="185" t="s">
        <v>16</v>
      </c>
      <c r="C257" s="105" t="s">
        <v>165</v>
      </c>
      <c r="D257" s="328"/>
      <c r="E257" s="306"/>
      <c r="F257" s="307"/>
      <c r="G257" s="307">
        <v>1</v>
      </c>
      <c r="H257" s="307">
        <v>1</v>
      </c>
      <c r="I257" s="307">
        <v>1</v>
      </c>
      <c r="J257" s="308">
        <v>1</v>
      </c>
      <c r="K257" s="309"/>
      <c r="L257" s="307"/>
      <c r="M257" s="310"/>
      <c r="N257" s="106"/>
      <c r="O257" s="107"/>
      <c r="P257" s="106"/>
      <c r="Q257" s="278"/>
      <c r="R257" s="309"/>
      <c r="S257" s="308"/>
      <c r="T257" s="336"/>
      <c r="U257" s="337"/>
      <c r="V257" s="336"/>
      <c r="W257" s="337"/>
      <c r="X257" s="336"/>
      <c r="Y257" s="337"/>
      <c r="Z257" s="336"/>
      <c r="AA257" s="337"/>
      <c r="AB257" s="307"/>
      <c r="AC257" s="310"/>
      <c r="AG257" s="117" t="s">
        <v>77</v>
      </c>
      <c r="AH257" s="117" t="s">
        <v>167</v>
      </c>
      <c r="AI257" s="117" t="s">
        <v>164</v>
      </c>
      <c r="AJ257" s="117" t="s">
        <v>166</v>
      </c>
      <c r="AK257" s="94" t="s">
        <v>106</v>
      </c>
      <c r="AL257" s="117" t="s">
        <v>162</v>
      </c>
      <c r="AM257" s="117" t="s">
        <v>629</v>
      </c>
      <c r="AN257" s="117"/>
      <c r="AO257" s="117"/>
      <c r="AP257" s="128"/>
      <c r="AQ257" s="117"/>
      <c r="AR257" s="89"/>
      <c r="AS257" s="89"/>
      <c r="AT257" s="89"/>
    </row>
    <row r="258" spans="1:47" s="82" customFormat="1" ht="15" customHeight="1" x14ac:dyDescent="0.25">
      <c r="A258" s="186"/>
      <c r="B258" s="187"/>
      <c r="C258" s="118" t="s">
        <v>627</v>
      </c>
      <c r="D258" s="119">
        <v>2637</v>
      </c>
      <c r="E258" s="120"/>
      <c r="F258" s="121"/>
      <c r="G258" s="120">
        <v>2272</v>
      </c>
      <c r="H258" s="121">
        <v>1785</v>
      </c>
      <c r="I258" s="122">
        <f>G258-E258</f>
        <v>2272</v>
      </c>
      <c r="J258" s="123">
        <f>H258-F258</f>
        <v>1785</v>
      </c>
      <c r="K258" s="124"/>
      <c r="L258" s="122">
        <f>K258</f>
        <v>0</v>
      </c>
      <c r="M258" s="287">
        <f>IF(L258&gt;0, 100, 0)</f>
        <v>0</v>
      </c>
      <c r="N258" s="288"/>
      <c r="O258" s="289"/>
      <c r="P258" s="288"/>
      <c r="Q258" s="290"/>
      <c r="R258" s="126"/>
      <c r="S258" s="332"/>
      <c r="T258" s="338"/>
      <c r="U258" s="339"/>
      <c r="V258" s="338"/>
      <c r="W258" s="339"/>
      <c r="X258" s="338"/>
      <c r="Y258" s="339"/>
      <c r="Z258" s="338"/>
      <c r="AA258" s="339"/>
      <c r="AB258" s="300"/>
      <c r="AC258" s="127"/>
      <c r="AG258" s="108">
        <f>SUM(E267:L267)</f>
        <v>19.716618</v>
      </c>
      <c r="AH258" s="108">
        <f>SUM(E268:AC268)</f>
        <v>19.716618</v>
      </c>
      <c r="AI258" s="286">
        <f>((E258*F258+H258*I258)-K258*M258-(R258*S258+T258*U258+V258*W258+X258*Y258+Z258*AA258+AB258*AC258)-P258*Q258)/1000000</f>
        <v>4.0555199999999996</v>
      </c>
      <c r="AJ258" s="117">
        <f>((E258*F258+H258*I258)-K258*M258-(R258*S258+T258*U258+V258*W258+X258*Y258+Z258*AA258+AB258*AC258)+N258*O258)/1000000</f>
        <v>4.0555199999999996</v>
      </c>
      <c r="AK258" s="108">
        <f>(SUM(E258:M258)-SUM(E259:M263))/1000</f>
        <v>7.3140000000000001</v>
      </c>
      <c r="AL258" s="108">
        <f>SUM(E269:J271)</f>
        <v>0</v>
      </c>
      <c r="AM258" s="159">
        <f>SUM(E272:J274)</f>
        <v>0</v>
      </c>
      <c r="AN258" s="117"/>
      <c r="AO258" s="117"/>
      <c r="AP258" s="128"/>
      <c r="AQ258" s="117"/>
      <c r="AR258" s="89"/>
      <c r="AS258" s="89"/>
      <c r="AT258" s="89"/>
    </row>
    <row r="259" spans="1:47" s="82" customFormat="1" ht="15" hidden="1" customHeight="1" x14ac:dyDescent="0.25">
      <c r="A259" s="186"/>
      <c r="B259" s="187"/>
      <c r="C259" s="131" t="s">
        <v>158</v>
      </c>
      <c r="D259" s="119">
        <f>D258</f>
        <v>2637</v>
      </c>
      <c r="E259" s="120"/>
      <c r="F259" s="121"/>
      <c r="G259" s="121"/>
      <c r="H259" s="121"/>
      <c r="I259" s="121"/>
      <c r="J259" s="132"/>
      <c r="K259" s="133"/>
      <c r="L259" s="129"/>
      <c r="M259" s="134"/>
      <c r="N259" s="135"/>
      <c r="O259" s="134"/>
      <c r="P259" s="135"/>
      <c r="Q259" s="280"/>
      <c r="R259" s="135"/>
      <c r="S259" s="333"/>
      <c r="T259" s="340"/>
      <c r="U259" s="341"/>
      <c r="V259" s="340"/>
      <c r="W259" s="341"/>
      <c r="X259" s="340"/>
      <c r="Y259" s="341"/>
      <c r="Z259" s="340"/>
      <c r="AA259" s="341"/>
      <c r="AB259" s="301"/>
      <c r="AC259" s="134"/>
      <c r="AG259" s="117"/>
      <c r="AH259" s="117"/>
      <c r="AI259" s="130"/>
      <c r="AJ259" s="130"/>
      <c r="AK259" s="117"/>
      <c r="AL259" s="117"/>
      <c r="AM259" s="117"/>
      <c r="AN259" s="117"/>
      <c r="AO259" s="117"/>
      <c r="AP259" s="128"/>
      <c r="AQ259" s="117"/>
      <c r="AR259" s="89"/>
      <c r="AS259" s="89"/>
      <c r="AT259" s="89"/>
    </row>
    <row r="260" spans="1:47" s="82" customFormat="1" ht="15" hidden="1" customHeight="1" x14ac:dyDescent="0.25">
      <c r="A260" s="186"/>
      <c r="B260" s="187"/>
      <c r="C260" s="131" t="s">
        <v>158</v>
      </c>
      <c r="D260" s="119"/>
      <c r="E260" s="120"/>
      <c r="F260" s="121"/>
      <c r="G260" s="121"/>
      <c r="H260" s="121"/>
      <c r="I260" s="121"/>
      <c r="J260" s="132"/>
      <c r="K260" s="133"/>
      <c r="L260" s="129"/>
      <c r="M260" s="134"/>
      <c r="N260" s="135"/>
      <c r="O260" s="134"/>
      <c r="P260" s="135"/>
      <c r="Q260" s="280"/>
      <c r="R260" s="135"/>
      <c r="S260" s="333"/>
      <c r="T260" s="340"/>
      <c r="U260" s="341"/>
      <c r="V260" s="340"/>
      <c r="W260" s="341"/>
      <c r="X260" s="340"/>
      <c r="Y260" s="341"/>
      <c r="Z260" s="340"/>
      <c r="AA260" s="341"/>
      <c r="AB260" s="301"/>
      <c r="AC260" s="134"/>
      <c r="AG260" s="130"/>
      <c r="AH260" s="130"/>
      <c r="AI260" s="130"/>
      <c r="AJ260" s="130"/>
      <c r="AK260" s="130"/>
      <c r="AL260" s="130"/>
      <c r="AM260" s="130"/>
      <c r="AN260" s="117"/>
      <c r="AO260" s="117"/>
      <c r="AP260" s="128"/>
      <c r="AQ260" s="117"/>
      <c r="AR260" s="89"/>
      <c r="AS260" s="89"/>
      <c r="AT260" s="89"/>
    </row>
    <row r="261" spans="1:47" s="82" customFormat="1" ht="15" customHeight="1" x14ac:dyDescent="0.25">
      <c r="A261" s="186"/>
      <c r="B261" s="187"/>
      <c r="C261" s="131" t="s">
        <v>159</v>
      </c>
      <c r="D261" s="136">
        <v>2100</v>
      </c>
      <c r="E261" s="120"/>
      <c r="F261" s="121"/>
      <c r="G261" s="121">
        <f>IF(AND(G258 &lt;&gt;"", E258=""), 800, 0)</f>
        <v>800</v>
      </c>
      <c r="H261" s="121"/>
      <c r="I261" s="121"/>
      <c r="J261" s="132"/>
      <c r="K261" s="133"/>
      <c r="L261" s="129"/>
      <c r="M261" s="134"/>
      <c r="N261" s="135"/>
      <c r="O261" s="134"/>
      <c r="P261" s="135"/>
      <c r="Q261" s="280"/>
      <c r="R261" s="135"/>
      <c r="S261" s="333"/>
      <c r="T261" s="340"/>
      <c r="U261" s="341"/>
      <c r="V261" s="340"/>
      <c r="W261" s="341"/>
      <c r="X261" s="340"/>
      <c r="Y261" s="341"/>
      <c r="Z261" s="340"/>
      <c r="AA261" s="341"/>
      <c r="AB261" s="301"/>
      <c r="AC261" s="134"/>
      <c r="AG261" s="130"/>
      <c r="AH261" s="130"/>
      <c r="AI261" s="130"/>
      <c r="AJ261" s="130"/>
      <c r="AK261" s="130"/>
      <c r="AL261" s="130"/>
      <c r="AM261" s="130"/>
      <c r="AN261" s="117"/>
      <c r="AO261" s="117"/>
      <c r="AP261" s="128"/>
      <c r="AQ261" s="117"/>
      <c r="AR261" s="89"/>
      <c r="AS261" s="89"/>
      <c r="AT261" s="89"/>
    </row>
    <row r="262" spans="1:47" s="82" customFormat="1" ht="15" hidden="1" customHeight="1" x14ac:dyDescent="0.25">
      <c r="A262" s="190"/>
      <c r="B262" s="191"/>
      <c r="C262" s="131" t="s">
        <v>159</v>
      </c>
      <c r="D262" s="136">
        <v>2100</v>
      </c>
      <c r="E262" s="120"/>
      <c r="F262" s="121"/>
      <c r="G262" s="121"/>
      <c r="H262" s="121"/>
      <c r="I262" s="121"/>
      <c r="J262" s="132"/>
      <c r="K262" s="133"/>
      <c r="L262" s="129"/>
      <c r="M262" s="134"/>
      <c r="N262" s="135"/>
      <c r="O262" s="134"/>
      <c r="P262" s="135"/>
      <c r="Q262" s="280"/>
      <c r="R262" s="135"/>
      <c r="S262" s="333"/>
      <c r="T262" s="340"/>
      <c r="U262" s="341"/>
      <c r="V262" s="340"/>
      <c r="W262" s="341"/>
      <c r="X262" s="340"/>
      <c r="Y262" s="341"/>
      <c r="Z262" s="340"/>
      <c r="AA262" s="341"/>
      <c r="AB262" s="301"/>
      <c r="AC262" s="134"/>
      <c r="AG262" s="130"/>
      <c r="AH262" s="130"/>
      <c r="AI262" s="130"/>
      <c r="AJ262" s="130"/>
      <c r="AK262" s="130"/>
      <c r="AL262" s="130"/>
      <c r="AM262" s="130"/>
      <c r="AN262" s="117"/>
      <c r="AO262" s="117"/>
      <c r="AP262" s="128"/>
      <c r="AQ262" s="117"/>
      <c r="AR262" s="89"/>
      <c r="AS262" s="89"/>
      <c r="AT262" s="89"/>
    </row>
    <row r="263" spans="1:47" s="82" customFormat="1" ht="15" hidden="1" customHeight="1" x14ac:dyDescent="0.25">
      <c r="A263" s="190"/>
      <c r="B263" s="191"/>
      <c r="C263" s="291" t="s">
        <v>159</v>
      </c>
      <c r="D263" s="164">
        <v>2100</v>
      </c>
      <c r="E263" s="120"/>
      <c r="F263" s="121"/>
      <c r="G263" s="121"/>
      <c r="H263" s="121"/>
      <c r="I263" s="121"/>
      <c r="J263" s="132"/>
      <c r="K263" s="133"/>
      <c r="L263" s="129"/>
      <c r="M263" s="134"/>
      <c r="N263" s="135"/>
      <c r="O263" s="134"/>
      <c r="P263" s="135"/>
      <c r="Q263" s="280"/>
      <c r="R263" s="135"/>
      <c r="S263" s="333"/>
      <c r="T263" s="340"/>
      <c r="U263" s="341"/>
      <c r="V263" s="340"/>
      <c r="W263" s="341"/>
      <c r="X263" s="340"/>
      <c r="Y263" s="341"/>
      <c r="Z263" s="340"/>
      <c r="AA263" s="341"/>
      <c r="AB263" s="301"/>
      <c r="AC263" s="134"/>
      <c r="AG263" s="117"/>
      <c r="AH263" s="117"/>
      <c r="AI263" s="117"/>
      <c r="AJ263" s="117"/>
      <c r="AK263" s="117"/>
      <c r="AL263" s="117"/>
      <c r="AM263" s="117"/>
      <c r="AN263" s="117"/>
      <c r="AO263" s="117"/>
      <c r="AP263" s="128"/>
      <c r="AQ263" s="117"/>
      <c r="AR263" s="89"/>
      <c r="AS263" s="89"/>
      <c r="AT263" s="89"/>
    </row>
    <row r="264" spans="1:47" s="82" customFormat="1" ht="15" hidden="1" customHeight="1" x14ac:dyDescent="0.25">
      <c r="A264" s="186"/>
      <c r="B264" s="187"/>
      <c r="C264" s="131" t="s">
        <v>175</v>
      </c>
      <c r="D264" s="119">
        <v>1817</v>
      </c>
      <c r="E264" s="120"/>
      <c r="F264" s="121"/>
      <c r="G264" s="121"/>
      <c r="H264" s="121"/>
      <c r="I264" s="121"/>
      <c r="J264" s="132"/>
      <c r="K264" s="133"/>
      <c r="L264" s="129"/>
      <c r="M264" s="134"/>
      <c r="N264" s="135"/>
      <c r="O264" s="134"/>
      <c r="P264" s="135"/>
      <c r="Q264" s="280"/>
      <c r="R264" s="135"/>
      <c r="S264" s="333"/>
      <c r="T264" s="340"/>
      <c r="U264" s="341"/>
      <c r="V264" s="340"/>
      <c r="W264" s="341"/>
      <c r="X264" s="340"/>
      <c r="Y264" s="341"/>
      <c r="Z264" s="340"/>
      <c r="AA264" s="341"/>
      <c r="AB264" s="301"/>
      <c r="AC264" s="134"/>
      <c r="AG264" s="117"/>
      <c r="AH264" s="117"/>
      <c r="AI264" s="130"/>
      <c r="AJ264" s="130"/>
      <c r="AK264" s="117"/>
      <c r="AL264" s="117"/>
      <c r="AM264" s="117"/>
      <c r="AN264" s="117"/>
      <c r="AO264" s="117"/>
      <c r="AP264" s="128"/>
      <c r="AQ264" s="117"/>
      <c r="AR264" s="89"/>
      <c r="AS264" s="89"/>
      <c r="AT264" s="89"/>
    </row>
    <row r="265" spans="1:47" s="82" customFormat="1" ht="15" hidden="1" customHeight="1" x14ac:dyDescent="0.25">
      <c r="A265" s="186"/>
      <c r="B265" s="187"/>
      <c r="C265" s="131" t="s">
        <v>175</v>
      </c>
      <c r="D265" s="136">
        <f>D264</f>
        <v>1817</v>
      </c>
      <c r="E265" s="120"/>
      <c r="F265" s="121"/>
      <c r="G265" s="121"/>
      <c r="H265" s="121"/>
      <c r="I265" s="121"/>
      <c r="J265" s="132"/>
      <c r="K265" s="133"/>
      <c r="L265" s="129"/>
      <c r="M265" s="134"/>
      <c r="N265" s="135"/>
      <c r="O265" s="134"/>
      <c r="P265" s="135"/>
      <c r="Q265" s="280"/>
      <c r="R265" s="135"/>
      <c r="S265" s="333"/>
      <c r="T265" s="340"/>
      <c r="U265" s="341"/>
      <c r="V265" s="340"/>
      <c r="W265" s="341"/>
      <c r="X265" s="340"/>
      <c r="Y265" s="341"/>
      <c r="Z265" s="340"/>
      <c r="AA265" s="341"/>
      <c r="AB265" s="301"/>
      <c r="AC265" s="134"/>
      <c r="AG265" s="117"/>
      <c r="AH265" s="117"/>
      <c r="AI265" s="130"/>
      <c r="AJ265" s="130"/>
      <c r="AK265" s="117"/>
      <c r="AL265" s="117"/>
      <c r="AM265" s="117"/>
      <c r="AN265" s="117"/>
      <c r="AO265" s="117"/>
      <c r="AP265" s="128"/>
      <c r="AQ265" s="117"/>
      <c r="AR265" s="89"/>
      <c r="AS265" s="89"/>
      <c r="AT265" s="89"/>
    </row>
    <row r="266" spans="1:47" s="82" customFormat="1" ht="15" hidden="1" customHeight="1" x14ac:dyDescent="0.25">
      <c r="A266" s="186"/>
      <c r="B266" s="187"/>
      <c r="C266" s="131" t="s">
        <v>175</v>
      </c>
      <c r="D266" s="136">
        <f>D264</f>
        <v>1817</v>
      </c>
      <c r="E266" s="120"/>
      <c r="F266" s="121"/>
      <c r="G266" s="121"/>
      <c r="H266" s="121"/>
      <c r="I266" s="121"/>
      <c r="J266" s="132"/>
      <c r="K266" s="133"/>
      <c r="L266" s="129"/>
      <c r="M266" s="134"/>
      <c r="N266" s="135"/>
      <c r="O266" s="134"/>
      <c r="P266" s="135"/>
      <c r="Q266" s="280"/>
      <c r="R266" s="135"/>
      <c r="S266" s="333"/>
      <c r="T266" s="340"/>
      <c r="U266" s="341"/>
      <c r="V266" s="340"/>
      <c r="W266" s="341"/>
      <c r="X266" s="340"/>
      <c r="Y266" s="341"/>
      <c r="Z266" s="340"/>
      <c r="AA266" s="341"/>
      <c r="AB266" s="301"/>
      <c r="AC266" s="134"/>
      <c r="AG266" s="117"/>
      <c r="AH266" s="117"/>
      <c r="AI266" s="130"/>
      <c r="AJ266" s="130"/>
      <c r="AK266" s="117"/>
      <c r="AL266" s="117"/>
      <c r="AM266" s="117"/>
      <c r="AN266" s="117"/>
      <c r="AO266" s="117"/>
      <c r="AP266" s="128"/>
      <c r="AQ266" s="117"/>
      <c r="AR266" s="89"/>
      <c r="AS266" s="89"/>
      <c r="AT266" s="89"/>
    </row>
    <row r="267" spans="1:47" s="82" customFormat="1" ht="15" hidden="1" customHeight="1" x14ac:dyDescent="0.25">
      <c r="A267" s="190"/>
      <c r="B267" s="191"/>
      <c r="C267" s="163" t="s">
        <v>160</v>
      </c>
      <c r="D267" s="164"/>
      <c r="E267" s="165">
        <f t="shared" ref="E267:M267" si="121">(E258*$D258-E259*$D259-E260*$D260-E261*$D261-E262*$D262-E263*$D263-E264*$D264-E265*$D265-E266*$D266)/1000000</f>
        <v>0</v>
      </c>
      <c r="F267" s="165">
        <f t="shared" si="121"/>
        <v>0</v>
      </c>
      <c r="G267" s="165">
        <f t="shared" si="121"/>
        <v>4.3112640000000004</v>
      </c>
      <c r="H267" s="165">
        <f t="shared" si="121"/>
        <v>4.7070449999999999</v>
      </c>
      <c r="I267" s="165">
        <f t="shared" si="121"/>
        <v>5.9912640000000001</v>
      </c>
      <c r="J267" s="166">
        <f t="shared" si="121"/>
        <v>4.7070449999999999</v>
      </c>
      <c r="K267" s="167">
        <f t="shared" si="121"/>
        <v>0</v>
      </c>
      <c r="L267" s="165">
        <f t="shared" si="121"/>
        <v>0</v>
      </c>
      <c r="M267" s="165">
        <f t="shared" si="121"/>
        <v>0</v>
      </c>
      <c r="N267" s="169"/>
      <c r="O267" s="170"/>
      <c r="P267" s="169"/>
      <c r="Q267" s="281"/>
      <c r="R267" s="327">
        <f t="shared" ref="R267:AC267" si="122">(R258*$D258)/1000000</f>
        <v>0</v>
      </c>
      <c r="S267" s="143">
        <f t="shared" si="122"/>
        <v>0</v>
      </c>
      <c r="T267" s="342">
        <f t="shared" si="122"/>
        <v>0</v>
      </c>
      <c r="U267" s="343">
        <f t="shared" si="122"/>
        <v>0</v>
      </c>
      <c r="V267" s="342">
        <f t="shared" si="122"/>
        <v>0</v>
      </c>
      <c r="W267" s="343">
        <f t="shared" si="122"/>
        <v>0</v>
      </c>
      <c r="X267" s="342"/>
      <c r="Y267" s="343"/>
      <c r="Z267" s="342"/>
      <c r="AA267" s="343"/>
      <c r="AB267" s="142">
        <f t="shared" si="122"/>
        <v>0</v>
      </c>
      <c r="AC267" s="168">
        <f t="shared" si="122"/>
        <v>0</v>
      </c>
      <c r="AG267" s="117"/>
      <c r="AH267" s="117"/>
      <c r="AI267" s="130"/>
      <c r="AJ267" s="130"/>
      <c r="AK267" s="117"/>
      <c r="AL267" s="117"/>
      <c r="AM267" s="117"/>
      <c r="AN267" s="117"/>
      <c r="AO267" s="117"/>
      <c r="AP267" s="128"/>
      <c r="AQ267" s="117"/>
      <c r="AR267" s="89"/>
      <c r="AS267" s="89"/>
      <c r="AT267" s="89"/>
    </row>
    <row r="268" spans="1:47" ht="15" hidden="1" customHeight="1" x14ac:dyDescent="0.25">
      <c r="A268" s="186"/>
      <c r="B268" s="187"/>
      <c r="C268" s="109" t="s">
        <v>163</v>
      </c>
      <c r="D268" s="136"/>
      <c r="E268" s="137">
        <f t="shared" ref="E268:M268" si="123">E267*E257</f>
        <v>0</v>
      </c>
      <c r="F268" s="137">
        <f t="shared" si="123"/>
        <v>0</v>
      </c>
      <c r="G268" s="137">
        <f t="shared" si="123"/>
        <v>4.3112640000000004</v>
      </c>
      <c r="H268" s="137">
        <f t="shared" si="123"/>
        <v>4.7070449999999999</v>
      </c>
      <c r="I268" s="137">
        <f t="shared" si="123"/>
        <v>5.9912640000000001</v>
      </c>
      <c r="J268" s="138">
        <f t="shared" si="123"/>
        <v>4.7070449999999999</v>
      </c>
      <c r="K268" s="139">
        <f t="shared" si="123"/>
        <v>0</v>
      </c>
      <c r="L268" s="137">
        <f t="shared" si="123"/>
        <v>0</v>
      </c>
      <c r="M268" s="140">
        <f t="shared" si="123"/>
        <v>0</v>
      </c>
      <c r="N268" s="141"/>
      <c r="O268" s="125"/>
      <c r="P268" s="141"/>
      <c r="Q268" s="282"/>
      <c r="R268" s="139">
        <f t="shared" ref="R268:AC268" si="124">R267*R257</f>
        <v>0</v>
      </c>
      <c r="S268" s="138">
        <f t="shared" si="124"/>
        <v>0</v>
      </c>
      <c r="T268" s="342">
        <f t="shared" si="124"/>
        <v>0</v>
      </c>
      <c r="U268" s="344">
        <f t="shared" si="124"/>
        <v>0</v>
      </c>
      <c r="V268" s="342">
        <f t="shared" si="124"/>
        <v>0</v>
      </c>
      <c r="W268" s="344">
        <f t="shared" si="124"/>
        <v>0</v>
      </c>
      <c r="X268" s="342"/>
      <c r="Y268" s="344"/>
      <c r="Z268" s="342"/>
      <c r="AA268" s="344"/>
      <c r="AB268" s="137">
        <f t="shared" si="124"/>
        <v>0</v>
      </c>
      <c r="AC268" s="140">
        <f t="shared" si="124"/>
        <v>0</v>
      </c>
      <c r="AG268" s="117"/>
      <c r="AH268" s="117"/>
      <c r="AI268" s="130"/>
      <c r="AJ268" s="130"/>
      <c r="AK268" s="117"/>
      <c r="AL268" s="117"/>
      <c r="AM268" s="117"/>
      <c r="AN268" s="117"/>
      <c r="AO268" s="117"/>
      <c r="AP268" s="128"/>
      <c r="AQ268" s="117"/>
      <c r="AR268" s="89"/>
      <c r="AS268" s="89"/>
      <c r="AT268" s="87"/>
      <c r="AU268" s="75"/>
    </row>
    <row r="269" spans="1:47" ht="15" hidden="1" customHeight="1" x14ac:dyDescent="0.25">
      <c r="A269" s="186"/>
      <c r="B269" s="187"/>
      <c r="C269" s="109" t="s">
        <v>176</v>
      </c>
      <c r="D269" s="136"/>
      <c r="E269" s="137">
        <f t="shared" ref="E269:J271" si="125">IF(E264&gt;0, (E264+$D264*2)/1000, 0)</f>
        <v>0</v>
      </c>
      <c r="F269" s="142">
        <f t="shared" si="125"/>
        <v>0</v>
      </c>
      <c r="G269" s="142">
        <f t="shared" si="125"/>
        <v>0</v>
      </c>
      <c r="H269" s="142">
        <f t="shared" si="125"/>
        <v>0</v>
      </c>
      <c r="I269" s="142">
        <f t="shared" si="125"/>
        <v>0</v>
      </c>
      <c r="J269" s="143">
        <f t="shared" si="125"/>
        <v>0</v>
      </c>
      <c r="K269" s="139"/>
      <c r="L269" s="142"/>
      <c r="M269" s="144"/>
      <c r="N269" s="141"/>
      <c r="O269" s="125"/>
      <c r="P269" s="141"/>
      <c r="Q269" s="282"/>
      <c r="R269" s="141"/>
      <c r="S269" s="334"/>
      <c r="T269" s="345"/>
      <c r="U269" s="346"/>
      <c r="V269" s="345"/>
      <c r="W269" s="346"/>
      <c r="X269" s="345"/>
      <c r="Y269" s="346"/>
      <c r="Z269" s="345"/>
      <c r="AA269" s="346"/>
      <c r="AB269" s="302"/>
      <c r="AC269" s="125"/>
      <c r="AG269" s="117"/>
      <c r="AH269" s="117"/>
      <c r="AI269" s="130"/>
      <c r="AJ269" s="130"/>
      <c r="AK269" s="117"/>
      <c r="AL269" s="117"/>
      <c r="AM269" s="117"/>
      <c r="AN269" s="117"/>
      <c r="AO269" s="117"/>
      <c r="AP269" s="128"/>
      <c r="AQ269" s="117"/>
      <c r="AR269" s="89"/>
      <c r="AS269" s="89"/>
      <c r="AT269" s="87"/>
      <c r="AU269" s="75"/>
    </row>
    <row r="270" spans="1:47" s="77" customFormat="1" ht="15" hidden="1" customHeight="1" x14ac:dyDescent="0.25">
      <c r="A270" s="192"/>
      <c r="B270" s="193"/>
      <c r="C270" s="109" t="s">
        <v>176</v>
      </c>
      <c r="D270" s="136"/>
      <c r="E270" s="137">
        <f t="shared" si="125"/>
        <v>0</v>
      </c>
      <c r="F270" s="142">
        <f t="shared" si="125"/>
        <v>0</v>
      </c>
      <c r="G270" s="142">
        <f t="shared" si="125"/>
        <v>0</v>
      </c>
      <c r="H270" s="142">
        <f t="shared" si="125"/>
        <v>0</v>
      </c>
      <c r="I270" s="142">
        <f t="shared" si="125"/>
        <v>0</v>
      </c>
      <c r="J270" s="143">
        <f t="shared" si="125"/>
        <v>0</v>
      </c>
      <c r="K270" s="139"/>
      <c r="L270" s="142"/>
      <c r="M270" s="144"/>
      <c r="N270" s="141"/>
      <c r="O270" s="125"/>
      <c r="P270" s="141"/>
      <c r="Q270" s="282"/>
      <c r="R270" s="141"/>
      <c r="S270" s="334"/>
      <c r="T270" s="345"/>
      <c r="U270" s="346"/>
      <c r="V270" s="345"/>
      <c r="W270" s="346"/>
      <c r="X270" s="345"/>
      <c r="Y270" s="346"/>
      <c r="Z270" s="345"/>
      <c r="AA270" s="346"/>
      <c r="AB270" s="302"/>
      <c r="AC270" s="125"/>
      <c r="AG270" s="117"/>
      <c r="AH270" s="117"/>
      <c r="AI270" s="130"/>
      <c r="AJ270" s="130"/>
      <c r="AK270" s="117"/>
      <c r="AL270" s="117"/>
      <c r="AM270" s="117"/>
      <c r="AN270" s="117"/>
      <c r="AO270" s="117"/>
      <c r="AP270" s="128"/>
      <c r="AQ270" s="117"/>
      <c r="AR270" s="89"/>
      <c r="AS270" s="89"/>
      <c r="AT270" s="87"/>
    </row>
    <row r="271" spans="1:47" s="77" customFormat="1" ht="15" hidden="1" customHeight="1" x14ac:dyDescent="0.25">
      <c r="A271" s="192"/>
      <c r="B271" s="193"/>
      <c r="C271" s="109" t="s">
        <v>176</v>
      </c>
      <c r="D271" s="136"/>
      <c r="E271" s="137">
        <f t="shared" si="125"/>
        <v>0</v>
      </c>
      <c r="F271" s="142">
        <f t="shared" si="125"/>
        <v>0</v>
      </c>
      <c r="G271" s="142">
        <f t="shared" si="125"/>
        <v>0</v>
      </c>
      <c r="H271" s="142">
        <f t="shared" si="125"/>
        <v>0</v>
      </c>
      <c r="I271" s="142">
        <f t="shared" si="125"/>
        <v>0</v>
      </c>
      <c r="J271" s="143">
        <f t="shared" si="125"/>
        <v>0</v>
      </c>
      <c r="K271" s="139"/>
      <c r="L271" s="142"/>
      <c r="M271" s="144"/>
      <c r="N271" s="141"/>
      <c r="O271" s="125"/>
      <c r="P271" s="141"/>
      <c r="Q271" s="282"/>
      <c r="R271" s="141"/>
      <c r="S271" s="334"/>
      <c r="T271" s="345"/>
      <c r="U271" s="346"/>
      <c r="V271" s="345"/>
      <c r="W271" s="346"/>
      <c r="X271" s="345"/>
      <c r="Y271" s="346"/>
      <c r="Z271" s="345"/>
      <c r="AA271" s="346"/>
      <c r="AB271" s="302"/>
      <c r="AC271" s="125"/>
      <c r="AG271" s="117"/>
      <c r="AH271" s="117"/>
      <c r="AI271" s="130"/>
      <c r="AJ271" s="130"/>
      <c r="AK271" s="117"/>
      <c r="AL271" s="117"/>
      <c r="AM271" s="117"/>
      <c r="AN271" s="117"/>
      <c r="AO271" s="117"/>
      <c r="AP271" s="128"/>
      <c r="AQ271" s="117"/>
      <c r="AR271" s="89"/>
      <c r="AS271" s="89"/>
      <c r="AT271" s="87"/>
    </row>
    <row r="272" spans="1:47" s="77" customFormat="1" ht="15" hidden="1" customHeight="1" x14ac:dyDescent="0.25">
      <c r="A272" s="194"/>
      <c r="B272" s="195"/>
      <c r="C272" s="109" t="s">
        <v>628</v>
      </c>
      <c r="D272" s="136"/>
      <c r="E272" s="137">
        <f t="shared" ref="E272:J274" si="126">IF(E264&gt;0, (E264+$D264)*2/1000, 0)</f>
        <v>0</v>
      </c>
      <c r="F272" s="142">
        <f t="shared" si="126"/>
        <v>0</v>
      </c>
      <c r="G272" s="142">
        <f t="shared" si="126"/>
        <v>0</v>
      </c>
      <c r="H272" s="142">
        <f t="shared" si="126"/>
        <v>0</v>
      </c>
      <c r="I272" s="142">
        <f t="shared" si="126"/>
        <v>0</v>
      </c>
      <c r="J272" s="143">
        <f t="shared" si="126"/>
        <v>0</v>
      </c>
      <c r="K272" s="139"/>
      <c r="L272" s="142"/>
      <c r="M272" s="144"/>
      <c r="N272" s="141"/>
      <c r="O272" s="125"/>
      <c r="P272" s="141"/>
      <c r="Q272" s="282"/>
      <c r="R272" s="141"/>
      <c r="S272" s="334"/>
      <c r="T272" s="345"/>
      <c r="U272" s="346"/>
      <c r="V272" s="345"/>
      <c r="W272" s="346"/>
      <c r="X272" s="345"/>
      <c r="Y272" s="346"/>
      <c r="Z272" s="345"/>
      <c r="AA272" s="346"/>
      <c r="AB272" s="302"/>
      <c r="AC272" s="125"/>
      <c r="AG272" s="117"/>
      <c r="AH272" s="117"/>
      <c r="AI272" s="130"/>
      <c r="AJ272" s="130"/>
      <c r="AK272" s="117"/>
      <c r="AL272" s="117"/>
      <c r="AM272" s="117"/>
      <c r="AN272" s="117"/>
      <c r="AO272" s="117"/>
      <c r="AP272" s="128"/>
      <c r="AQ272" s="117"/>
      <c r="AR272" s="89"/>
      <c r="AS272" s="89"/>
      <c r="AT272" s="87"/>
    </row>
    <row r="273" spans="1:47" ht="15" hidden="1" customHeight="1" x14ac:dyDescent="0.25">
      <c r="A273" s="186"/>
      <c r="B273" s="187"/>
      <c r="C273" s="109" t="s">
        <v>628</v>
      </c>
      <c r="D273" s="136"/>
      <c r="E273" s="137">
        <f t="shared" si="126"/>
        <v>0</v>
      </c>
      <c r="F273" s="142">
        <f t="shared" si="126"/>
        <v>0</v>
      </c>
      <c r="G273" s="142">
        <f t="shared" si="126"/>
        <v>0</v>
      </c>
      <c r="H273" s="142">
        <f t="shared" si="126"/>
        <v>0</v>
      </c>
      <c r="I273" s="142">
        <f t="shared" si="126"/>
        <v>0</v>
      </c>
      <c r="J273" s="143">
        <f t="shared" si="126"/>
        <v>0</v>
      </c>
      <c r="K273" s="139"/>
      <c r="L273" s="142"/>
      <c r="M273" s="144"/>
      <c r="N273" s="141"/>
      <c r="O273" s="125"/>
      <c r="P273" s="141"/>
      <c r="Q273" s="282"/>
      <c r="R273" s="141"/>
      <c r="S273" s="334"/>
      <c r="T273" s="345"/>
      <c r="U273" s="346"/>
      <c r="V273" s="345"/>
      <c r="W273" s="346"/>
      <c r="X273" s="345"/>
      <c r="Y273" s="346"/>
      <c r="Z273" s="345"/>
      <c r="AA273" s="346"/>
      <c r="AB273" s="302"/>
      <c r="AC273" s="125"/>
      <c r="AG273" s="117"/>
      <c r="AH273" s="117"/>
      <c r="AI273" s="130"/>
      <c r="AJ273" s="130"/>
      <c r="AK273" s="117"/>
      <c r="AL273" s="117"/>
      <c r="AM273" s="117"/>
      <c r="AN273" s="117"/>
      <c r="AO273" s="117"/>
      <c r="AP273" s="128"/>
      <c r="AQ273" s="117"/>
      <c r="AR273" s="89"/>
      <c r="AS273" s="89"/>
      <c r="AT273" s="87"/>
      <c r="AU273" s="75"/>
    </row>
    <row r="274" spans="1:47" ht="15" hidden="1" customHeight="1" thickBot="1" x14ac:dyDescent="0.3">
      <c r="A274" s="188"/>
      <c r="B274" s="189"/>
      <c r="C274" s="110" t="s">
        <v>628</v>
      </c>
      <c r="D274" s="145"/>
      <c r="E274" s="146">
        <f t="shared" si="126"/>
        <v>0</v>
      </c>
      <c r="F274" s="147">
        <f t="shared" si="126"/>
        <v>0</v>
      </c>
      <c r="G274" s="147">
        <f t="shared" si="126"/>
        <v>0</v>
      </c>
      <c r="H274" s="147">
        <f t="shared" si="126"/>
        <v>0</v>
      </c>
      <c r="I274" s="147">
        <f t="shared" si="126"/>
        <v>0</v>
      </c>
      <c r="J274" s="148">
        <f t="shared" si="126"/>
        <v>0</v>
      </c>
      <c r="K274" s="149"/>
      <c r="L274" s="147"/>
      <c r="M274" s="150"/>
      <c r="N274" s="151"/>
      <c r="O274" s="152"/>
      <c r="P274" s="151"/>
      <c r="Q274" s="283"/>
      <c r="R274" s="151"/>
      <c r="S274" s="335"/>
      <c r="T274" s="347"/>
      <c r="U274" s="348"/>
      <c r="V274" s="347"/>
      <c r="W274" s="348"/>
      <c r="X274" s="347"/>
      <c r="Y274" s="348"/>
      <c r="Z274" s="347"/>
      <c r="AA274" s="348"/>
      <c r="AB274" s="303"/>
      <c r="AC274" s="152"/>
      <c r="AG274" s="117"/>
      <c r="AH274" s="117"/>
      <c r="AI274" s="130"/>
      <c r="AJ274" s="130"/>
      <c r="AK274" s="117"/>
      <c r="AL274" s="117"/>
      <c r="AM274" s="117"/>
      <c r="AN274" s="117"/>
      <c r="AO274" s="117"/>
      <c r="AP274" s="128"/>
      <c r="AQ274" s="117"/>
      <c r="AR274" s="89"/>
      <c r="AS274" s="89"/>
      <c r="AT274" s="87"/>
      <c r="AU274" s="75"/>
    </row>
    <row r="275" spans="1:47" x14ac:dyDescent="0.25">
      <c r="AG275" s="91"/>
      <c r="AH275" s="91"/>
      <c r="AI275" s="92"/>
      <c r="AJ275" s="92"/>
      <c r="AK275" s="92"/>
      <c r="AL275" s="92"/>
      <c r="AM275" s="94"/>
      <c r="AN275" s="87"/>
      <c r="AO275" s="87"/>
      <c r="AP275" s="87"/>
      <c r="AQ275" s="87"/>
      <c r="AR275" s="87"/>
      <c r="AS275" s="87"/>
      <c r="AT275" s="87"/>
      <c r="AU275" s="75"/>
    </row>
    <row r="276" spans="1:47" x14ac:dyDescent="0.25">
      <c r="AG276" s="91"/>
      <c r="AH276" s="91"/>
      <c r="AI276" s="92"/>
      <c r="AJ276" s="92"/>
      <c r="AK276" s="92"/>
      <c r="AL276" s="92"/>
      <c r="AM276" s="94"/>
      <c r="AN276" s="87"/>
      <c r="AO276" s="87"/>
      <c r="AP276" s="87"/>
      <c r="AQ276" s="87"/>
      <c r="AR276" s="87"/>
      <c r="AS276" s="87"/>
      <c r="AT276" s="87"/>
      <c r="AU276" s="75"/>
    </row>
    <row r="277" spans="1:47" x14ac:dyDescent="0.25">
      <c r="AG277" s="84"/>
      <c r="AH277" s="84"/>
      <c r="AI277" s="78"/>
      <c r="AJ277" s="78"/>
      <c r="AK277" s="78"/>
      <c r="AN277" s="75"/>
      <c r="AO277" s="77"/>
      <c r="AP277" s="77"/>
      <c r="AT277" s="75"/>
      <c r="AU277" s="75"/>
    </row>
    <row r="278" spans="1:47" x14ac:dyDescent="0.25">
      <c r="AG278" s="84"/>
      <c r="AH278" s="84"/>
      <c r="AI278" s="78"/>
      <c r="AJ278" s="78"/>
      <c r="AK278" s="78"/>
      <c r="AN278" s="75"/>
      <c r="AO278" s="77"/>
      <c r="AP278" s="77"/>
      <c r="AT278" s="75"/>
      <c r="AU278" s="75"/>
    </row>
    <row r="279" spans="1:47" x14ac:dyDescent="0.25">
      <c r="AG279" s="84"/>
      <c r="AH279" s="84"/>
      <c r="AI279" s="78"/>
      <c r="AJ279" s="78"/>
      <c r="AK279" s="78"/>
      <c r="AN279" s="75"/>
      <c r="AO279" s="77"/>
      <c r="AP279" s="77"/>
      <c r="AT279" s="75"/>
      <c r="AU279" s="75"/>
    </row>
    <row r="280" spans="1:47" x14ac:dyDescent="0.25">
      <c r="AG280" s="84"/>
      <c r="AH280" s="84"/>
      <c r="AI280" s="78"/>
      <c r="AJ280" s="78"/>
      <c r="AK280" s="78"/>
      <c r="AN280" s="75"/>
      <c r="AO280" s="77"/>
      <c r="AP280" s="77"/>
      <c r="AT280" s="75"/>
      <c r="AU280" s="75"/>
    </row>
    <row r="281" spans="1:47" x14ac:dyDescent="0.25">
      <c r="AG281" s="84"/>
      <c r="AH281" s="84"/>
      <c r="AI281" s="78"/>
      <c r="AJ281" s="78"/>
      <c r="AK281" s="78"/>
      <c r="AN281" s="75"/>
      <c r="AO281" s="77"/>
      <c r="AP281" s="77"/>
      <c r="AT281" s="75"/>
      <c r="AU281" s="75"/>
    </row>
    <row r="282" spans="1:47" x14ac:dyDescent="0.25">
      <c r="AN282" s="75"/>
      <c r="AO282" s="77"/>
      <c r="AP282" s="77"/>
      <c r="AT282" s="75"/>
      <c r="AU282" s="75"/>
    </row>
    <row r="283" spans="1:47" x14ac:dyDescent="0.25">
      <c r="AG283" s="84"/>
      <c r="AH283" s="84"/>
      <c r="AI283" s="78"/>
      <c r="AJ283" s="78"/>
      <c r="AK283" s="78"/>
      <c r="AN283" s="75"/>
      <c r="AO283" s="77"/>
      <c r="AP283" s="77"/>
      <c r="AT283" s="75"/>
      <c r="AU283" s="75"/>
    </row>
    <row r="284" spans="1:47" x14ac:dyDescent="0.25">
      <c r="AG284" s="84"/>
      <c r="AH284" s="84"/>
      <c r="AI284" s="78"/>
      <c r="AJ284" s="78"/>
      <c r="AK284" s="78"/>
      <c r="AN284" s="75"/>
      <c r="AO284" s="77"/>
      <c r="AP284" s="77"/>
      <c r="AT284" s="75"/>
      <c r="AU284" s="75"/>
    </row>
    <row r="285" spans="1:47" x14ac:dyDescent="0.25">
      <c r="AG285" s="84"/>
      <c r="AH285" s="84"/>
      <c r="AI285" s="78"/>
      <c r="AJ285" s="78"/>
      <c r="AK285" s="78"/>
      <c r="AN285" s="75"/>
      <c r="AO285" s="77"/>
      <c r="AP285" s="77"/>
      <c r="AT285" s="75"/>
      <c r="AU285" s="75"/>
    </row>
    <row r="286" spans="1:47" x14ac:dyDescent="0.25">
      <c r="AG286" s="86"/>
      <c r="AH286" s="84"/>
      <c r="AI286" s="84"/>
      <c r="AJ286" s="84"/>
      <c r="AK286" s="84"/>
      <c r="AN286" s="75"/>
      <c r="AO286" s="77"/>
      <c r="AP286" s="77"/>
      <c r="AT286" s="75"/>
      <c r="AU286" s="75"/>
    </row>
    <row r="287" spans="1:47" x14ac:dyDescent="0.25">
      <c r="AG287" s="86"/>
      <c r="AH287" s="84"/>
      <c r="AI287" s="84"/>
      <c r="AJ287" s="84"/>
      <c r="AK287" s="84"/>
      <c r="AN287" s="75"/>
      <c r="AO287" s="77"/>
      <c r="AP287" s="77"/>
      <c r="AT287" s="75"/>
      <c r="AU287" s="75"/>
    </row>
    <row r="288" spans="1:47" x14ac:dyDescent="0.25">
      <c r="AG288" s="84"/>
      <c r="AH288" s="84"/>
      <c r="AI288" s="84"/>
      <c r="AJ288" s="84"/>
      <c r="AK288" s="78"/>
      <c r="AN288" s="75"/>
      <c r="AO288" s="77"/>
      <c r="AP288" s="77"/>
      <c r="AT288" s="75"/>
      <c r="AU288" s="75"/>
    </row>
    <row r="289" spans="33:47" x14ac:dyDescent="0.25">
      <c r="AG289" s="84"/>
      <c r="AH289" s="84"/>
      <c r="AI289" s="84"/>
      <c r="AJ289" s="84"/>
      <c r="AK289" s="78"/>
      <c r="AN289" s="75"/>
      <c r="AO289" s="77"/>
      <c r="AP289" s="77"/>
      <c r="AT289" s="75"/>
      <c r="AU289" s="75"/>
    </row>
    <row r="290" spans="33:47" x14ac:dyDescent="0.25">
      <c r="AG290" s="84"/>
      <c r="AH290" s="84"/>
      <c r="AI290" s="84"/>
      <c r="AJ290" s="84"/>
      <c r="AK290" s="78"/>
      <c r="AN290" s="75"/>
      <c r="AO290" s="77"/>
      <c r="AP290" s="77"/>
      <c r="AT290" s="75"/>
      <c r="AU290" s="75"/>
    </row>
    <row r="291" spans="33:47" x14ac:dyDescent="0.25">
      <c r="AG291" s="84"/>
      <c r="AH291" s="84"/>
      <c r="AI291" s="84"/>
      <c r="AJ291" s="84"/>
      <c r="AK291" s="78"/>
      <c r="AN291" s="75"/>
      <c r="AO291" s="77"/>
      <c r="AP291" s="77"/>
      <c r="AT291" s="75"/>
      <c r="AU291" s="75"/>
    </row>
    <row r="292" spans="33:47" x14ac:dyDescent="0.25">
      <c r="AG292" s="84"/>
      <c r="AH292" s="84"/>
      <c r="AI292" s="84"/>
      <c r="AJ292" s="84"/>
      <c r="AK292" s="78"/>
      <c r="AN292" s="75"/>
      <c r="AO292" s="77"/>
      <c r="AP292" s="77"/>
      <c r="AT292" s="75"/>
      <c r="AU292" s="75"/>
    </row>
    <row r="293" spans="33:47" x14ac:dyDescent="0.25">
      <c r="AG293" s="84"/>
      <c r="AH293" s="84"/>
      <c r="AI293" s="84"/>
      <c r="AJ293" s="84"/>
      <c r="AK293" s="78"/>
      <c r="AN293" s="75"/>
      <c r="AO293" s="77"/>
      <c r="AP293" s="77"/>
      <c r="AT293" s="75"/>
      <c r="AU293" s="75"/>
    </row>
    <row r="294" spans="33:47" x14ac:dyDescent="0.25">
      <c r="AG294" s="84"/>
      <c r="AH294" s="84"/>
      <c r="AI294" s="84"/>
      <c r="AJ294" s="84"/>
      <c r="AK294" s="78"/>
      <c r="AN294" s="75"/>
      <c r="AO294" s="77"/>
      <c r="AP294" s="77"/>
      <c r="AT294" s="75"/>
      <c r="AU294" s="75"/>
    </row>
    <row r="295" spans="33:47" x14ac:dyDescent="0.25">
      <c r="AG295" s="84"/>
      <c r="AH295" s="84"/>
      <c r="AI295" s="84"/>
      <c r="AJ295" s="84"/>
      <c r="AK295" s="78"/>
      <c r="AN295" s="75"/>
      <c r="AO295" s="77"/>
      <c r="AP295" s="77"/>
      <c r="AT295" s="75"/>
      <c r="AU295" s="75"/>
    </row>
    <row r="296" spans="33:47" x14ac:dyDescent="0.25">
      <c r="AG296" s="84"/>
      <c r="AH296" s="84"/>
      <c r="AI296" s="84"/>
      <c r="AJ296" s="84"/>
      <c r="AK296" s="78"/>
      <c r="AN296" s="75"/>
      <c r="AO296" s="77"/>
      <c r="AP296" s="77"/>
      <c r="AT296" s="75"/>
      <c r="AU296" s="75"/>
    </row>
    <row r="297" spans="33:47" x14ac:dyDescent="0.25">
      <c r="AG297" s="84"/>
      <c r="AH297" s="84"/>
      <c r="AI297" s="84"/>
      <c r="AJ297" s="84"/>
      <c r="AK297" s="78"/>
      <c r="AN297" s="75"/>
      <c r="AO297" s="77"/>
      <c r="AP297" s="77"/>
      <c r="AT297" s="75"/>
      <c r="AU297" s="75"/>
    </row>
    <row r="298" spans="33:47" x14ac:dyDescent="0.25">
      <c r="AG298" s="84"/>
      <c r="AH298" s="84"/>
      <c r="AI298" s="84"/>
      <c r="AJ298" s="84"/>
      <c r="AK298" s="78"/>
      <c r="AN298" s="75"/>
      <c r="AO298" s="77"/>
      <c r="AP298" s="77"/>
      <c r="AT298" s="75"/>
      <c r="AU298" s="75"/>
    </row>
    <row r="299" spans="33:47" x14ac:dyDescent="0.25">
      <c r="AG299" s="84"/>
      <c r="AH299" s="84"/>
      <c r="AI299" s="84"/>
      <c r="AJ299" s="84"/>
      <c r="AK299" s="78"/>
      <c r="AN299" s="75"/>
      <c r="AO299" s="77"/>
      <c r="AP299" s="77"/>
      <c r="AT299" s="75"/>
      <c r="AU299" s="75"/>
    </row>
    <row r="300" spans="33:47" x14ac:dyDescent="0.25">
      <c r="AG300" s="84"/>
      <c r="AH300" s="84"/>
      <c r="AI300" s="84"/>
      <c r="AJ300" s="84"/>
      <c r="AK300" s="78"/>
      <c r="AN300" s="75"/>
      <c r="AO300" s="77"/>
      <c r="AP300" s="77"/>
      <c r="AT300" s="75"/>
      <c r="AU300" s="75"/>
    </row>
    <row r="301" spans="33:47" x14ac:dyDescent="0.25">
      <c r="AG301" s="84"/>
      <c r="AH301" s="84"/>
      <c r="AI301" s="84"/>
      <c r="AJ301" s="84"/>
      <c r="AK301" s="78"/>
      <c r="AN301" s="75"/>
      <c r="AO301" s="77"/>
      <c r="AP301" s="77"/>
      <c r="AT301" s="75"/>
      <c r="AU301" s="75"/>
    </row>
    <row r="302" spans="33:47" x14ac:dyDescent="0.25">
      <c r="AG302" s="84"/>
      <c r="AH302" s="84"/>
      <c r="AI302" s="84"/>
      <c r="AJ302" s="84"/>
      <c r="AK302" s="78"/>
      <c r="AN302" s="75"/>
      <c r="AO302" s="77"/>
      <c r="AP302" s="77"/>
      <c r="AT302" s="75"/>
      <c r="AU302" s="75"/>
    </row>
    <row r="303" spans="33:47" x14ac:dyDescent="0.25">
      <c r="AG303" s="84"/>
      <c r="AH303" s="84"/>
      <c r="AI303" s="84"/>
      <c r="AJ303" s="84"/>
      <c r="AK303" s="78"/>
      <c r="AN303" s="75"/>
      <c r="AO303" s="77"/>
      <c r="AP303" s="77"/>
      <c r="AT303" s="75"/>
      <c r="AU303" s="75"/>
    </row>
    <row r="304" spans="33:47" x14ac:dyDescent="0.25">
      <c r="AG304" s="84"/>
      <c r="AH304" s="84"/>
      <c r="AI304" s="84"/>
      <c r="AJ304" s="84"/>
      <c r="AK304" s="78"/>
      <c r="AN304" s="75"/>
      <c r="AO304" s="77"/>
      <c r="AP304" s="77"/>
      <c r="AT304" s="75"/>
      <c r="AU304" s="75"/>
    </row>
    <row r="305" spans="33:47" x14ac:dyDescent="0.25">
      <c r="AG305" s="84"/>
      <c r="AH305" s="84"/>
      <c r="AI305" s="84"/>
      <c r="AJ305" s="84"/>
      <c r="AK305" s="78"/>
      <c r="AN305" s="75"/>
      <c r="AO305" s="77"/>
      <c r="AP305" s="77"/>
      <c r="AT305" s="75"/>
      <c r="AU305" s="75"/>
    </row>
    <row r="306" spans="33:47" x14ac:dyDescent="0.25">
      <c r="AG306" s="84"/>
      <c r="AH306" s="84"/>
      <c r="AI306" s="84"/>
      <c r="AJ306" s="84"/>
      <c r="AK306" s="78"/>
      <c r="AN306" s="75"/>
      <c r="AO306" s="77"/>
      <c r="AP306" s="77"/>
      <c r="AT306" s="75"/>
      <c r="AU306" s="75"/>
    </row>
    <row r="307" spans="33:47" x14ac:dyDescent="0.25">
      <c r="AG307" s="84"/>
      <c r="AH307" s="84"/>
      <c r="AI307" s="84"/>
      <c r="AJ307" s="84"/>
      <c r="AK307" s="78"/>
      <c r="AN307" s="75"/>
      <c r="AO307" s="77"/>
      <c r="AP307" s="77"/>
      <c r="AT307" s="75"/>
      <c r="AU307" s="75"/>
    </row>
    <row r="308" spans="33:47" x14ac:dyDescent="0.25">
      <c r="AG308" s="84"/>
      <c r="AH308" s="84"/>
      <c r="AI308" s="84"/>
      <c r="AJ308" s="84"/>
      <c r="AK308" s="78"/>
      <c r="AN308" s="75"/>
      <c r="AO308" s="77"/>
      <c r="AP308" s="77"/>
      <c r="AT308" s="75"/>
      <c r="AU308" s="75"/>
    </row>
    <row r="309" spans="33:47" x14ac:dyDescent="0.25">
      <c r="AG309" s="84"/>
      <c r="AH309" s="84"/>
      <c r="AI309" s="84"/>
      <c r="AJ309" s="84"/>
      <c r="AK309" s="78"/>
      <c r="AO309" s="75"/>
      <c r="AS309" s="77"/>
      <c r="AU309" s="75"/>
    </row>
    <row r="310" spans="33:47" x14ac:dyDescent="0.25">
      <c r="AG310" s="82"/>
      <c r="AH310" s="82"/>
      <c r="AI310" s="82"/>
      <c r="AJ310" s="82"/>
      <c r="AK310" s="84"/>
      <c r="AL310" s="84"/>
      <c r="AO310" s="75"/>
      <c r="AS310" s="77"/>
      <c r="AU310" s="75"/>
    </row>
    <row r="311" spans="33:47" x14ac:dyDescent="0.25">
      <c r="AG311" s="82"/>
      <c r="AH311" s="82"/>
      <c r="AI311" s="82"/>
      <c r="AJ311" s="82"/>
      <c r="AK311" s="84"/>
      <c r="AL311" s="84"/>
      <c r="AO311" s="75"/>
      <c r="AS311" s="77"/>
      <c r="AU311" s="75"/>
    </row>
    <row r="312" spans="33:47" x14ac:dyDescent="0.25">
      <c r="AG312" s="82"/>
      <c r="AH312" s="82"/>
      <c r="AI312" s="82"/>
      <c r="AJ312" s="82"/>
      <c r="AK312" s="84"/>
      <c r="AL312" s="84"/>
      <c r="AO312" s="75"/>
      <c r="AS312" s="77"/>
      <c r="AU312" s="75"/>
    </row>
    <row r="313" spans="33:47" x14ac:dyDescent="0.25">
      <c r="AG313" s="82"/>
      <c r="AH313" s="82"/>
      <c r="AI313" s="82"/>
      <c r="AJ313" s="82"/>
      <c r="AK313" s="84"/>
      <c r="AL313" s="84"/>
      <c r="AO313" s="75"/>
      <c r="AS313" s="77"/>
      <c r="AU313" s="75"/>
    </row>
    <row r="314" spans="33:47" x14ac:dyDescent="0.25">
      <c r="AG314" s="82"/>
      <c r="AH314" s="82"/>
      <c r="AI314" s="82"/>
      <c r="AJ314" s="82"/>
      <c r="AK314" s="84"/>
      <c r="AL314" s="84"/>
      <c r="AO314" s="75"/>
      <c r="AS314" s="77"/>
      <c r="AU314" s="75"/>
    </row>
    <row r="315" spans="33:47" x14ac:dyDescent="0.25">
      <c r="AG315" s="82"/>
      <c r="AH315" s="82"/>
      <c r="AI315" s="82"/>
      <c r="AJ315" s="82"/>
      <c r="AK315" s="84"/>
      <c r="AL315" s="84"/>
      <c r="AO315" s="75"/>
      <c r="AS315" s="77"/>
      <c r="AU315" s="75"/>
    </row>
    <row r="316" spans="33:47" x14ac:dyDescent="0.25">
      <c r="AG316" s="82"/>
      <c r="AH316" s="82"/>
      <c r="AI316" s="82"/>
      <c r="AJ316" s="82"/>
      <c r="AK316" s="84"/>
      <c r="AL316" s="84"/>
      <c r="AO316" s="75"/>
      <c r="AS316" s="77"/>
      <c r="AU316" s="75"/>
    </row>
    <row r="317" spans="33:47" x14ac:dyDescent="0.25">
      <c r="AG317" s="153"/>
      <c r="AH317" s="82"/>
      <c r="AI317" s="82"/>
      <c r="AJ317" s="82"/>
      <c r="AK317" s="84"/>
      <c r="AL317" s="84"/>
      <c r="AO317" s="75"/>
      <c r="AS317" s="77"/>
      <c r="AU317" s="75"/>
    </row>
    <row r="318" spans="33:47" x14ac:dyDescent="0.25">
      <c r="AG318" s="153"/>
      <c r="AH318" s="82"/>
      <c r="AI318" s="82"/>
      <c r="AJ318" s="82"/>
      <c r="AK318" s="84"/>
      <c r="AL318" s="84"/>
      <c r="AO318" s="75"/>
      <c r="AS318" s="77"/>
      <c r="AU318" s="75"/>
    </row>
    <row r="319" spans="33:47" x14ac:dyDescent="0.25">
      <c r="AG319" s="82"/>
      <c r="AH319" s="82"/>
      <c r="AI319" s="82"/>
      <c r="AJ319" s="82"/>
      <c r="AK319" s="84"/>
      <c r="AL319" s="84"/>
      <c r="AO319" s="75"/>
      <c r="AS319" s="77"/>
      <c r="AU319" s="75"/>
    </row>
    <row r="320" spans="33:47" x14ac:dyDescent="0.25">
      <c r="AG320" s="82"/>
      <c r="AH320" s="82"/>
      <c r="AI320" s="82"/>
      <c r="AJ320" s="82"/>
      <c r="AK320" s="84"/>
      <c r="AL320" s="84"/>
      <c r="AO320" s="75"/>
      <c r="AS320" s="77"/>
      <c r="AU320" s="75"/>
    </row>
    <row r="321" spans="33:47" x14ac:dyDescent="0.25">
      <c r="AG321" s="82"/>
      <c r="AH321" s="82"/>
      <c r="AI321" s="82"/>
      <c r="AJ321" s="82"/>
      <c r="AK321" s="84"/>
      <c r="AL321" s="84"/>
      <c r="AO321" s="75"/>
      <c r="AS321" s="77"/>
      <c r="AU321" s="75"/>
    </row>
    <row r="322" spans="33:47" x14ac:dyDescent="0.25">
      <c r="AG322" s="82"/>
      <c r="AH322" s="82"/>
      <c r="AI322" s="82"/>
      <c r="AJ322" s="82"/>
      <c r="AK322" s="84"/>
      <c r="AL322" s="84"/>
      <c r="AO322" s="75"/>
      <c r="AS322" s="77"/>
      <c r="AU322" s="75"/>
    </row>
    <row r="323" spans="33:47" x14ac:dyDescent="0.25">
      <c r="AG323" s="82"/>
      <c r="AH323" s="82"/>
      <c r="AI323" s="82"/>
      <c r="AJ323" s="82"/>
      <c r="AK323" s="84"/>
      <c r="AL323" s="84"/>
      <c r="AO323" s="75"/>
      <c r="AS323" s="77"/>
      <c r="AU323" s="75"/>
    </row>
    <row r="324" spans="33:47" x14ac:dyDescent="0.25">
      <c r="AG324" s="82"/>
      <c r="AH324" s="82"/>
      <c r="AI324" s="82"/>
      <c r="AJ324" s="82"/>
      <c r="AK324" s="84"/>
      <c r="AL324" s="84"/>
      <c r="AO324" s="75"/>
      <c r="AS324" s="77"/>
      <c r="AU324" s="75"/>
    </row>
    <row r="325" spans="33:47" x14ac:dyDescent="0.25">
      <c r="AG325" s="82"/>
      <c r="AH325" s="82"/>
      <c r="AI325" s="82"/>
      <c r="AJ325" s="82"/>
      <c r="AK325" s="84"/>
      <c r="AL325" s="84"/>
      <c r="AO325" s="75"/>
      <c r="AS325" s="77"/>
      <c r="AU325" s="75"/>
    </row>
    <row r="326" spans="33:47" x14ac:dyDescent="0.25">
      <c r="AG326" s="82"/>
      <c r="AH326" s="82"/>
      <c r="AI326" s="82"/>
      <c r="AJ326" s="82"/>
      <c r="AK326" s="84"/>
      <c r="AL326" s="84"/>
      <c r="AO326" s="75"/>
      <c r="AS326" s="77"/>
      <c r="AU326" s="75"/>
    </row>
    <row r="327" spans="33:47" x14ac:dyDescent="0.25">
      <c r="AG327" s="82"/>
      <c r="AH327" s="82"/>
      <c r="AI327" s="82"/>
      <c r="AJ327" s="82"/>
      <c r="AK327" s="84"/>
      <c r="AL327" s="84"/>
    </row>
    <row r="328" spans="33:47" x14ac:dyDescent="0.25">
      <c r="AG328" s="82"/>
      <c r="AH328" s="82"/>
      <c r="AI328" s="82"/>
      <c r="AJ328" s="82"/>
      <c r="AK328" s="82"/>
      <c r="AL328" s="84"/>
    </row>
    <row r="329" spans="33:47" x14ac:dyDescent="0.25">
      <c r="AG329" s="82"/>
      <c r="AH329" s="82"/>
      <c r="AI329" s="82"/>
      <c r="AJ329" s="82"/>
      <c r="AK329" s="82"/>
      <c r="AL329" s="84"/>
    </row>
    <row r="330" spans="33:47" x14ac:dyDescent="0.25">
      <c r="AG330" s="82"/>
      <c r="AH330" s="82"/>
      <c r="AI330" s="82"/>
      <c r="AJ330" s="82"/>
      <c r="AK330" s="82"/>
      <c r="AL330" s="84"/>
    </row>
    <row r="331" spans="33:47" x14ac:dyDescent="0.25">
      <c r="AG331" s="82"/>
      <c r="AH331" s="82"/>
      <c r="AI331" s="82"/>
      <c r="AJ331" s="82"/>
      <c r="AK331" s="82"/>
      <c r="AL331" s="84"/>
    </row>
    <row r="332" spans="33:47" x14ac:dyDescent="0.25">
      <c r="AG332" s="82"/>
      <c r="AH332" s="82"/>
      <c r="AI332" s="82"/>
      <c r="AJ332" s="82"/>
      <c r="AK332" s="82"/>
      <c r="AL332" s="84"/>
    </row>
    <row r="333" spans="33:47" x14ac:dyDescent="0.25">
      <c r="AG333" s="82"/>
      <c r="AH333" s="82"/>
      <c r="AI333" s="82"/>
      <c r="AJ333" s="82"/>
      <c r="AK333" s="82"/>
      <c r="AL333" s="84"/>
    </row>
    <row r="334" spans="33:47" x14ac:dyDescent="0.25">
      <c r="AG334" s="82"/>
      <c r="AH334" s="82"/>
      <c r="AI334" s="82"/>
      <c r="AJ334" s="82"/>
      <c r="AK334" s="82"/>
      <c r="AL334" s="84"/>
    </row>
    <row r="335" spans="33:47" x14ac:dyDescent="0.25">
      <c r="AG335" s="82"/>
      <c r="AH335" s="82"/>
      <c r="AI335" s="82"/>
      <c r="AJ335" s="82"/>
      <c r="AK335" s="82"/>
      <c r="AL335" s="84"/>
    </row>
    <row r="336" spans="33:47" x14ac:dyDescent="0.25">
      <c r="AG336" s="82"/>
      <c r="AH336" s="82"/>
      <c r="AI336" s="82"/>
      <c r="AJ336" s="82"/>
      <c r="AK336" s="82"/>
      <c r="AL336" s="84"/>
    </row>
    <row r="337" spans="33:38" x14ac:dyDescent="0.25">
      <c r="AG337" s="82"/>
      <c r="AH337" s="82"/>
      <c r="AI337" s="82"/>
      <c r="AJ337" s="82"/>
      <c r="AK337" s="82"/>
      <c r="AL337" s="84"/>
    </row>
    <row r="338" spans="33:38" x14ac:dyDescent="0.25">
      <c r="AG338" s="82"/>
      <c r="AH338" s="82"/>
      <c r="AI338" s="82"/>
      <c r="AJ338" s="82"/>
      <c r="AK338" s="82"/>
      <c r="AL338" s="84"/>
    </row>
    <row r="339" spans="33:38" x14ac:dyDescent="0.25">
      <c r="AG339" s="82"/>
      <c r="AH339" s="82"/>
      <c r="AI339" s="82"/>
      <c r="AJ339" s="82"/>
      <c r="AK339" s="82"/>
      <c r="AL339" s="84"/>
    </row>
    <row r="340" spans="33:38" x14ac:dyDescent="0.25">
      <c r="AH340" s="82"/>
      <c r="AI340" s="82"/>
      <c r="AJ340" s="82"/>
      <c r="AK340" s="82"/>
      <c r="AL340" s="84"/>
    </row>
    <row r="341" spans="33:38" x14ac:dyDescent="0.25">
      <c r="AG341" s="82"/>
      <c r="AH341" s="82"/>
      <c r="AI341" s="82"/>
      <c r="AJ341" s="82"/>
      <c r="AK341" s="82"/>
      <c r="AL341" s="84"/>
    </row>
    <row r="342" spans="33:38" x14ac:dyDescent="0.25">
      <c r="AG342" s="82"/>
      <c r="AH342" s="82"/>
      <c r="AI342" s="82"/>
      <c r="AJ342" s="82"/>
      <c r="AK342" s="82"/>
      <c r="AL342" s="84"/>
    </row>
    <row r="343" spans="33:38" x14ac:dyDescent="0.25">
      <c r="AH343" s="82"/>
      <c r="AI343" s="82"/>
      <c r="AJ343" s="82"/>
      <c r="AK343" s="82"/>
      <c r="AL343" s="84"/>
    </row>
    <row r="344" spans="33:38" x14ac:dyDescent="0.25">
      <c r="AG344" s="82"/>
      <c r="AH344" s="82"/>
      <c r="AI344" s="82"/>
      <c r="AJ344" s="82"/>
      <c r="AK344" s="82"/>
      <c r="AL344" s="84"/>
    </row>
    <row r="345" spans="33:38" x14ac:dyDescent="0.25">
      <c r="AG345" s="82"/>
      <c r="AH345" s="82"/>
      <c r="AI345" s="82"/>
      <c r="AJ345" s="82"/>
      <c r="AK345" s="82"/>
      <c r="AL345" s="84"/>
    </row>
    <row r="346" spans="33:38" x14ac:dyDescent="0.25">
      <c r="AG346" s="82"/>
      <c r="AH346" s="82"/>
      <c r="AI346" s="82"/>
      <c r="AJ346" s="82"/>
      <c r="AK346" s="82"/>
      <c r="AL346" s="84"/>
    </row>
    <row r="347" spans="33:38" x14ac:dyDescent="0.25">
      <c r="AG347" s="82"/>
      <c r="AH347" s="82"/>
      <c r="AI347" s="82"/>
      <c r="AJ347" s="82"/>
      <c r="AK347" s="82"/>
      <c r="AL347" s="84"/>
    </row>
    <row r="348" spans="33:38" x14ac:dyDescent="0.25">
      <c r="AG348" s="82"/>
      <c r="AH348" s="82"/>
      <c r="AI348" s="82"/>
      <c r="AJ348" s="82"/>
      <c r="AK348" s="82"/>
      <c r="AL348" s="84"/>
    </row>
    <row r="349" spans="33:38" x14ac:dyDescent="0.25">
      <c r="AG349" s="82"/>
      <c r="AH349" s="82"/>
      <c r="AI349" s="82"/>
      <c r="AJ349" s="82"/>
      <c r="AK349" s="82"/>
      <c r="AL349" s="84"/>
    </row>
    <row r="350" spans="33:38" x14ac:dyDescent="0.25">
      <c r="AG350" s="82"/>
      <c r="AH350" s="82"/>
      <c r="AI350" s="82"/>
      <c r="AJ350" s="82"/>
      <c r="AK350" s="82"/>
      <c r="AL350" s="84"/>
    </row>
    <row r="351" spans="33:38" x14ac:dyDescent="0.25">
      <c r="AG351" s="82"/>
      <c r="AH351" s="82"/>
      <c r="AI351" s="82"/>
      <c r="AJ351" s="82"/>
      <c r="AK351" s="82"/>
      <c r="AL351" s="86"/>
    </row>
    <row r="352" spans="33:38" x14ac:dyDescent="0.25">
      <c r="AG352" s="82"/>
      <c r="AH352" s="82"/>
      <c r="AI352" s="82"/>
      <c r="AJ352" s="82"/>
      <c r="AK352" s="82"/>
      <c r="AL352" s="86"/>
    </row>
    <row r="353" spans="33:38" x14ac:dyDescent="0.25">
      <c r="AG353" s="154"/>
      <c r="AH353" s="111"/>
      <c r="AI353" s="82"/>
      <c r="AJ353" s="82"/>
      <c r="AK353" s="82"/>
      <c r="AL353" s="86"/>
    </row>
    <row r="354" spans="33:38" x14ac:dyDescent="0.25">
      <c r="AG354" s="154"/>
      <c r="AH354" s="111"/>
      <c r="AI354" s="82"/>
      <c r="AJ354" s="82"/>
      <c r="AK354" s="82"/>
      <c r="AL354" s="86"/>
    </row>
    <row r="355" spans="33:38" x14ac:dyDescent="0.25">
      <c r="AG355" s="154"/>
      <c r="AH355" s="111"/>
      <c r="AI355" s="82"/>
      <c r="AJ355" s="82"/>
      <c r="AK355" s="82"/>
      <c r="AL355" s="86"/>
    </row>
    <row r="356" spans="33:38" x14ac:dyDescent="0.25">
      <c r="AG356" s="154"/>
      <c r="AH356" s="111"/>
      <c r="AI356" s="82"/>
      <c r="AJ356" s="82"/>
      <c r="AK356" s="82"/>
      <c r="AL356" s="86"/>
    </row>
    <row r="357" spans="33:38" x14ac:dyDescent="0.25">
      <c r="AG357" s="154"/>
      <c r="AH357" s="111"/>
    </row>
    <row r="358" spans="33:38" x14ac:dyDescent="0.25">
      <c r="AG358" s="154"/>
      <c r="AH358" s="111"/>
    </row>
    <row r="359" spans="33:38" x14ac:dyDescent="0.25">
      <c r="AG359" s="154"/>
      <c r="AH359" s="111"/>
    </row>
    <row r="360" spans="33:38" x14ac:dyDescent="0.25">
      <c r="AG360" s="154"/>
      <c r="AH360" s="111"/>
    </row>
    <row r="361" spans="33:38" x14ac:dyDescent="0.25">
      <c r="AG361" s="154"/>
      <c r="AH361" s="111"/>
    </row>
    <row r="362" spans="33:38" x14ac:dyDescent="0.25">
      <c r="AG362" s="154"/>
      <c r="AH362" s="111"/>
    </row>
    <row r="363" spans="33:38" x14ac:dyDescent="0.25">
      <c r="AG363" s="154"/>
      <c r="AH363" s="111"/>
    </row>
    <row r="364" spans="33:38" x14ac:dyDescent="0.25">
      <c r="AG364" s="154"/>
      <c r="AH364" s="111"/>
    </row>
    <row r="365" spans="33:38" x14ac:dyDescent="0.25">
      <c r="AG365" s="154"/>
      <c r="AH365" s="111"/>
    </row>
    <row r="366" spans="33:38" x14ac:dyDescent="0.25">
      <c r="AG366" s="154"/>
      <c r="AH366" s="112"/>
    </row>
    <row r="367" spans="33:38" x14ac:dyDescent="0.25">
      <c r="AG367" s="154"/>
      <c r="AH367" s="112"/>
    </row>
    <row r="368" spans="33:38" x14ac:dyDescent="0.25">
      <c r="AG368" s="154"/>
      <c r="AH368" s="112"/>
    </row>
    <row r="369" spans="33:34" x14ac:dyDescent="0.25">
      <c r="AG369" s="154"/>
      <c r="AH369" s="112"/>
    </row>
    <row r="370" spans="33:34" x14ac:dyDescent="0.25">
      <c r="AG370" s="112"/>
      <c r="AH370" s="112"/>
    </row>
    <row r="371" spans="33:34" x14ac:dyDescent="0.25">
      <c r="AG371" s="112"/>
      <c r="AH371" s="112"/>
    </row>
  </sheetData>
  <mergeCells count="6">
    <mergeCell ref="R21:AC21"/>
    <mergeCell ref="E21:J21"/>
    <mergeCell ref="K21:M21"/>
    <mergeCell ref="D21:D22"/>
    <mergeCell ref="N21:O21"/>
    <mergeCell ref="P21:Q21"/>
  </mergeCells>
  <dataValidations disablePrompts="1" count="1">
    <dataValidation type="list" allowBlank="1" showInputMessage="1" showErrorMessage="1" sqref="B204 B42 B24 B168 B150 B186 B222">
      <formula1>$H$1:$H$2</formula1>
    </dataValidation>
  </dataValidations>
  <pageMargins left="0.7" right="0.7" top="0.75" bottom="0.75" header="0.3" footer="0.3"/>
  <pageSetup paperSize="9" orientation="portrait" horizontalDpi="180" verticalDpi="18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94"/>
  <sheetViews>
    <sheetView workbookViewId="0">
      <pane ySplit="2" topLeftCell="A3" activePane="bottomLeft" state="frozen"/>
      <selection pane="bottomLeft" activeCell="H32" sqref="H32"/>
    </sheetView>
  </sheetViews>
  <sheetFormatPr defaultRowHeight="12.75" x14ac:dyDescent="0.2"/>
  <cols>
    <col min="1" max="1" width="5.28515625" style="39" customWidth="1"/>
    <col min="2" max="2" width="28.140625" style="39" customWidth="1"/>
    <col min="3" max="3" width="6.140625" style="39" customWidth="1"/>
    <col min="4" max="4" width="7.85546875" style="39" customWidth="1"/>
    <col min="5" max="5" width="8.7109375" style="39" customWidth="1"/>
    <col min="6" max="6" width="7.85546875" style="39" customWidth="1"/>
    <col min="7" max="7" width="7" style="39" customWidth="1"/>
    <col min="8" max="8" width="7.140625" style="39" customWidth="1"/>
    <col min="9" max="9" width="6.42578125" style="39" customWidth="1"/>
    <col min="10" max="10" width="7.85546875" style="39" customWidth="1"/>
    <col min="11" max="11" width="3" style="39" customWidth="1"/>
    <col min="12" max="12" width="15.85546875" style="39" customWidth="1"/>
    <col min="13" max="14" width="18.42578125" style="39" customWidth="1"/>
    <col min="15" max="15" width="2.85546875" style="39" customWidth="1"/>
    <col min="16" max="16" width="22.28515625" style="39" hidden="1" customWidth="1"/>
    <col min="17" max="17" width="20.5703125" style="39" hidden="1" customWidth="1"/>
    <col min="18" max="16384" width="9.140625" style="39"/>
  </cols>
  <sheetData>
    <row r="1" spans="1:17" ht="12.75" customHeight="1" x14ac:dyDescent="0.2">
      <c r="A1" s="434" t="s">
        <v>0</v>
      </c>
      <c r="B1" s="434" t="s">
        <v>5</v>
      </c>
      <c r="C1" s="434" t="s">
        <v>130</v>
      </c>
      <c r="D1" s="435" t="s">
        <v>105</v>
      </c>
      <c r="E1" s="436"/>
      <c r="F1" s="436"/>
      <c r="G1" s="436"/>
      <c r="H1" s="436"/>
      <c r="I1" s="437"/>
      <c r="J1" s="432" t="s">
        <v>50</v>
      </c>
      <c r="K1" s="3"/>
    </row>
    <row r="2" spans="1:17" ht="29.25" customHeight="1" x14ac:dyDescent="0.2">
      <c r="A2" s="434"/>
      <c r="B2" s="434"/>
      <c r="C2" s="434"/>
      <c r="D2" s="21" t="str">
        <f>IF(OR('Вводные 2'!G24="", 'Вводные 2'!G42=""), "Кухня", "Кухня-гостиная")</f>
        <v>Кухня-гостиная</v>
      </c>
      <c r="E2" s="21" t="s">
        <v>122</v>
      </c>
      <c r="F2" s="21" t="s">
        <v>123</v>
      </c>
      <c r="G2" s="21" t="s">
        <v>25</v>
      </c>
      <c r="H2" s="21" t="s">
        <v>16</v>
      </c>
      <c r="I2" s="21" t="s">
        <v>185</v>
      </c>
      <c r="J2" s="433"/>
      <c r="K2" s="40"/>
      <c r="M2" s="296" t="s">
        <v>16</v>
      </c>
      <c r="N2" s="296" t="s">
        <v>185</v>
      </c>
    </row>
    <row r="3" spans="1:17" x14ac:dyDescent="0.2">
      <c r="A3" s="21">
        <f>SUBTOTAL(3,$B$3:B3)</f>
        <v>1</v>
      </c>
      <c r="B3" s="25" t="s">
        <v>17</v>
      </c>
      <c r="C3" s="21" t="s">
        <v>3</v>
      </c>
      <c r="D3" s="24">
        <f>'Вводные 2'!AG2</f>
        <v>49.573894000000003</v>
      </c>
      <c r="E3" s="24">
        <f>'Вводные 2'!AG5</f>
        <v>37.849229999999999</v>
      </c>
      <c r="F3" s="24">
        <f>'Вводные 2'!AG6</f>
        <v>34.223488000000003</v>
      </c>
      <c r="G3" s="24">
        <f>'Вводные 2'!AG13</f>
        <v>67.011837</v>
      </c>
      <c r="H3" s="24"/>
      <c r="I3" s="24"/>
      <c r="J3" s="24">
        <f t="shared" ref="J3:J40" si="0">SUM(D3:I3)</f>
        <v>188.65844900000002</v>
      </c>
      <c r="K3" s="41"/>
      <c r="L3" s="66" t="s">
        <v>567</v>
      </c>
      <c r="M3" s="378" t="s">
        <v>545</v>
      </c>
      <c r="N3" s="378" t="s">
        <v>545</v>
      </c>
      <c r="P3" s="298" t="s">
        <v>568</v>
      </c>
      <c r="Q3" s="297" t="s">
        <v>545</v>
      </c>
    </row>
    <row r="4" spans="1:17" x14ac:dyDescent="0.2">
      <c r="A4" s="53">
        <f>SUBTOTAL(3,$B$3:B4)</f>
        <v>2</v>
      </c>
      <c r="B4" s="25" t="s">
        <v>20</v>
      </c>
      <c r="C4" s="21" t="s">
        <v>3</v>
      </c>
      <c r="D4" s="24">
        <f>'Вводные 2'!AH2</f>
        <v>23.704374999999999</v>
      </c>
      <c r="E4" s="24">
        <f>'Вводные 2'!AH5</f>
        <v>21.121142000000003</v>
      </c>
      <c r="F4" s="24">
        <f>'Вводные 2'!AH6</f>
        <v>33.58892800000001</v>
      </c>
      <c r="G4" s="24">
        <f>'Вводные 2'!AH13</f>
        <v>46.974021</v>
      </c>
      <c r="H4" s="24">
        <f>'Вводные 2'!AH17</f>
        <v>19.716618</v>
      </c>
      <c r="I4" s="24"/>
      <c r="J4" s="24">
        <f t="shared" si="0"/>
        <v>145.10508400000003</v>
      </c>
      <c r="K4" s="41"/>
      <c r="L4" s="66" t="s">
        <v>566</v>
      </c>
      <c r="M4" s="273">
        <f>IF('Вводные 2'!D258 &lt;&gt; "",  'Вводные 2'!D258, 'Вводные 2'!#REF!)</f>
        <v>2637</v>
      </c>
      <c r="N4" s="273">
        <f>IF('Вводные 2'!D240 &lt;&gt; "",  'Вводные 2'!D240, 'Вводные 2'!#REF!)</f>
        <v>2645</v>
      </c>
      <c r="Q4" s="297" t="s">
        <v>569</v>
      </c>
    </row>
    <row r="5" spans="1:17" x14ac:dyDescent="0.2">
      <c r="A5" s="53">
        <f>SUBTOTAL(3,$B$3:B5)</f>
        <v>3</v>
      </c>
      <c r="B5" s="25" t="s">
        <v>7</v>
      </c>
      <c r="C5" s="21" t="s">
        <v>3</v>
      </c>
      <c r="D5" s="24">
        <f>D4</f>
        <v>23.704374999999999</v>
      </c>
      <c r="E5" s="24">
        <f t="shared" ref="E5:G5" si="1">E4</f>
        <v>21.121142000000003</v>
      </c>
      <c r="F5" s="24">
        <f t="shared" si="1"/>
        <v>33.58892800000001</v>
      </c>
      <c r="G5" s="24">
        <f t="shared" si="1"/>
        <v>46.974021</v>
      </c>
      <c r="H5" s="24">
        <f>IF(M3=Q4, 'Вводные 2'!AH17*M6/M4, 0)</f>
        <v>0</v>
      </c>
      <c r="I5" s="24"/>
      <c r="J5" s="24">
        <f t="shared" si="0"/>
        <v>125.38846600000002</v>
      </c>
      <c r="K5" s="41"/>
      <c r="L5" s="66" t="s">
        <v>565</v>
      </c>
      <c r="M5" s="299">
        <v>1850</v>
      </c>
      <c r="N5" s="299">
        <v>1850</v>
      </c>
      <c r="Q5" s="297" t="s">
        <v>652</v>
      </c>
    </row>
    <row r="6" spans="1:17" x14ac:dyDescent="0.2">
      <c r="A6" s="53">
        <f>SUBTOTAL(3,$B$3:B6)</f>
        <v>4</v>
      </c>
      <c r="B6" s="25" t="s">
        <v>19</v>
      </c>
      <c r="C6" s="21" t="s">
        <v>3</v>
      </c>
      <c r="D6" s="24">
        <f>D3</f>
        <v>49.573894000000003</v>
      </c>
      <c r="E6" s="24">
        <f t="shared" ref="E6:G6" si="2">E3</f>
        <v>37.849229999999999</v>
      </c>
      <c r="F6" s="24">
        <f t="shared" si="2"/>
        <v>34.223488000000003</v>
      </c>
      <c r="G6" s="24">
        <f t="shared" si="2"/>
        <v>67.011837</v>
      </c>
      <c r="H6" s="24"/>
      <c r="I6" s="24"/>
      <c r="J6" s="24">
        <f t="shared" si="0"/>
        <v>188.65844900000002</v>
      </c>
      <c r="K6" s="41"/>
      <c r="L6" s="66" t="s">
        <v>570</v>
      </c>
      <c r="M6" s="273">
        <f>M4-M5</f>
        <v>787</v>
      </c>
      <c r="N6" s="273">
        <f>N4-N5</f>
        <v>795</v>
      </c>
    </row>
    <row r="7" spans="1:17" x14ac:dyDescent="0.2">
      <c r="A7" s="53">
        <f>SUBTOTAL(3,$B$3:B7)</f>
        <v>5</v>
      </c>
      <c r="B7" s="25" t="s">
        <v>21</v>
      </c>
      <c r="C7" s="21" t="s">
        <v>3</v>
      </c>
      <c r="D7" s="24">
        <f>D6</f>
        <v>49.573894000000003</v>
      </c>
      <c r="E7" s="24">
        <f>E3</f>
        <v>37.849229999999999</v>
      </c>
      <c r="F7" s="24">
        <f>F3</f>
        <v>34.223488000000003</v>
      </c>
      <c r="G7" s="24">
        <f>G6</f>
        <v>67.011837</v>
      </c>
      <c r="H7" s="24">
        <f>IF(M3=Q4, 'Вводные 2'!AG17*M6/M4, 0)</f>
        <v>0</v>
      </c>
      <c r="I7" s="24"/>
      <c r="J7" s="24">
        <f t="shared" si="0"/>
        <v>188.65844900000002</v>
      </c>
      <c r="K7" s="41"/>
    </row>
    <row r="8" spans="1:17" x14ac:dyDescent="0.2">
      <c r="A8" s="53">
        <f>SUBTOTAL(3,$B$3:B8)</f>
        <v>6</v>
      </c>
      <c r="B8" s="25" t="s">
        <v>8</v>
      </c>
      <c r="C8" s="21" t="s">
        <v>3</v>
      </c>
      <c r="D8" s="29"/>
      <c r="E8" s="24"/>
      <c r="F8" s="24"/>
      <c r="G8" s="24"/>
      <c r="H8" s="24">
        <f>IF(M3=Q4, 'Вводные 2'!AG17*M5/M4, 'Вводные 2'!AG17)</f>
        <v>19.716618</v>
      </c>
      <c r="I8" s="24"/>
      <c r="J8" s="24">
        <f t="shared" si="0"/>
        <v>19.716618</v>
      </c>
      <c r="K8" s="43"/>
      <c r="L8" s="66" t="s">
        <v>655</v>
      </c>
    </row>
    <row r="9" spans="1:17" x14ac:dyDescent="0.2">
      <c r="A9" s="53">
        <f>SUBTOTAL(3,$B$3:B9)</f>
        <v>7</v>
      </c>
      <c r="B9" s="25" t="s">
        <v>9</v>
      </c>
      <c r="C9" s="21" t="s">
        <v>3</v>
      </c>
      <c r="D9" s="29">
        <f>'Вводные 2'!AI3</f>
        <v>6.280087</v>
      </c>
      <c r="E9" s="24"/>
      <c r="F9" s="24"/>
      <c r="G9" s="29">
        <f>'Вводные 2'!AI14</f>
        <v>5.2089759999999998</v>
      </c>
      <c r="H9" s="24">
        <f>'Вводные 2'!AI17</f>
        <v>4.0555199999999996</v>
      </c>
      <c r="I9" s="24"/>
      <c r="J9" s="24">
        <f t="shared" si="0"/>
        <v>15.544582999999999</v>
      </c>
      <c r="K9" s="42"/>
      <c r="L9" s="66" t="s">
        <v>654</v>
      </c>
      <c r="M9" s="58">
        <f>IF(M3=Q5, M6/M4*H8, 0)</f>
        <v>0</v>
      </c>
      <c r="N9" s="58">
        <f>IF(N3=Q5, N6/N4*I8, 0)</f>
        <v>0</v>
      </c>
    </row>
    <row r="10" spans="1:17" x14ac:dyDescent="0.2">
      <c r="A10" s="53">
        <f>SUBTOTAL(3,$B$3:B10)</f>
        <v>8</v>
      </c>
      <c r="B10" s="25" t="s">
        <v>10</v>
      </c>
      <c r="C10" s="21" t="s">
        <v>3</v>
      </c>
      <c r="D10" s="24">
        <f>'Вводные 2'!AI4</f>
        <v>18.460712999999998</v>
      </c>
      <c r="E10" s="24">
        <f>'Вводные 2'!AI5</f>
        <v>15.662433</v>
      </c>
      <c r="F10" s="24">
        <f>'Вводные 2'!AI6</f>
        <v>14.108904000000001</v>
      </c>
      <c r="G10" s="24">
        <f>'Вводные 2'!AI15</f>
        <v>15.778967999999999</v>
      </c>
      <c r="H10" s="24"/>
      <c r="I10" s="24"/>
      <c r="J10" s="24">
        <f t="shared" si="0"/>
        <v>64.011018000000007</v>
      </c>
      <c r="K10" s="41"/>
      <c r="L10" s="66" t="s">
        <v>653</v>
      </c>
      <c r="M10" s="58">
        <f>IF(M3=Q5, M5/M4*H8+H9, 0)</f>
        <v>0</v>
      </c>
      <c r="N10" s="58">
        <f>IF(N3=Q5, N5/N4*I8+I9, 0)</f>
        <v>0</v>
      </c>
    </row>
    <row r="11" spans="1:17" x14ac:dyDescent="0.2">
      <c r="A11" s="53">
        <f>SUBTOTAL(3,$B$3:B11)</f>
        <v>9</v>
      </c>
      <c r="B11" s="25" t="s">
        <v>24</v>
      </c>
      <c r="C11" s="21" t="s">
        <v>6</v>
      </c>
      <c r="D11" s="24">
        <f>'Вводные 2'!AK2</f>
        <v>19.902999999999999</v>
      </c>
      <c r="E11" s="24">
        <f>'Вводные 2'!AK5</f>
        <v>15.648</v>
      </c>
      <c r="F11" s="24">
        <f>'Вводные 2'!AK6</f>
        <v>14.192</v>
      </c>
      <c r="G11" s="24">
        <f>'Вводные 2'!AK13</f>
        <v>23.964999999999996</v>
      </c>
      <c r="H11" s="24"/>
      <c r="I11" s="24"/>
      <c r="J11" s="24">
        <f t="shared" si="0"/>
        <v>73.707999999999998</v>
      </c>
    </row>
    <row r="12" spans="1:17" x14ac:dyDescent="0.2">
      <c r="A12" s="53">
        <f>SUBTOTAL(3,$B$3:B12)</f>
        <v>10</v>
      </c>
      <c r="B12" s="25" t="s">
        <v>82</v>
      </c>
      <c r="C12" s="21" t="s">
        <v>4</v>
      </c>
      <c r="D12" s="28">
        <v>1</v>
      </c>
      <c r="E12" s="21">
        <v>1</v>
      </c>
      <c r="F12" s="21">
        <v>1</v>
      </c>
      <c r="G12" s="21">
        <v>1</v>
      </c>
      <c r="H12" s="21"/>
      <c r="I12" s="21"/>
      <c r="J12" s="26">
        <f t="shared" si="0"/>
        <v>4</v>
      </c>
      <c r="K12" s="42"/>
    </row>
    <row r="13" spans="1:17" ht="25.5" x14ac:dyDescent="0.2">
      <c r="A13" s="53">
        <f>SUBTOTAL(3,$B$3:B13)</f>
        <v>11</v>
      </c>
      <c r="B13" s="25" t="s">
        <v>78</v>
      </c>
      <c r="C13" s="21" t="s">
        <v>3</v>
      </c>
      <c r="D13" s="24"/>
      <c r="E13" s="24"/>
      <c r="F13" s="24"/>
      <c r="G13" s="24"/>
      <c r="H13" s="24"/>
      <c r="I13" s="24"/>
      <c r="J13" s="24">
        <f t="shared" si="0"/>
        <v>0</v>
      </c>
    </row>
    <row r="14" spans="1:17" x14ac:dyDescent="0.2">
      <c r="A14" s="53">
        <f>SUBTOTAL(3,$B$3:B14)</f>
        <v>12</v>
      </c>
      <c r="B14" s="25" t="s">
        <v>181</v>
      </c>
      <c r="C14" s="53" t="s">
        <v>3</v>
      </c>
      <c r="D14" s="24"/>
      <c r="E14" s="24"/>
      <c r="F14" s="24"/>
      <c r="G14" s="24">
        <f>'Вводные 2'!AJ13</f>
        <v>20.987943999999999</v>
      </c>
      <c r="H14" s="24"/>
      <c r="I14" s="24"/>
      <c r="J14" s="24">
        <f t="shared" si="0"/>
        <v>20.987943999999999</v>
      </c>
    </row>
    <row r="15" spans="1:17" x14ac:dyDescent="0.2">
      <c r="A15" s="53">
        <f>SUBTOTAL(3,$B$3:B15)</f>
        <v>13</v>
      </c>
      <c r="B15" s="52" t="s">
        <v>155</v>
      </c>
      <c r="C15" s="53" t="s">
        <v>3</v>
      </c>
      <c r="D15" s="24">
        <f>'Вводные 2'!AJ2</f>
        <v>24.7408</v>
      </c>
      <c r="E15" s="24">
        <f>'Вводные 2'!AJ5</f>
        <v>15.662433</v>
      </c>
      <c r="F15" s="24">
        <f>'Вводные 2'!AJ6</f>
        <v>14.108904000000001</v>
      </c>
      <c r="G15" s="24">
        <f>'Вводные 2'!AJ13</f>
        <v>20.987943999999999</v>
      </c>
      <c r="H15" s="24">
        <f>'Вводные 2'!AJ17</f>
        <v>4.0555199999999996</v>
      </c>
      <c r="I15" s="24"/>
      <c r="J15" s="24">
        <f t="shared" si="0"/>
        <v>79.555600999999996</v>
      </c>
    </row>
    <row r="16" spans="1:17" x14ac:dyDescent="0.2">
      <c r="A16" s="53">
        <f>SUBTOTAL(3,$B$3:B16)</f>
        <v>14</v>
      </c>
      <c r="B16" s="60" t="s">
        <v>182</v>
      </c>
      <c r="C16" s="53" t="s">
        <v>3</v>
      </c>
      <c r="D16" s="58">
        <f>D15</f>
        <v>24.7408</v>
      </c>
      <c r="E16" s="58">
        <f t="shared" ref="E16:G16" si="3">E15</f>
        <v>15.662433</v>
      </c>
      <c r="F16" s="58">
        <f t="shared" si="3"/>
        <v>14.108904000000001</v>
      </c>
      <c r="G16" s="58">
        <f t="shared" si="3"/>
        <v>20.987943999999999</v>
      </c>
      <c r="H16" s="58">
        <f>H15</f>
        <v>4.0555199999999996</v>
      </c>
      <c r="I16" s="58"/>
      <c r="J16" s="24">
        <f t="shared" si="0"/>
        <v>79.555600999999996</v>
      </c>
    </row>
    <row r="17" spans="1:11" x14ac:dyDescent="0.2">
      <c r="A17" s="53">
        <f>SUBTOTAL(3,$B$3:B17)</f>
        <v>15</v>
      </c>
      <c r="B17" s="52" t="s">
        <v>183</v>
      </c>
      <c r="C17" s="53" t="s">
        <v>6</v>
      </c>
      <c r="D17" s="58">
        <f>'Вводные 2'!AK2</f>
        <v>19.902999999999999</v>
      </c>
      <c r="E17" s="58">
        <f>'Вводные 2'!AK5</f>
        <v>15.648</v>
      </c>
      <c r="F17" s="58">
        <f>'Вводные 2'!AK6</f>
        <v>14.192</v>
      </c>
      <c r="G17" s="58">
        <f>'Вводные 2'!AK13</f>
        <v>23.964999999999996</v>
      </c>
      <c r="H17" s="58"/>
      <c r="I17" s="58"/>
      <c r="J17" s="24">
        <f t="shared" si="0"/>
        <v>73.707999999999998</v>
      </c>
    </row>
    <row r="18" spans="1:11" x14ac:dyDescent="0.2">
      <c r="A18" s="53">
        <f>SUBTOTAL(3,$B$3:B18)</f>
        <v>16</v>
      </c>
      <c r="B18" s="52" t="s">
        <v>156</v>
      </c>
      <c r="C18" s="53" t="s">
        <v>6</v>
      </c>
      <c r="D18" s="58">
        <f>'Вводные 2'!AK2</f>
        <v>19.902999999999999</v>
      </c>
      <c r="E18" s="58">
        <f>'Вводные 2'!AK5</f>
        <v>15.648</v>
      </c>
      <c r="F18" s="58">
        <f>'Вводные 2'!AK6</f>
        <v>14.192</v>
      </c>
      <c r="G18" s="58">
        <f>'Вводные 2'!AK13</f>
        <v>23.964999999999996</v>
      </c>
      <c r="H18" s="58"/>
      <c r="I18" s="58"/>
      <c r="J18" s="24">
        <f t="shared" si="0"/>
        <v>73.707999999999998</v>
      </c>
    </row>
    <row r="19" spans="1:11" x14ac:dyDescent="0.2">
      <c r="A19" s="53">
        <f>SUBTOTAL(3,$B$3:B19)</f>
        <v>17</v>
      </c>
      <c r="B19" s="25" t="s">
        <v>97</v>
      </c>
      <c r="C19" s="21" t="s">
        <v>4</v>
      </c>
      <c r="D19" s="28"/>
      <c r="E19" s="28"/>
      <c r="F19" s="28"/>
      <c r="G19" s="21"/>
      <c r="H19" s="21"/>
      <c r="I19" s="21"/>
      <c r="J19" s="26">
        <f t="shared" si="0"/>
        <v>0</v>
      </c>
      <c r="K19" s="42"/>
    </row>
    <row r="20" spans="1:11" ht="25.5" x14ac:dyDescent="0.2">
      <c r="A20" s="53">
        <f>SUBTOTAL(3,$B$3:B20)</f>
        <v>18</v>
      </c>
      <c r="B20" s="51" t="s">
        <v>154</v>
      </c>
      <c r="C20" s="50" t="s">
        <v>6</v>
      </c>
      <c r="D20" s="157">
        <f>'Вводные 2'!AM2</f>
        <v>8.1219999999999999</v>
      </c>
      <c r="E20" s="158">
        <f>'Вводные 2'!AM5</f>
        <v>8.1219999999999999</v>
      </c>
      <c r="F20" s="158">
        <f>'Вводные 2'!AM6</f>
        <v>11.448</v>
      </c>
      <c r="G20" s="50"/>
      <c r="H20" s="50"/>
      <c r="I20" s="50"/>
      <c r="J20" s="24">
        <f t="shared" si="0"/>
        <v>27.692</v>
      </c>
      <c r="K20" s="42"/>
    </row>
    <row r="21" spans="1:11" ht="25.5" x14ac:dyDescent="0.2">
      <c r="A21" s="293">
        <f>SUBTOTAL(3,$B$3:B21)</f>
        <v>19</v>
      </c>
      <c r="B21" s="51" t="s">
        <v>564</v>
      </c>
      <c r="C21" s="292" t="s">
        <v>6</v>
      </c>
      <c r="D21" s="157"/>
      <c r="E21" s="158"/>
      <c r="F21" s="158"/>
      <c r="G21" s="292"/>
      <c r="H21" s="292"/>
      <c r="I21" s="292"/>
      <c r="J21" s="24">
        <f t="shared" si="0"/>
        <v>0</v>
      </c>
      <c r="K21" s="42"/>
    </row>
    <row r="22" spans="1:11" x14ac:dyDescent="0.2">
      <c r="A22" s="53">
        <f>SUBTOTAL(3,$B$3:B22)</f>
        <v>20</v>
      </c>
      <c r="B22" s="25" t="s">
        <v>22</v>
      </c>
      <c r="C22" s="21" t="s">
        <v>6</v>
      </c>
      <c r="D22" s="29">
        <f>'Вводные 2'!AL2</f>
        <v>5.8840000000000003</v>
      </c>
      <c r="E22" s="29">
        <f>'Вводные 2'!AL5</f>
        <v>5.8840000000000003</v>
      </c>
      <c r="F22" s="29">
        <f>'Вводные 2'!AL6</f>
        <v>4.383</v>
      </c>
      <c r="G22" s="24"/>
      <c r="H22" s="24"/>
      <c r="I22" s="24"/>
      <c r="J22" s="24">
        <f t="shared" si="0"/>
        <v>16.151</v>
      </c>
    </row>
    <row r="23" spans="1:11" x14ac:dyDescent="0.2">
      <c r="A23" s="53">
        <f>SUBTOTAL(3,$B$3:B23)</f>
        <v>21</v>
      </c>
      <c r="B23" s="25" t="s">
        <v>23</v>
      </c>
      <c r="C23" s="21" t="s">
        <v>6</v>
      </c>
      <c r="D23" s="24">
        <f>D22</f>
        <v>5.8840000000000003</v>
      </c>
      <c r="E23" s="24">
        <f>E22</f>
        <v>5.8840000000000003</v>
      </c>
      <c r="F23" s="24">
        <f>F22</f>
        <v>4.383</v>
      </c>
      <c r="G23" s="24"/>
      <c r="H23" s="24"/>
      <c r="I23" s="24"/>
      <c r="J23" s="24">
        <f t="shared" si="0"/>
        <v>16.151</v>
      </c>
    </row>
    <row r="24" spans="1:11" x14ac:dyDescent="0.2">
      <c r="A24" s="53">
        <f>SUBTOTAL(3,$B$3:B24)</f>
        <v>22</v>
      </c>
      <c r="B24" s="25" t="s">
        <v>83</v>
      </c>
      <c r="C24" s="21" t="s">
        <v>4</v>
      </c>
      <c r="D24" s="26"/>
      <c r="E24" s="26"/>
      <c r="F24" s="26">
        <v>1</v>
      </c>
      <c r="G24" s="26"/>
      <c r="H24" s="26"/>
      <c r="I24" s="26"/>
      <c r="J24" s="26">
        <f t="shared" si="0"/>
        <v>1</v>
      </c>
      <c r="K24" s="42"/>
    </row>
    <row r="25" spans="1:11" x14ac:dyDescent="0.2">
      <c r="A25" s="53">
        <f>SUBTOTAL(3,$B$3:B25)</f>
        <v>23</v>
      </c>
      <c r="B25" s="25" t="s">
        <v>96</v>
      </c>
      <c r="C25" s="21" t="s">
        <v>4</v>
      </c>
      <c r="D25" s="26"/>
      <c r="E25" s="26"/>
      <c r="F25" s="26"/>
      <c r="G25" s="26"/>
      <c r="H25" s="26"/>
      <c r="I25" s="26"/>
      <c r="J25" s="26">
        <f t="shared" si="0"/>
        <v>0</v>
      </c>
      <c r="K25" s="42"/>
    </row>
    <row r="26" spans="1:11" x14ac:dyDescent="0.2">
      <c r="A26" s="53">
        <f>SUBTOTAL(3,$B$3:B26)</f>
        <v>24</v>
      </c>
      <c r="B26" s="25" t="s">
        <v>98</v>
      </c>
      <c r="C26" s="21" t="s">
        <v>4</v>
      </c>
      <c r="D26" s="26"/>
      <c r="E26" s="26"/>
      <c r="F26" s="26"/>
      <c r="G26" s="26"/>
      <c r="H26" s="26"/>
      <c r="I26" s="26"/>
      <c r="J26" s="26">
        <f t="shared" si="0"/>
        <v>0</v>
      </c>
      <c r="K26" s="42"/>
    </row>
    <row r="27" spans="1:11" ht="25.5" x14ac:dyDescent="0.2">
      <c r="A27" s="53">
        <f>SUBTOTAL(3,$B$3:B27)</f>
        <v>25</v>
      </c>
      <c r="B27" s="25" t="s">
        <v>94</v>
      </c>
      <c r="C27" s="21" t="s">
        <v>95</v>
      </c>
      <c r="D27" s="26"/>
      <c r="E27" s="26"/>
      <c r="F27" s="26"/>
      <c r="G27" s="26"/>
      <c r="H27" s="26"/>
      <c r="I27" s="26"/>
      <c r="J27" s="26">
        <f t="shared" si="0"/>
        <v>0</v>
      </c>
      <c r="K27" s="42"/>
    </row>
    <row r="28" spans="1:11" ht="14.25" customHeight="1" x14ac:dyDescent="0.2">
      <c r="A28" s="53">
        <f>SUBTOTAL(3,$B$3:B28)</f>
        <v>26</v>
      </c>
      <c r="B28" s="25" t="s">
        <v>92</v>
      </c>
      <c r="C28" s="21" t="s">
        <v>4</v>
      </c>
      <c r="D28" s="26"/>
      <c r="E28" s="26"/>
      <c r="F28" s="26"/>
      <c r="G28" s="27">
        <v>1</v>
      </c>
      <c r="H28" s="26"/>
      <c r="I28" s="27"/>
      <c r="J28" s="26">
        <f t="shared" si="0"/>
        <v>1</v>
      </c>
      <c r="K28" s="42"/>
    </row>
    <row r="29" spans="1:11" x14ac:dyDescent="0.2">
      <c r="A29" s="53">
        <f>SUBTOTAL(3,$B$3:B29)</f>
        <v>27</v>
      </c>
      <c r="B29" s="25" t="s">
        <v>87</v>
      </c>
      <c r="C29" s="8" t="s">
        <v>4</v>
      </c>
      <c r="D29" s="26"/>
      <c r="E29" s="26"/>
      <c r="F29" s="26">
        <v>1</v>
      </c>
      <c r="G29" s="26"/>
      <c r="H29" s="26">
        <v>1</v>
      </c>
      <c r="I29" s="26">
        <v>1</v>
      </c>
      <c r="J29" s="26">
        <f t="shared" si="0"/>
        <v>3</v>
      </c>
      <c r="K29" s="44"/>
    </row>
    <row r="30" spans="1:11" ht="14.25" customHeight="1" x14ac:dyDescent="0.2">
      <c r="A30" s="53">
        <f>SUBTOTAL(3,$B$3:B30)</f>
        <v>28</v>
      </c>
      <c r="B30" s="25" t="s">
        <v>100</v>
      </c>
      <c r="C30" s="21" t="s">
        <v>90</v>
      </c>
      <c r="D30" s="26"/>
      <c r="E30" s="26"/>
      <c r="F30" s="26"/>
      <c r="G30" s="26"/>
      <c r="H30" s="26"/>
      <c r="I30" s="26"/>
      <c r="J30" s="26">
        <f t="shared" si="0"/>
        <v>0</v>
      </c>
      <c r="K30" s="43"/>
    </row>
    <row r="31" spans="1:11" x14ac:dyDescent="0.2">
      <c r="A31" s="53">
        <f>SUBTOTAL(3,$B$3:B31)</f>
        <v>29</v>
      </c>
      <c r="B31" s="25" t="s">
        <v>79</v>
      </c>
      <c r="C31" s="21" t="s">
        <v>4</v>
      </c>
      <c r="D31" s="26"/>
      <c r="E31" s="26"/>
      <c r="F31" s="26"/>
      <c r="G31" s="26"/>
      <c r="H31" s="26">
        <f>IF(H$8&lt;&gt;"", 2, 0)</f>
        <v>2</v>
      </c>
      <c r="I31" s="26">
        <f>IF(I$8&lt;&gt;"", 1, 0)</f>
        <v>0</v>
      </c>
      <c r="J31" s="26">
        <f t="shared" si="0"/>
        <v>2</v>
      </c>
      <c r="K31" s="42"/>
    </row>
    <row r="32" spans="1:11" ht="13.5" customHeight="1" x14ac:dyDescent="0.2">
      <c r="A32" s="68">
        <f>SUBTOTAL(3,$B$3:B32)</f>
        <v>30</v>
      </c>
      <c r="B32" s="25" t="s">
        <v>80</v>
      </c>
      <c r="C32" s="21" t="s">
        <v>4</v>
      </c>
      <c r="D32" s="65"/>
      <c r="E32" s="26"/>
      <c r="F32" s="26"/>
      <c r="G32" s="26"/>
      <c r="H32" s="26">
        <f>IF(H$8&lt;&gt;"", 1-H36, 0)</f>
        <v>1</v>
      </c>
      <c r="I32" s="26">
        <f>IF(I$8&lt;&gt;"", 1-I36, 0)</f>
        <v>0</v>
      </c>
      <c r="J32" s="26">
        <f t="shared" si="0"/>
        <v>1</v>
      </c>
      <c r="K32" s="45"/>
    </row>
    <row r="33" spans="1:11" x14ac:dyDescent="0.2">
      <c r="A33" s="68">
        <f>SUBTOTAL(3,$B$3:B33)</f>
        <v>31</v>
      </c>
      <c r="B33" s="25" t="s">
        <v>99</v>
      </c>
      <c r="C33" s="21" t="s">
        <v>4</v>
      </c>
      <c r="D33" s="26"/>
      <c r="E33" s="26"/>
      <c r="F33" s="26"/>
      <c r="G33" s="26"/>
      <c r="H33" s="26">
        <f>IF(OR(H$8&lt;&gt;"", H$9&lt;&gt;""), 1-H37, 0)</f>
        <v>1</v>
      </c>
      <c r="I33" s="26">
        <f>IF(OR(I$8&lt;&gt;"", I$9&lt;&gt;""), 1-I37, 0)</f>
        <v>0</v>
      </c>
      <c r="J33" s="26">
        <f t="shared" si="0"/>
        <v>1</v>
      </c>
      <c r="K33" s="42"/>
    </row>
    <row r="34" spans="1:11" ht="25.5" x14ac:dyDescent="0.2">
      <c r="A34" s="275">
        <f>SUBTOTAL(3,$B$3:B34)</f>
        <v>32</v>
      </c>
      <c r="B34" s="25" t="s">
        <v>551</v>
      </c>
      <c r="C34" s="275" t="s">
        <v>4</v>
      </c>
      <c r="D34" s="26"/>
      <c r="E34" s="26"/>
      <c r="F34" s="26"/>
      <c r="G34" s="26"/>
      <c r="H34" s="26"/>
      <c r="I34" s="26"/>
      <c r="J34" s="26">
        <f t="shared" si="0"/>
        <v>0</v>
      </c>
      <c r="K34" s="42"/>
    </row>
    <row r="35" spans="1:11" x14ac:dyDescent="0.2">
      <c r="A35" s="276">
        <f>SUBTOTAL(3,$B$3:B35)</f>
        <v>33</v>
      </c>
      <c r="B35" s="25" t="s">
        <v>554</v>
      </c>
      <c r="C35" s="276" t="s">
        <v>4</v>
      </c>
      <c r="D35" s="26"/>
      <c r="E35" s="26"/>
      <c r="F35" s="26"/>
      <c r="G35" s="26"/>
      <c r="H35" s="26"/>
      <c r="I35" s="26"/>
      <c r="J35" s="26">
        <f t="shared" si="0"/>
        <v>0</v>
      </c>
      <c r="K35" s="42"/>
    </row>
    <row r="36" spans="1:11" x14ac:dyDescent="0.2">
      <c r="A36" s="353">
        <f>SUBTOTAL(3,$B$3:B36)</f>
        <v>34</v>
      </c>
      <c r="B36" s="25" t="s">
        <v>631</v>
      </c>
      <c r="C36" s="353" t="s">
        <v>4</v>
      </c>
      <c r="D36" s="26"/>
      <c r="E36" s="26"/>
      <c r="F36" s="26"/>
      <c r="G36" s="26"/>
      <c r="H36" s="26"/>
      <c r="I36" s="26"/>
      <c r="J36" s="26">
        <f t="shared" si="0"/>
        <v>0</v>
      </c>
      <c r="K36" s="42"/>
    </row>
    <row r="37" spans="1:11" x14ac:dyDescent="0.2">
      <c r="A37" s="353">
        <f>SUBTOTAL(3,$B$3:B37)</f>
        <v>35</v>
      </c>
      <c r="B37" s="25" t="s">
        <v>635</v>
      </c>
      <c r="C37" s="353" t="s">
        <v>4</v>
      </c>
      <c r="D37" s="26"/>
      <c r="E37" s="26"/>
      <c r="F37" s="26"/>
      <c r="G37" s="26"/>
      <c r="H37" s="26"/>
      <c r="I37" s="26"/>
      <c r="J37" s="26">
        <f t="shared" si="0"/>
        <v>0</v>
      </c>
      <c r="K37" s="42"/>
    </row>
    <row r="38" spans="1:11" x14ac:dyDescent="0.2">
      <c r="A38" s="68">
        <f>SUBTOTAL(3,$B$3:B38)</f>
        <v>36</v>
      </c>
      <c r="B38" s="25" t="s">
        <v>11</v>
      </c>
      <c r="C38" s="21" t="s">
        <v>4</v>
      </c>
      <c r="D38" s="16"/>
      <c r="E38" s="21"/>
      <c r="F38" s="21"/>
      <c r="G38" s="21"/>
      <c r="H38" s="28"/>
      <c r="I38" s="21"/>
      <c r="J38" s="26">
        <f t="shared" si="0"/>
        <v>0</v>
      </c>
      <c r="K38" s="42"/>
    </row>
    <row r="39" spans="1:11" ht="25.5" x14ac:dyDescent="0.2">
      <c r="A39" s="68">
        <f>SUBTOTAL(3,$B$3:B39)</f>
        <v>37</v>
      </c>
      <c r="B39" s="25" t="s">
        <v>86</v>
      </c>
      <c r="C39" s="21" t="s">
        <v>4</v>
      </c>
      <c r="D39" s="26"/>
      <c r="E39" s="26"/>
      <c r="F39" s="26"/>
      <c r="G39" s="26"/>
      <c r="H39" s="26"/>
      <c r="I39" s="26"/>
      <c r="J39" s="26">
        <f t="shared" si="0"/>
        <v>0</v>
      </c>
      <c r="K39" s="42"/>
    </row>
    <row r="40" spans="1:11" x14ac:dyDescent="0.2">
      <c r="A40" s="68">
        <f>SUBTOTAL(3,$B$3:B40)</f>
        <v>38</v>
      </c>
      <c r="B40" s="25" t="s">
        <v>39</v>
      </c>
      <c r="C40" s="21" t="s">
        <v>6</v>
      </c>
      <c r="D40" s="29"/>
      <c r="E40" s="24"/>
      <c r="F40" s="24"/>
      <c r="G40" s="24"/>
      <c r="H40" s="24"/>
      <c r="I40" s="24"/>
      <c r="J40" s="24">
        <f t="shared" si="0"/>
        <v>0</v>
      </c>
      <c r="K40" s="42"/>
    </row>
    <row r="42" spans="1:11" x14ac:dyDescent="0.2">
      <c r="D42" s="265">
        <f t="shared" ref="D42:I42" si="4">COUNTIF(D3:D40,"&gt;0")</f>
        <v>16</v>
      </c>
      <c r="E42" s="265">
        <f t="shared" si="4"/>
        <v>15</v>
      </c>
      <c r="F42" s="265">
        <f t="shared" si="4"/>
        <v>17</v>
      </c>
      <c r="G42" s="265">
        <f t="shared" si="4"/>
        <v>15</v>
      </c>
      <c r="H42" s="265">
        <f t="shared" si="4"/>
        <v>9</v>
      </c>
      <c r="I42" s="265">
        <f t="shared" si="4"/>
        <v>1</v>
      </c>
    </row>
    <row r="94" s="46" customFormat="1" x14ac:dyDescent="0.2"/>
  </sheetData>
  <autoFilter ref="J1:J122"/>
  <mergeCells count="5">
    <mergeCell ref="J1:J2"/>
    <mergeCell ref="A1:A2"/>
    <mergeCell ref="B1:B2"/>
    <mergeCell ref="C1:C2"/>
    <mergeCell ref="D1:I1"/>
  </mergeCells>
  <dataValidations count="1">
    <dataValidation type="list" allowBlank="1" showInputMessage="1" showErrorMessage="1" sqref="M3:N3">
      <formula1>отделка</formula1>
    </dataValidation>
  </dataValidation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9"/>
  <sheetViews>
    <sheetView workbookViewId="0">
      <selection activeCell="L2" sqref="L2"/>
    </sheetView>
  </sheetViews>
  <sheetFormatPr defaultRowHeight="12.75" x14ac:dyDescent="0.25"/>
  <cols>
    <col min="1" max="1" width="5.140625" style="6" customWidth="1"/>
    <col min="2" max="2" width="29.28515625" style="38" customWidth="1"/>
    <col min="3" max="3" width="6.5703125" style="6" customWidth="1"/>
    <col min="4" max="4" width="7.85546875" style="6" customWidth="1"/>
    <col min="5" max="8" width="7.28515625" style="6" customWidth="1"/>
    <col min="9" max="9" width="8.7109375" style="6" customWidth="1"/>
    <col min="10" max="10" width="10" style="6" customWidth="1"/>
    <col min="11" max="16384" width="9.140625" style="6"/>
  </cols>
  <sheetData>
    <row r="1" spans="1:10" x14ac:dyDescent="0.25">
      <c r="A1" s="432" t="s">
        <v>0</v>
      </c>
      <c r="B1" s="432" t="s">
        <v>1</v>
      </c>
      <c r="C1" s="432" t="s">
        <v>130</v>
      </c>
      <c r="D1" s="432" t="s">
        <v>2</v>
      </c>
      <c r="E1" s="438" t="s">
        <v>131</v>
      </c>
      <c r="F1" s="439"/>
      <c r="G1" s="439"/>
      <c r="H1" s="440"/>
      <c r="I1" s="432" t="s">
        <v>12</v>
      </c>
      <c r="J1" s="432" t="s">
        <v>132</v>
      </c>
    </row>
    <row r="2" spans="1:10" x14ac:dyDescent="0.25">
      <c r="A2" s="433"/>
      <c r="B2" s="433"/>
      <c r="C2" s="433"/>
      <c r="D2" s="433"/>
      <c r="E2" s="21">
        <v>1</v>
      </c>
      <c r="F2" s="21">
        <v>2</v>
      </c>
      <c r="G2" s="21">
        <v>3</v>
      </c>
      <c r="H2" s="22">
        <v>4</v>
      </c>
      <c r="I2" s="433"/>
      <c r="J2" s="433"/>
    </row>
    <row r="3" spans="1:10" x14ac:dyDescent="0.25">
      <c r="A3" s="21">
        <f>SUBTOTAL(3,$B$3:B3)</f>
        <v>1</v>
      </c>
      <c r="B3" s="23" t="s">
        <v>20</v>
      </c>
      <c r="C3" s="21" t="s">
        <v>3</v>
      </c>
      <c r="D3" s="24">
        <f>'Дефектная ведомость'!J4</f>
        <v>145.10508400000003</v>
      </c>
      <c r="E3" s="21">
        <v>450</v>
      </c>
      <c r="F3" s="21">
        <v>550</v>
      </c>
      <c r="G3" s="21">
        <v>660</v>
      </c>
      <c r="H3" s="21">
        <v>505</v>
      </c>
      <c r="I3" s="24">
        <f>AVERAGE(E3:H3)</f>
        <v>541.25</v>
      </c>
      <c r="J3" s="24">
        <f t="shared" ref="J3:J42" si="0">D3*I3</f>
        <v>78538.12671500002</v>
      </c>
    </row>
    <row r="4" spans="1:10" x14ac:dyDescent="0.25">
      <c r="A4" s="49">
        <f>SUBTOTAL(3,$B$3:B4)</f>
        <v>2</v>
      </c>
      <c r="B4" s="23" t="s">
        <v>27</v>
      </c>
      <c r="C4" s="21" t="s">
        <v>3</v>
      </c>
      <c r="D4" s="24">
        <f>'Дефектная ведомость'!J5</f>
        <v>125.38846600000002</v>
      </c>
      <c r="E4" s="21">
        <v>220</v>
      </c>
      <c r="F4" s="21">
        <v>440</v>
      </c>
      <c r="G4" s="21">
        <v>350</v>
      </c>
      <c r="H4" s="21">
        <v>350</v>
      </c>
      <c r="I4" s="24">
        <f>AVERAGE(E4:H4)</f>
        <v>340</v>
      </c>
      <c r="J4" s="24">
        <f t="shared" si="0"/>
        <v>42632.078440000005</v>
      </c>
    </row>
    <row r="5" spans="1:10" x14ac:dyDescent="0.25">
      <c r="A5" s="49">
        <f>SUBTOTAL(3,$B$3:B5)</f>
        <v>3</v>
      </c>
      <c r="B5" s="23" t="s">
        <v>28</v>
      </c>
      <c r="C5" s="21" t="s">
        <v>3</v>
      </c>
      <c r="D5" s="24">
        <f>D4</f>
        <v>125.38846600000002</v>
      </c>
      <c r="E5" s="21">
        <v>100</v>
      </c>
      <c r="F5" s="21">
        <v>100</v>
      </c>
      <c r="G5" s="21">
        <v>140</v>
      </c>
      <c r="H5" s="21">
        <v>90</v>
      </c>
      <c r="I5" s="24">
        <f t="shared" ref="I5:I42" si="1">AVERAGE(E5:H5)</f>
        <v>107.5</v>
      </c>
      <c r="J5" s="24">
        <f t="shared" si="0"/>
        <v>13479.260095000003</v>
      </c>
    </row>
    <row r="6" spans="1:10" x14ac:dyDescent="0.25">
      <c r="A6" s="49">
        <f>SUBTOTAL(3,$B$3:B6)</f>
        <v>4</v>
      </c>
      <c r="B6" s="23" t="s">
        <v>29</v>
      </c>
      <c r="C6" s="21" t="s">
        <v>3</v>
      </c>
      <c r="D6" s="24">
        <f>'Дефектная ведомость'!J7</f>
        <v>188.65844900000002</v>
      </c>
      <c r="E6" s="21">
        <v>40</v>
      </c>
      <c r="F6" s="21">
        <v>55</v>
      </c>
      <c r="G6" s="21">
        <v>50</v>
      </c>
      <c r="H6" s="21">
        <v>40</v>
      </c>
      <c r="I6" s="24">
        <f t="shared" si="1"/>
        <v>46.25</v>
      </c>
      <c r="J6" s="24">
        <f t="shared" si="0"/>
        <v>8725.4532662500005</v>
      </c>
    </row>
    <row r="7" spans="1:10" x14ac:dyDescent="0.25">
      <c r="A7" s="49">
        <f>SUBTOTAL(3,$B$3:B7)</f>
        <v>5</v>
      </c>
      <c r="B7" s="23" t="s">
        <v>21</v>
      </c>
      <c r="C7" s="21" t="s">
        <v>3</v>
      </c>
      <c r="D7" s="24">
        <f>D6</f>
        <v>188.65844900000002</v>
      </c>
      <c r="E7" s="21">
        <v>290</v>
      </c>
      <c r="F7" s="21">
        <v>300</v>
      </c>
      <c r="G7" s="21">
        <v>300</v>
      </c>
      <c r="H7" s="21">
        <v>253</v>
      </c>
      <c r="I7" s="24">
        <f t="shared" si="1"/>
        <v>285.75</v>
      </c>
      <c r="J7" s="24">
        <f t="shared" si="0"/>
        <v>53909.151801750006</v>
      </c>
    </row>
    <row r="8" spans="1:10" x14ac:dyDescent="0.25">
      <c r="A8" s="49">
        <f>SUBTOTAL(3,$B$3:B8)</f>
        <v>6</v>
      </c>
      <c r="B8" s="23" t="s">
        <v>30</v>
      </c>
      <c r="C8" s="21" t="s">
        <v>6</v>
      </c>
      <c r="D8" s="24">
        <f>'Дефектная ведомость'!J22</f>
        <v>16.151</v>
      </c>
      <c r="E8" s="21">
        <v>300</v>
      </c>
      <c r="F8" s="21">
        <v>450</v>
      </c>
      <c r="G8" s="21">
        <v>310</v>
      </c>
      <c r="H8" s="21">
        <v>310</v>
      </c>
      <c r="I8" s="24">
        <f t="shared" si="1"/>
        <v>342.5</v>
      </c>
      <c r="J8" s="24">
        <f t="shared" si="0"/>
        <v>5531.7174999999997</v>
      </c>
    </row>
    <row r="9" spans="1:10" x14ac:dyDescent="0.25">
      <c r="A9" s="49">
        <f>SUBTOTAL(3,$B$3:B9)</f>
        <v>7</v>
      </c>
      <c r="B9" s="25" t="s">
        <v>23</v>
      </c>
      <c r="C9" s="21" t="s">
        <v>6</v>
      </c>
      <c r="D9" s="24">
        <f>D8</f>
        <v>16.151</v>
      </c>
      <c r="E9" s="21">
        <v>230</v>
      </c>
      <c r="F9" s="21">
        <v>300</v>
      </c>
      <c r="G9" s="21">
        <v>190</v>
      </c>
      <c r="H9" s="21">
        <v>180</v>
      </c>
      <c r="I9" s="24">
        <f t="shared" si="1"/>
        <v>225</v>
      </c>
      <c r="J9" s="24">
        <f t="shared" si="0"/>
        <v>3633.9749999999999</v>
      </c>
    </row>
    <row r="10" spans="1:10" x14ac:dyDescent="0.25">
      <c r="A10" s="49">
        <f>SUBTOTAL(3,$B$3:B10)</f>
        <v>8</v>
      </c>
      <c r="B10" s="25" t="s">
        <v>31</v>
      </c>
      <c r="C10" s="21" t="s">
        <v>3</v>
      </c>
      <c r="D10" s="24">
        <f>'Дефектная ведомость'!J8</f>
        <v>19.716618</v>
      </c>
      <c r="E10" s="21">
        <v>200</v>
      </c>
      <c r="F10" s="21">
        <v>150</v>
      </c>
      <c r="G10" s="21">
        <v>90</v>
      </c>
      <c r="H10" s="21">
        <v>213</v>
      </c>
      <c r="I10" s="24">
        <f t="shared" si="1"/>
        <v>163.25</v>
      </c>
      <c r="J10" s="24">
        <f t="shared" si="0"/>
        <v>3218.7378885000003</v>
      </c>
    </row>
    <row r="11" spans="1:10" x14ac:dyDescent="0.25">
      <c r="A11" s="49">
        <f>SUBTOTAL(3,$B$3:B11)</f>
        <v>9</v>
      </c>
      <c r="B11" s="25" t="s">
        <v>32</v>
      </c>
      <c r="C11" s="21" t="s">
        <v>3</v>
      </c>
      <c r="D11" s="24">
        <f>D10</f>
        <v>19.716618</v>
      </c>
      <c r="E11" s="21">
        <v>850</v>
      </c>
      <c r="F11" s="21">
        <v>600</v>
      </c>
      <c r="G11" s="21">
        <v>1400</v>
      </c>
      <c r="H11" s="21">
        <v>890</v>
      </c>
      <c r="I11" s="24">
        <f t="shared" si="1"/>
        <v>935</v>
      </c>
      <c r="J11" s="24">
        <f t="shared" si="0"/>
        <v>18435.037830000001</v>
      </c>
    </row>
    <row r="12" spans="1:10" x14ac:dyDescent="0.25">
      <c r="A12" s="49">
        <f>SUBTOTAL(3,$B$3:B12)</f>
        <v>10</v>
      </c>
      <c r="B12" s="25" t="s">
        <v>33</v>
      </c>
      <c r="C12" s="21" t="s">
        <v>3</v>
      </c>
      <c r="D12" s="24">
        <f>'Дефектная ведомость'!J9</f>
        <v>15.544582999999999</v>
      </c>
      <c r="E12" s="21">
        <v>200</v>
      </c>
      <c r="F12" s="21">
        <v>150</v>
      </c>
      <c r="G12" s="21">
        <v>90</v>
      </c>
      <c r="H12" s="21">
        <v>211</v>
      </c>
      <c r="I12" s="24">
        <f t="shared" si="1"/>
        <v>162.75</v>
      </c>
      <c r="J12" s="24">
        <f t="shared" si="0"/>
        <v>2529.8808832499999</v>
      </c>
    </row>
    <row r="13" spans="1:10" x14ac:dyDescent="0.25">
      <c r="A13" s="49">
        <f>SUBTOTAL(3,$B$3:B13)</f>
        <v>11</v>
      </c>
      <c r="B13" s="25" t="s">
        <v>34</v>
      </c>
      <c r="C13" s="21" t="s">
        <v>3</v>
      </c>
      <c r="D13" s="24">
        <f>D12</f>
        <v>15.544582999999999</v>
      </c>
      <c r="E13" s="21">
        <v>850</v>
      </c>
      <c r="F13" s="21">
        <v>600</v>
      </c>
      <c r="G13" s="21">
        <v>1400</v>
      </c>
      <c r="H13" s="21">
        <v>890</v>
      </c>
      <c r="I13" s="24">
        <f t="shared" si="1"/>
        <v>935</v>
      </c>
      <c r="J13" s="24">
        <f t="shared" si="0"/>
        <v>14534.185104999999</v>
      </c>
    </row>
    <row r="14" spans="1:10" ht="25.5" x14ac:dyDescent="0.25">
      <c r="A14" s="49">
        <f>SUBTOTAL(3,$B$3:B14)</f>
        <v>12</v>
      </c>
      <c r="B14" s="25" t="s">
        <v>26</v>
      </c>
      <c r="C14" s="21" t="s">
        <v>3</v>
      </c>
      <c r="D14" s="24">
        <f>D11+D13</f>
        <v>35.261201</v>
      </c>
      <c r="E14" s="21">
        <v>140</v>
      </c>
      <c r="F14" s="21">
        <v>110</v>
      </c>
      <c r="G14" s="21">
        <v>60</v>
      </c>
      <c r="H14" s="21">
        <v>99</v>
      </c>
      <c r="I14" s="24">
        <f t="shared" si="1"/>
        <v>102.25</v>
      </c>
      <c r="J14" s="24">
        <f t="shared" si="0"/>
        <v>3605.45780225</v>
      </c>
    </row>
    <row r="15" spans="1:10" x14ac:dyDescent="0.25">
      <c r="A15" s="49">
        <f>SUBTOTAL(3,$B$3:B15)</f>
        <v>13</v>
      </c>
      <c r="B15" s="25" t="s">
        <v>73</v>
      </c>
      <c r="C15" s="21" t="s">
        <v>6</v>
      </c>
      <c r="D15" s="24">
        <f>'Дефектная ведомость'!J11</f>
        <v>73.707999999999998</v>
      </c>
      <c r="E15" s="21">
        <v>70</v>
      </c>
      <c r="F15" s="21">
        <v>50</v>
      </c>
      <c r="G15" s="21">
        <v>35</v>
      </c>
      <c r="H15" s="21">
        <v>49</v>
      </c>
      <c r="I15" s="24">
        <f t="shared" si="1"/>
        <v>51</v>
      </c>
      <c r="J15" s="24">
        <f t="shared" si="0"/>
        <v>3759.1079999999997</v>
      </c>
    </row>
    <row r="16" spans="1:10" x14ac:dyDescent="0.25">
      <c r="A16" s="49">
        <f>SUBTOTAL(3,$B$3:B16)</f>
        <v>14</v>
      </c>
      <c r="B16" s="25" t="s">
        <v>74</v>
      </c>
      <c r="C16" s="21" t="s">
        <v>6</v>
      </c>
      <c r="D16" s="24">
        <f>D15</f>
        <v>73.707999999999998</v>
      </c>
      <c r="E16" s="21">
        <v>150</v>
      </c>
      <c r="F16" s="21">
        <v>90</v>
      </c>
      <c r="G16" s="21">
        <v>110</v>
      </c>
      <c r="H16" s="21">
        <v>140</v>
      </c>
      <c r="I16" s="24">
        <f t="shared" si="1"/>
        <v>122.5</v>
      </c>
      <c r="J16" s="24">
        <f t="shared" si="0"/>
        <v>9029.23</v>
      </c>
    </row>
    <row r="17" spans="1:10" x14ac:dyDescent="0.25">
      <c r="A17" s="49">
        <f>SUBTOTAL(3,$B$3:B17)</f>
        <v>15</v>
      </c>
      <c r="B17" s="25" t="s">
        <v>35</v>
      </c>
      <c r="C17" s="21" t="s">
        <v>3</v>
      </c>
      <c r="D17" s="24">
        <f>'Дефектная ведомость'!J10</f>
        <v>64.011018000000007</v>
      </c>
      <c r="E17" s="21">
        <v>170</v>
      </c>
      <c r="F17" s="21">
        <v>90</v>
      </c>
      <c r="G17" s="21">
        <v>70</v>
      </c>
      <c r="H17" s="21">
        <v>133</v>
      </c>
      <c r="I17" s="24">
        <f t="shared" si="1"/>
        <v>115.75</v>
      </c>
      <c r="J17" s="24">
        <f t="shared" si="0"/>
        <v>7409.2753335000007</v>
      </c>
    </row>
    <row r="18" spans="1:10" x14ac:dyDescent="0.25">
      <c r="A18" s="49">
        <f>SUBTOTAL(3,$B$3:B18)</f>
        <v>16</v>
      </c>
      <c r="B18" s="25" t="s">
        <v>36</v>
      </c>
      <c r="C18" s="21" t="s">
        <v>3</v>
      </c>
      <c r="D18" s="24">
        <f>D17</f>
        <v>64.011018000000007</v>
      </c>
      <c r="E18" s="21">
        <v>290</v>
      </c>
      <c r="F18" s="21">
        <v>330</v>
      </c>
      <c r="G18" s="21">
        <v>450</v>
      </c>
      <c r="H18" s="21">
        <v>315</v>
      </c>
      <c r="I18" s="24">
        <f t="shared" si="1"/>
        <v>346.25</v>
      </c>
      <c r="J18" s="24">
        <f t="shared" si="0"/>
        <v>22163.814982500004</v>
      </c>
    </row>
    <row r="19" spans="1:10" x14ac:dyDescent="0.25">
      <c r="A19" s="64">
        <f>SUBTOTAL(3,$B$3:B19)</f>
        <v>17</v>
      </c>
      <c r="B19" s="25" t="s">
        <v>181</v>
      </c>
      <c r="C19" s="53" t="s">
        <v>3</v>
      </c>
      <c r="D19" s="24">
        <f>'Дефектная ведомость'!J14</f>
        <v>20.987943999999999</v>
      </c>
      <c r="E19" s="61">
        <v>550</v>
      </c>
      <c r="F19" s="61">
        <v>550</v>
      </c>
      <c r="G19" s="61">
        <v>700</v>
      </c>
      <c r="H19" s="61">
        <v>510</v>
      </c>
      <c r="I19" s="24">
        <f t="shared" si="1"/>
        <v>577.5</v>
      </c>
      <c r="J19" s="24">
        <f t="shared" si="0"/>
        <v>12120.53766</v>
      </c>
    </row>
    <row r="20" spans="1:10" x14ac:dyDescent="0.25">
      <c r="A20" s="64">
        <f>SUBTOTAL(3,$B$3:B20)</f>
        <v>18</v>
      </c>
      <c r="B20" s="25" t="s">
        <v>155</v>
      </c>
      <c r="C20" s="53" t="s">
        <v>3</v>
      </c>
      <c r="D20" s="24">
        <f>'Дефектная ведомость'!J15</f>
        <v>79.555600999999996</v>
      </c>
      <c r="E20" s="61">
        <v>360</v>
      </c>
      <c r="F20" s="61">
        <v>300</v>
      </c>
      <c r="G20" s="61">
        <v>1100</v>
      </c>
      <c r="H20" s="61">
        <v>409</v>
      </c>
      <c r="I20" s="24">
        <f t="shared" si="1"/>
        <v>542.25</v>
      </c>
      <c r="J20" s="24">
        <f t="shared" si="0"/>
        <v>43139.024642249999</v>
      </c>
    </row>
    <row r="21" spans="1:10" x14ac:dyDescent="0.25">
      <c r="A21" s="64">
        <f>SUBTOTAL(3,$B$3:B21)</f>
        <v>19</v>
      </c>
      <c r="B21" s="25" t="s">
        <v>182</v>
      </c>
      <c r="C21" s="53" t="s">
        <v>3</v>
      </c>
      <c r="D21" s="24">
        <f>'Дефектная ведомость'!J16</f>
        <v>79.555600999999996</v>
      </c>
      <c r="E21" s="61">
        <v>290</v>
      </c>
      <c r="F21" s="61">
        <v>300</v>
      </c>
      <c r="G21" s="61">
        <v>800</v>
      </c>
      <c r="H21" s="61">
        <v>265</v>
      </c>
      <c r="I21" s="24">
        <f t="shared" si="1"/>
        <v>413.75</v>
      </c>
      <c r="J21" s="24">
        <f t="shared" si="0"/>
        <v>32916.129913749995</v>
      </c>
    </row>
    <row r="22" spans="1:10" x14ac:dyDescent="0.25">
      <c r="A22" s="64">
        <f>SUBTOTAL(3,$B$3:B22)</f>
        <v>20</v>
      </c>
      <c r="B22" s="25" t="s">
        <v>183</v>
      </c>
      <c r="C22" s="53" t="s">
        <v>6</v>
      </c>
      <c r="D22" s="24">
        <f>'Дефектная ведомость'!J17</f>
        <v>73.707999999999998</v>
      </c>
      <c r="E22" s="61">
        <v>190</v>
      </c>
      <c r="F22" s="61">
        <v>100</v>
      </c>
      <c r="G22" s="61">
        <v>200</v>
      </c>
      <c r="H22" s="61">
        <v>138</v>
      </c>
      <c r="I22" s="24">
        <f t="shared" si="1"/>
        <v>157</v>
      </c>
      <c r="J22" s="24">
        <f t="shared" si="0"/>
        <v>11572.155999999999</v>
      </c>
    </row>
    <row r="23" spans="1:10" x14ac:dyDescent="0.25">
      <c r="A23" s="64">
        <f>SUBTOTAL(3,$B$3:B23)</f>
        <v>21</v>
      </c>
      <c r="B23" s="25" t="s">
        <v>184</v>
      </c>
      <c r="C23" s="53" t="s">
        <v>6</v>
      </c>
      <c r="D23" s="24">
        <f>'Дефектная ведомость'!J18</f>
        <v>73.707999999999998</v>
      </c>
      <c r="E23" s="61">
        <v>140</v>
      </c>
      <c r="F23" s="61"/>
      <c r="G23" s="61">
        <v>110</v>
      </c>
      <c r="H23" s="61">
        <v>145</v>
      </c>
      <c r="I23" s="24">
        <f t="shared" si="1"/>
        <v>131.66666666666666</v>
      </c>
      <c r="J23" s="24">
        <f t="shared" si="0"/>
        <v>9704.8866666666654</v>
      </c>
    </row>
    <row r="24" spans="1:10" x14ac:dyDescent="0.25">
      <c r="A24" s="64">
        <f>SUBTOTAL(3,$B$3:B24)</f>
        <v>22</v>
      </c>
      <c r="B24" s="25" t="s">
        <v>17</v>
      </c>
      <c r="C24" s="21" t="s">
        <v>3</v>
      </c>
      <c r="D24" s="24">
        <f>'Дефектная ведомость'!J3</f>
        <v>188.65844900000002</v>
      </c>
      <c r="E24" s="21">
        <v>70</v>
      </c>
      <c r="F24" s="21">
        <v>65</v>
      </c>
      <c r="G24" s="21">
        <v>90</v>
      </c>
      <c r="H24" s="21">
        <v>85</v>
      </c>
      <c r="I24" s="24">
        <f t="shared" si="1"/>
        <v>77.5</v>
      </c>
      <c r="J24" s="24">
        <f t="shared" si="0"/>
        <v>14621.029797500001</v>
      </c>
    </row>
    <row r="25" spans="1:10" x14ac:dyDescent="0.25">
      <c r="A25" s="64">
        <f>SUBTOTAL(3,$B$3:B25)</f>
        <v>23</v>
      </c>
      <c r="B25" s="20" t="s">
        <v>81</v>
      </c>
      <c r="C25" s="21" t="s">
        <v>3</v>
      </c>
      <c r="D25" s="24">
        <f>D24</f>
        <v>188.65844900000002</v>
      </c>
      <c r="E25" s="21">
        <v>230</v>
      </c>
      <c r="F25" s="21">
        <v>230</v>
      </c>
      <c r="G25" s="21">
        <v>175</v>
      </c>
      <c r="H25" s="21">
        <v>200</v>
      </c>
      <c r="I25" s="24">
        <f t="shared" si="1"/>
        <v>208.75</v>
      </c>
      <c r="J25" s="24">
        <f t="shared" si="0"/>
        <v>39382.451228750004</v>
      </c>
    </row>
    <row r="26" spans="1:10" x14ac:dyDescent="0.25">
      <c r="A26" s="49">
        <f>SUBTOTAL(3,$B$3:B26)</f>
        <v>24</v>
      </c>
      <c r="B26" s="25" t="s">
        <v>18</v>
      </c>
      <c r="C26" s="21" t="s">
        <v>3</v>
      </c>
      <c r="D26" s="24">
        <f>D18</f>
        <v>64.011018000000007</v>
      </c>
      <c r="E26" s="21">
        <v>190</v>
      </c>
      <c r="F26" s="21">
        <v>200</v>
      </c>
      <c r="G26" s="21">
        <v>210</v>
      </c>
      <c r="H26" s="21">
        <v>360</v>
      </c>
      <c r="I26" s="24">
        <f t="shared" si="1"/>
        <v>240</v>
      </c>
      <c r="J26" s="24">
        <f t="shared" si="0"/>
        <v>15362.644320000001</v>
      </c>
    </row>
    <row r="27" spans="1:10" x14ac:dyDescent="0.25">
      <c r="A27" s="49">
        <f>SUBTOTAL(3,$B$3:B27)</f>
        <v>25</v>
      </c>
      <c r="B27" s="25" t="s">
        <v>40</v>
      </c>
      <c r="C27" s="21" t="s">
        <v>4</v>
      </c>
      <c r="D27" s="26">
        <f>'Дефектная ведомость'!J31</f>
        <v>2</v>
      </c>
      <c r="E27" s="21">
        <v>300</v>
      </c>
      <c r="F27" s="21">
        <v>200</v>
      </c>
      <c r="G27" s="21">
        <v>220</v>
      </c>
      <c r="H27" s="21">
        <v>544</v>
      </c>
      <c r="I27" s="24">
        <f t="shared" si="1"/>
        <v>316</v>
      </c>
      <c r="J27" s="24">
        <f t="shared" si="0"/>
        <v>632</v>
      </c>
    </row>
    <row r="28" spans="1:10" x14ac:dyDescent="0.25">
      <c r="A28" s="49">
        <f>SUBTOTAL(3,$B$3:B28)</f>
        <v>26</v>
      </c>
      <c r="B28" s="25" t="s">
        <v>41</v>
      </c>
      <c r="C28" s="8" t="s">
        <v>4</v>
      </c>
      <c r="D28" s="26">
        <f>D27</f>
        <v>2</v>
      </c>
      <c r="E28" s="21">
        <v>350</v>
      </c>
      <c r="F28" s="21">
        <v>650</v>
      </c>
      <c r="G28" s="21">
        <v>500</v>
      </c>
      <c r="H28" s="21">
        <v>650</v>
      </c>
      <c r="I28" s="24">
        <f t="shared" si="1"/>
        <v>537.5</v>
      </c>
      <c r="J28" s="24">
        <f t="shared" si="0"/>
        <v>1075</v>
      </c>
    </row>
    <row r="29" spans="1:10" x14ac:dyDescent="0.25">
      <c r="A29" s="49">
        <f>SUBTOTAL(3,$B$3:B29)</f>
        <v>27</v>
      </c>
      <c r="B29" s="25" t="s">
        <v>42</v>
      </c>
      <c r="C29" s="21" t="s">
        <v>4</v>
      </c>
      <c r="D29" s="26">
        <f>'Дефектная ведомость'!J32+'Дефектная ведомость'!J36</f>
        <v>1</v>
      </c>
      <c r="E29" s="21">
        <v>350</v>
      </c>
      <c r="F29" s="21">
        <v>450</v>
      </c>
      <c r="G29" s="21">
        <v>320</v>
      </c>
      <c r="H29" s="21">
        <v>654</v>
      </c>
      <c r="I29" s="24">
        <f t="shared" si="1"/>
        <v>443.5</v>
      </c>
      <c r="J29" s="24">
        <f t="shared" si="0"/>
        <v>443.5</v>
      </c>
    </row>
    <row r="30" spans="1:10" x14ac:dyDescent="0.25">
      <c r="A30" s="49">
        <f>SUBTOTAL(3,$B$3:B30)</f>
        <v>28</v>
      </c>
      <c r="B30" s="25" t="s">
        <v>43</v>
      </c>
      <c r="C30" s="21" t="s">
        <v>4</v>
      </c>
      <c r="D30" s="26">
        <f>D29</f>
        <v>1</v>
      </c>
      <c r="E30" s="21">
        <v>2700</v>
      </c>
      <c r="F30" s="21">
        <v>1500</v>
      </c>
      <c r="G30" s="21">
        <v>2550</v>
      </c>
      <c r="H30" s="21">
        <v>1595</v>
      </c>
      <c r="I30" s="24">
        <f t="shared" si="1"/>
        <v>2086.25</v>
      </c>
      <c r="J30" s="24">
        <f t="shared" si="0"/>
        <v>2086.25</v>
      </c>
    </row>
    <row r="31" spans="1:10" x14ac:dyDescent="0.25">
      <c r="A31" s="49">
        <f>SUBTOTAL(3,$B$3:B31)</f>
        <v>29</v>
      </c>
      <c r="B31" s="25" t="s">
        <v>37</v>
      </c>
      <c r="C31" s="21" t="s">
        <v>4</v>
      </c>
      <c r="D31" s="26">
        <f>'Дефектная ведомость'!J33+'Дефектная ведомость'!J37</f>
        <v>1</v>
      </c>
      <c r="E31" s="21">
        <v>650</v>
      </c>
      <c r="F31" s="21">
        <v>350</v>
      </c>
      <c r="G31" s="21">
        <v>350</v>
      </c>
      <c r="H31" s="21">
        <v>654</v>
      </c>
      <c r="I31" s="24">
        <f t="shared" si="1"/>
        <v>501</v>
      </c>
      <c r="J31" s="24">
        <f t="shared" si="0"/>
        <v>501</v>
      </c>
    </row>
    <row r="32" spans="1:10" x14ac:dyDescent="0.25">
      <c r="A32" s="49">
        <f>SUBTOTAL(3,$B$3:B32)</f>
        <v>30</v>
      </c>
      <c r="B32" s="25" t="s">
        <v>38</v>
      </c>
      <c r="C32" s="21" t="s">
        <v>4</v>
      </c>
      <c r="D32" s="26">
        <f>D31</f>
        <v>1</v>
      </c>
      <c r="E32" s="21">
        <v>1850</v>
      </c>
      <c r="F32" s="21">
        <v>1500</v>
      </c>
      <c r="G32" s="21">
        <v>2550</v>
      </c>
      <c r="H32" s="21">
        <v>1840</v>
      </c>
      <c r="I32" s="24">
        <f t="shared" si="1"/>
        <v>1935</v>
      </c>
      <c r="J32" s="24">
        <f t="shared" si="0"/>
        <v>1935</v>
      </c>
    </row>
    <row r="33" spans="1:10" ht="25.5" x14ac:dyDescent="0.25">
      <c r="A33" s="275">
        <f>SUBTOTAL(3,$B$3:B33)</f>
        <v>31</v>
      </c>
      <c r="B33" s="25" t="s">
        <v>552</v>
      </c>
      <c r="C33" s="275" t="s">
        <v>4</v>
      </c>
      <c r="D33" s="26">
        <f>'Дефектная ведомость'!J34</f>
        <v>0</v>
      </c>
      <c r="E33" s="275">
        <v>2300</v>
      </c>
      <c r="F33" s="275">
        <v>1500</v>
      </c>
      <c r="G33" s="275">
        <v>7000</v>
      </c>
      <c r="H33" s="275">
        <v>2100</v>
      </c>
      <c r="I33" s="24">
        <f t="shared" si="1"/>
        <v>3225</v>
      </c>
      <c r="J33" s="24">
        <f t="shared" si="0"/>
        <v>0</v>
      </c>
    </row>
    <row r="34" spans="1:10" x14ac:dyDescent="0.25">
      <c r="A34" s="276">
        <f>SUBTOTAL(3,$B$3:B34)</f>
        <v>32</v>
      </c>
      <c r="B34" s="25" t="s">
        <v>555</v>
      </c>
      <c r="C34" s="276" t="s">
        <v>4</v>
      </c>
      <c r="D34" s="26">
        <f>'Дефектная ведомость'!J35</f>
        <v>0</v>
      </c>
      <c r="E34" s="276">
        <v>1900</v>
      </c>
      <c r="F34" s="276">
        <v>2500</v>
      </c>
      <c r="G34" s="276">
        <v>10000</v>
      </c>
      <c r="H34" s="276">
        <v>2565</v>
      </c>
      <c r="I34" s="24">
        <f t="shared" ref="I34" si="2">AVERAGE(E34:H34)</f>
        <v>4241.25</v>
      </c>
      <c r="J34" s="24">
        <f t="shared" ref="J34" si="3">D34*I34</f>
        <v>0</v>
      </c>
    </row>
    <row r="35" spans="1:10" x14ac:dyDescent="0.25">
      <c r="A35" s="49">
        <f>SUBTOTAL(3,$B$3:B35)</f>
        <v>33</v>
      </c>
      <c r="B35" s="25" t="s">
        <v>87</v>
      </c>
      <c r="C35" s="21" t="s">
        <v>4</v>
      </c>
      <c r="D35" s="26">
        <f>'Дефектная ведомость'!J29</f>
        <v>3</v>
      </c>
      <c r="E35" s="21"/>
      <c r="F35" s="21">
        <v>3200</v>
      </c>
      <c r="G35" s="21">
        <v>3350</v>
      </c>
      <c r="H35" s="21">
        <v>4100</v>
      </c>
      <c r="I35" s="24">
        <f t="shared" si="1"/>
        <v>3550</v>
      </c>
      <c r="J35" s="24">
        <f t="shared" si="0"/>
        <v>10650</v>
      </c>
    </row>
    <row r="36" spans="1:10" x14ac:dyDescent="0.25">
      <c r="A36" s="49">
        <f>SUBTOTAL(3,$B$3:B36)</f>
        <v>34</v>
      </c>
      <c r="B36" s="25" t="s">
        <v>89</v>
      </c>
      <c r="C36" s="21" t="s">
        <v>90</v>
      </c>
      <c r="D36" s="26">
        <f>'Дефектная ведомость'!J30</f>
        <v>0</v>
      </c>
      <c r="E36" s="21"/>
      <c r="F36" s="21">
        <v>900</v>
      </c>
      <c r="G36" s="21">
        <v>900</v>
      </c>
      <c r="H36" s="21">
        <v>1800</v>
      </c>
      <c r="I36" s="24">
        <f t="shared" si="1"/>
        <v>1200</v>
      </c>
      <c r="J36" s="24">
        <f t="shared" si="0"/>
        <v>0</v>
      </c>
    </row>
    <row r="37" spans="1:10" x14ac:dyDescent="0.25">
      <c r="A37" s="49">
        <f>SUBTOTAL(3,$B$3:B37)</f>
        <v>35</v>
      </c>
      <c r="B37" s="25" t="s">
        <v>92</v>
      </c>
      <c r="C37" s="21" t="s">
        <v>4</v>
      </c>
      <c r="D37" s="21">
        <f>'Дефектная ведомость'!J28</f>
        <v>1</v>
      </c>
      <c r="E37" s="21"/>
      <c r="F37" s="21">
        <v>5000</v>
      </c>
      <c r="G37" s="21">
        <v>4850</v>
      </c>
      <c r="H37" s="21">
        <v>6700</v>
      </c>
      <c r="I37" s="24">
        <f t="shared" si="1"/>
        <v>5516.666666666667</v>
      </c>
      <c r="J37" s="24">
        <f t="shared" si="0"/>
        <v>5516.666666666667</v>
      </c>
    </row>
    <row r="38" spans="1:10" x14ac:dyDescent="0.25">
      <c r="A38" s="49">
        <f>SUBTOTAL(3,$B$3:B38)</f>
        <v>36</v>
      </c>
      <c r="B38" s="25" t="s">
        <v>39</v>
      </c>
      <c r="C38" s="21" t="s">
        <v>6</v>
      </c>
      <c r="D38" s="21">
        <f>'Дефектная ведомость'!J40</f>
        <v>0</v>
      </c>
      <c r="E38" s="21">
        <v>100</v>
      </c>
      <c r="F38" s="21">
        <v>150</v>
      </c>
      <c r="G38" s="21">
        <v>110</v>
      </c>
      <c r="H38" s="21">
        <v>100</v>
      </c>
      <c r="I38" s="24">
        <f t="shared" si="1"/>
        <v>115</v>
      </c>
      <c r="J38" s="24">
        <f t="shared" si="0"/>
        <v>0</v>
      </c>
    </row>
    <row r="39" spans="1:10" x14ac:dyDescent="0.25">
      <c r="A39" s="49">
        <f>SUBTOTAL(3,$B$3:B39)</f>
        <v>37</v>
      </c>
      <c r="B39" s="25" t="s">
        <v>84</v>
      </c>
      <c r="C39" s="21" t="s">
        <v>4</v>
      </c>
      <c r="D39" s="26">
        <f>'Дефектная ведомость'!J24</f>
        <v>1</v>
      </c>
      <c r="E39" s="21">
        <v>350</v>
      </c>
      <c r="F39" s="21">
        <v>200</v>
      </c>
      <c r="G39" s="21">
        <v>500</v>
      </c>
      <c r="H39" s="21">
        <v>454</v>
      </c>
      <c r="I39" s="24">
        <f t="shared" si="1"/>
        <v>376</v>
      </c>
      <c r="J39" s="24">
        <f t="shared" si="0"/>
        <v>376</v>
      </c>
    </row>
    <row r="40" spans="1:10" x14ac:dyDescent="0.25">
      <c r="A40" s="49">
        <f>SUBTOTAL(3,$B$3:B40)</f>
        <v>38</v>
      </c>
      <c r="B40" s="25" t="s">
        <v>85</v>
      </c>
      <c r="C40" s="21" t="s">
        <v>4</v>
      </c>
      <c r="D40" s="26">
        <f>D39</f>
        <v>1</v>
      </c>
      <c r="E40" s="21">
        <v>690</v>
      </c>
      <c r="F40" s="21">
        <v>1000</v>
      </c>
      <c r="G40" s="21">
        <v>1300</v>
      </c>
      <c r="H40" s="21">
        <v>800</v>
      </c>
      <c r="I40" s="24">
        <f t="shared" si="1"/>
        <v>947.5</v>
      </c>
      <c r="J40" s="24">
        <f t="shared" si="0"/>
        <v>947.5</v>
      </c>
    </row>
    <row r="41" spans="1:10" x14ac:dyDescent="0.25">
      <c r="A41" s="49">
        <f>SUBTOTAL(3,$B$3:B41)</f>
        <v>39</v>
      </c>
      <c r="B41" s="25" t="s">
        <v>101</v>
      </c>
      <c r="C41" s="21" t="s">
        <v>4</v>
      </c>
      <c r="D41" s="27">
        <f>'Вводные 2'!D18</f>
        <v>21</v>
      </c>
      <c r="E41" s="28">
        <v>50</v>
      </c>
      <c r="F41" s="28">
        <v>100</v>
      </c>
      <c r="G41" s="28">
        <v>45</v>
      </c>
      <c r="H41" s="28">
        <v>96</v>
      </c>
      <c r="I41" s="24">
        <f t="shared" si="1"/>
        <v>72.75</v>
      </c>
      <c r="J41" s="24">
        <f t="shared" si="0"/>
        <v>1527.75</v>
      </c>
    </row>
    <row r="42" spans="1:10" x14ac:dyDescent="0.25">
      <c r="A42" s="49">
        <f>SUBTOTAL(3,$B$3:B42)</f>
        <v>40</v>
      </c>
      <c r="B42" s="25" t="s">
        <v>102</v>
      </c>
      <c r="C42" s="21" t="s">
        <v>4</v>
      </c>
      <c r="D42" s="27">
        <f>D41</f>
        <v>21</v>
      </c>
      <c r="E42" s="28">
        <v>200</v>
      </c>
      <c r="F42" s="28">
        <v>250</v>
      </c>
      <c r="G42" s="28">
        <v>500</v>
      </c>
      <c r="H42" s="28">
        <v>220</v>
      </c>
      <c r="I42" s="24">
        <f t="shared" si="1"/>
        <v>292.5</v>
      </c>
      <c r="J42" s="24">
        <f t="shared" si="0"/>
        <v>6142.5</v>
      </c>
    </row>
    <row r="43" spans="1:10" x14ac:dyDescent="0.25">
      <c r="A43" s="21"/>
      <c r="B43" s="30" t="s">
        <v>125</v>
      </c>
      <c r="C43" s="21"/>
      <c r="D43" s="21"/>
      <c r="E43" s="21"/>
      <c r="F43" s="21"/>
      <c r="G43" s="21"/>
      <c r="H43" s="21"/>
      <c r="I43" s="26"/>
      <c r="J43" s="31">
        <f>SUM(J3:J42)</f>
        <v>501786.51753858337</v>
      </c>
    </row>
    <row r="44" spans="1:10" ht="25.5" x14ac:dyDescent="0.25">
      <c r="A44" s="21"/>
      <c r="B44" s="25" t="s">
        <v>13</v>
      </c>
      <c r="C44" s="21"/>
      <c r="D44" s="21"/>
      <c r="E44" s="21"/>
      <c r="F44" s="21"/>
      <c r="G44" s="21"/>
      <c r="H44" s="21"/>
      <c r="I44" s="26"/>
      <c r="J44" s="24">
        <f>J43*0.02</f>
        <v>10035.730350771668</v>
      </c>
    </row>
    <row r="45" spans="1:10" x14ac:dyDescent="0.25">
      <c r="A45" s="21"/>
      <c r="B45" s="30" t="s">
        <v>126</v>
      </c>
      <c r="C45" s="21"/>
      <c r="D45" s="21"/>
      <c r="E45" s="21"/>
      <c r="F45" s="21"/>
      <c r="G45" s="21"/>
      <c r="H45" s="21"/>
      <c r="I45" s="26"/>
      <c r="J45" s="31">
        <f>SUM(J43:J44)</f>
        <v>511822.24788935506</v>
      </c>
    </row>
    <row r="46" spans="1:10" x14ac:dyDescent="0.25">
      <c r="A46" s="21">
        <f>SUBTOTAL(3,$B$46:B46)</f>
        <v>1</v>
      </c>
      <c r="B46" s="25" t="s">
        <v>60</v>
      </c>
      <c r="C46" s="21" t="s">
        <v>4</v>
      </c>
      <c r="D46" s="26">
        <f t="shared" ref="D46:D54" si="4">ROUNDUP(J81,0)</f>
        <v>6</v>
      </c>
      <c r="E46" s="21"/>
      <c r="F46" s="21"/>
      <c r="G46" s="21"/>
      <c r="H46" s="21"/>
      <c r="I46" s="24">
        <v>898</v>
      </c>
      <c r="J46" s="24">
        <f t="shared" ref="J46:J72" si="5">D46*I46</f>
        <v>5388</v>
      </c>
    </row>
    <row r="47" spans="1:10" ht="25.5" x14ac:dyDescent="0.25">
      <c r="A47" s="49">
        <f>SUBTOTAL(3,$B$46:B47)</f>
        <v>2</v>
      </c>
      <c r="B47" s="25" t="s">
        <v>61</v>
      </c>
      <c r="C47" s="21" t="s">
        <v>4</v>
      </c>
      <c r="D47" s="26">
        <f t="shared" si="4"/>
        <v>20</v>
      </c>
      <c r="E47" s="21"/>
      <c r="F47" s="21"/>
      <c r="G47" s="21"/>
      <c r="H47" s="21"/>
      <c r="I47" s="24">
        <v>418</v>
      </c>
      <c r="J47" s="24">
        <f t="shared" si="5"/>
        <v>8360</v>
      </c>
    </row>
    <row r="48" spans="1:10" x14ac:dyDescent="0.25">
      <c r="A48" s="49">
        <f>SUBTOTAL(3,$B$46:B48)</f>
        <v>3</v>
      </c>
      <c r="B48" s="25" t="s">
        <v>51</v>
      </c>
      <c r="C48" s="21" t="s">
        <v>4</v>
      </c>
      <c r="D48" s="26">
        <f t="shared" si="4"/>
        <v>12</v>
      </c>
      <c r="E48" s="21"/>
      <c r="F48" s="21"/>
      <c r="G48" s="21"/>
      <c r="H48" s="21"/>
      <c r="I48" s="24">
        <v>672</v>
      </c>
      <c r="J48" s="24">
        <f t="shared" si="5"/>
        <v>8064</v>
      </c>
    </row>
    <row r="49" spans="1:10" ht="25.5" x14ac:dyDescent="0.25">
      <c r="A49" s="49">
        <f>SUBTOTAL(3,$B$46:B49)</f>
        <v>4</v>
      </c>
      <c r="B49" s="25" t="s">
        <v>59</v>
      </c>
      <c r="C49" s="21" t="s">
        <v>4</v>
      </c>
      <c r="D49" s="26">
        <f t="shared" si="4"/>
        <v>13</v>
      </c>
      <c r="E49" s="21"/>
      <c r="F49" s="21"/>
      <c r="G49" s="21"/>
      <c r="H49" s="21"/>
      <c r="I49" s="24">
        <v>1121</v>
      </c>
      <c r="J49" s="24">
        <f t="shared" si="5"/>
        <v>14573</v>
      </c>
    </row>
    <row r="50" spans="1:10" ht="25.5" x14ac:dyDescent="0.25">
      <c r="A50" s="49">
        <f>SUBTOTAL(3,$B$46:B50)</f>
        <v>5</v>
      </c>
      <c r="B50" s="25" t="s">
        <v>52</v>
      </c>
      <c r="C50" s="21" t="s">
        <v>4</v>
      </c>
      <c r="D50" s="26">
        <f t="shared" si="4"/>
        <v>6</v>
      </c>
      <c r="E50" s="21"/>
      <c r="F50" s="21"/>
      <c r="G50" s="21"/>
      <c r="H50" s="21"/>
      <c r="I50" s="24">
        <v>4086</v>
      </c>
      <c r="J50" s="24">
        <f t="shared" si="5"/>
        <v>24516</v>
      </c>
    </row>
    <row r="51" spans="1:10" ht="25.5" x14ac:dyDescent="0.25">
      <c r="A51" s="49">
        <f>SUBTOTAL(3,$B$46:B51)</f>
        <v>6</v>
      </c>
      <c r="B51" s="25" t="s">
        <v>562</v>
      </c>
      <c r="C51" s="21" t="s">
        <v>3</v>
      </c>
      <c r="D51" s="24">
        <f t="shared" si="4"/>
        <v>21</v>
      </c>
      <c r="E51" s="21"/>
      <c r="F51" s="21"/>
      <c r="G51" s="21"/>
      <c r="H51" s="21"/>
      <c r="I51" s="24">
        <v>514</v>
      </c>
      <c r="J51" s="24">
        <f t="shared" si="5"/>
        <v>10794</v>
      </c>
    </row>
    <row r="52" spans="1:10" x14ac:dyDescent="0.25">
      <c r="A52" s="49">
        <f>SUBTOTAL(3,$B$46:B52)</f>
        <v>7</v>
      </c>
      <c r="B52" s="25" t="s">
        <v>563</v>
      </c>
      <c r="C52" s="421" t="s">
        <v>3</v>
      </c>
      <c r="D52" s="24">
        <f t="shared" si="4"/>
        <v>17</v>
      </c>
      <c r="E52" s="21"/>
      <c r="F52" s="21"/>
      <c r="G52" s="21"/>
      <c r="H52" s="21"/>
      <c r="I52" s="24">
        <v>972</v>
      </c>
      <c r="J52" s="24">
        <f t="shared" si="5"/>
        <v>16524</v>
      </c>
    </row>
    <row r="53" spans="1:10" x14ac:dyDescent="0.25">
      <c r="A53" s="421">
        <f>SUBTOTAL(3,$B$46:B53)</f>
        <v>8</v>
      </c>
      <c r="B53" s="25" t="s">
        <v>656</v>
      </c>
      <c r="C53" s="421" t="s">
        <v>3</v>
      </c>
      <c r="D53" s="24">
        <f t="shared" si="4"/>
        <v>0</v>
      </c>
      <c r="E53" s="421"/>
      <c r="F53" s="421"/>
      <c r="G53" s="421"/>
      <c r="H53" s="421"/>
      <c r="I53" s="24">
        <v>985</v>
      </c>
      <c r="J53" s="24">
        <f t="shared" si="5"/>
        <v>0</v>
      </c>
    </row>
    <row r="54" spans="1:10" x14ac:dyDescent="0.25">
      <c r="A54" s="421">
        <f>SUBTOTAL(3,$B$46:B54)</f>
        <v>9</v>
      </c>
      <c r="B54" s="25" t="s">
        <v>657</v>
      </c>
      <c r="C54" s="421" t="s">
        <v>3</v>
      </c>
      <c r="D54" s="24">
        <f t="shared" si="4"/>
        <v>0</v>
      </c>
      <c r="E54" s="421"/>
      <c r="F54" s="421"/>
      <c r="G54" s="421"/>
      <c r="H54" s="421"/>
      <c r="I54" s="24">
        <v>2129</v>
      </c>
      <c r="J54" s="24">
        <f t="shared" si="5"/>
        <v>0</v>
      </c>
    </row>
    <row r="55" spans="1:10" ht="25.5" x14ac:dyDescent="0.25">
      <c r="A55" s="49">
        <f>SUBTOTAL(3,$B$46:B55)</f>
        <v>10</v>
      </c>
      <c r="B55" s="25" t="s">
        <v>58</v>
      </c>
      <c r="C55" s="421" t="s">
        <v>4</v>
      </c>
      <c r="D55" s="26">
        <f t="shared" ref="D55:D61" si="6">ROUNDUP(J90,0)</f>
        <v>103</v>
      </c>
      <c r="E55" s="21"/>
      <c r="F55" s="21"/>
      <c r="G55" s="21"/>
      <c r="H55" s="21"/>
      <c r="I55" s="24">
        <v>298</v>
      </c>
      <c r="J55" s="24">
        <f t="shared" si="5"/>
        <v>30694</v>
      </c>
    </row>
    <row r="56" spans="1:10" x14ac:dyDescent="0.25">
      <c r="A56" s="49">
        <f>SUBTOTAL(3,$B$46:B56)</f>
        <v>11</v>
      </c>
      <c r="B56" s="25" t="s">
        <v>57</v>
      </c>
      <c r="C56" s="21" t="s">
        <v>4</v>
      </c>
      <c r="D56" s="26">
        <f t="shared" si="6"/>
        <v>28</v>
      </c>
      <c r="E56" s="21"/>
      <c r="F56" s="21"/>
      <c r="G56" s="21"/>
      <c r="H56" s="21"/>
      <c r="I56" s="24">
        <v>255</v>
      </c>
      <c r="J56" s="24">
        <f t="shared" si="5"/>
        <v>7140</v>
      </c>
    </row>
    <row r="57" spans="1:10" x14ac:dyDescent="0.25">
      <c r="A57" s="49">
        <f>SUBTOTAL(3,$B$46:B57)</f>
        <v>12</v>
      </c>
      <c r="B57" s="25" t="s">
        <v>62</v>
      </c>
      <c r="C57" s="21" t="s">
        <v>4</v>
      </c>
      <c r="D57" s="26">
        <f t="shared" si="6"/>
        <v>8</v>
      </c>
      <c r="E57" s="21"/>
      <c r="F57" s="21"/>
      <c r="G57" s="21"/>
      <c r="H57" s="21"/>
      <c r="I57" s="24">
        <v>417</v>
      </c>
      <c r="J57" s="24">
        <f t="shared" si="5"/>
        <v>3336</v>
      </c>
    </row>
    <row r="58" spans="1:10" x14ac:dyDescent="0.25">
      <c r="A58" s="49">
        <f>SUBTOTAL(3,$B$46:B58)</f>
        <v>13</v>
      </c>
      <c r="B58" s="25" t="s">
        <v>63</v>
      </c>
      <c r="C58" s="21" t="s">
        <v>3</v>
      </c>
      <c r="D58" s="24">
        <f t="shared" si="6"/>
        <v>66</v>
      </c>
      <c r="E58" s="21"/>
      <c r="F58" s="21"/>
      <c r="G58" s="21"/>
      <c r="H58" s="21"/>
      <c r="I58" s="24">
        <v>516</v>
      </c>
      <c r="J58" s="24">
        <f t="shared" si="5"/>
        <v>34056</v>
      </c>
    </row>
    <row r="59" spans="1:10" ht="25.5" x14ac:dyDescent="0.25">
      <c r="A59" s="49">
        <f>SUBTOTAL(3,$B$46:B59)</f>
        <v>14</v>
      </c>
      <c r="B59" s="25" t="s">
        <v>64</v>
      </c>
      <c r="C59" s="21" t="s">
        <v>3</v>
      </c>
      <c r="D59" s="24">
        <f t="shared" si="6"/>
        <v>65</v>
      </c>
      <c r="E59" s="21"/>
      <c r="F59" s="21"/>
      <c r="G59" s="21"/>
      <c r="H59" s="21"/>
      <c r="I59" s="24">
        <v>61</v>
      </c>
      <c r="J59" s="24">
        <f t="shared" si="5"/>
        <v>3965</v>
      </c>
    </row>
    <row r="60" spans="1:10" x14ac:dyDescent="0.25">
      <c r="A60" s="49">
        <f>SUBTOTAL(3,$B$46:B60)</f>
        <v>15</v>
      </c>
      <c r="B60" s="25" t="s">
        <v>65</v>
      </c>
      <c r="C60" s="21" t="s">
        <v>66</v>
      </c>
      <c r="D60" s="26">
        <f t="shared" si="6"/>
        <v>9</v>
      </c>
      <c r="E60" s="21"/>
      <c r="F60" s="21"/>
      <c r="G60" s="21"/>
      <c r="H60" s="21"/>
      <c r="I60" s="24">
        <v>3353</v>
      </c>
      <c r="J60" s="24">
        <f t="shared" si="5"/>
        <v>30177</v>
      </c>
    </row>
    <row r="61" spans="1:10" x14ac:dyDescent="0.25">
      <c r="A61" s="49">
        <f>SUBTOTAL(3,$B$46:B61)</f>
        <v>16</v>
      </c>
      <c r="B61" s="25" t="s">
        <v>68</v>
      </c>
      <c r="C61" s="21" t="s">
        <v>67</v>
      </c>
      <c r="D61" s="26">
        <f t="shared" si="6"/>
        <v>7</v>
      </c>
      <c r="E61" s="21"/>
      <c r="F61" s="21"/>
      <c r="G61" s="21"/>
      <c r="H61" s="21"/>
      <c r="I61" s="24">
        <v>286</v>
      </c>
      <c r="J61" s="24">
        <f t="shared" si="5"/>
        <v>2002</v>
      </c>
    </row>
    <row r="62" spans="1:10" ht="25.5" x14ac:dyDescent="0.25">
      <c r="A62" s="49">
        <f>SUBTOTAL(3,$B$46:B62)</f>
        <v>17</v>
      </c>
      <c r="B62" s="25" t="s">
        <v>91</v>
      </c>
      <c r="C62" s="21" t="s">
        <v>4</v>
      </c>
      <c r="D62" s="26">
        <f>D35-D63</f>
        <v>3</v>
      </c>
      <c r="E62" s="21"/>
      <c r="F62" s="21"/>
      <c r="G62" s="21"/>
      <c r="H62" s="21"/>
      <c r="I62" s="24">
        <v>5581</v>
      </c>
      <c r="J62" s="24">
        <f t="shared" si="5"/>
        <v>16743</v>
      </c>
    </row>
    <row r="63" spans="1:10" ht="25.5" x14ac:dyDescent="0.25">
      <c r="A63" s="353">
        <f>SUBTOTAL(3,$B$46:B63)</f>
        <v>18</v>
      </c>
      <c r="B63" s="25" t="s">
        <v>630</v>
      </c>
      <c r="C63" s="353" t="s">
        <v>4</v>
      </c>
      <c r="D63" s="354">
        <v>0</v>
      </c>
      <c r="E63" s="353"/>
      <c r="F63" s="353"/>
      <c r="G63" s="353"/>
      <c r="H63" s="353"/>
      <c r="I63" s="24">
        <v>7880</v>
      </c>
      <c r="J63" s="24">
        <f t="shared" si="5"/>
        <v>0</v>
      </c>
    </row>
    <row r="64" spans="1:10" ht="25.5" x14ac:dyDescent="0.25">
      <c r="A64" s="49">
        <f>SUBTOTAL(3,$B$46:B64)</f>
        <v>19</v>
      </c>
      <c r="B64" s="25" t="s">
        <v>93</v>
      </c>
      <c r="C64" s="21" t="s">
        <v>4</v>
      </c>
      <c r="D64" s="21">
        <f>D37</f>
        <v>1</v>
      </c>
      <c r="E64" s="21"/>
      <c r="F64" s="21"/>
      <c r="G64" s="21"/>
      <c r="H64" s="21"/>
      <c r="I64" s="24">
        <v>21578</v>
      </c>
      <c r="J64" s="24">
        <f t="shared" si="5"/>
        <v>21578</v>
      </c>
    </row>
    <row r="65" spans="1:10" x14ac:dyDescent="0.25">
      <c r="A65" s="49">
        <f>SUBTOTAL(3,$B$46:B65)</f>
        <v>20</v>
      </c>
      <c r="B65" s="25" t="s">
        <v>88</v>
      </c>
      <c r="C65" s="21" t="s">
        <v>4</v>
      </c>
      <c r="D65" s="26">
        <f>D36</f>
        <v>0</v>
      </c>
      <c r="E65" s="21"/>
      <c r="F65" s="21"/>
      <c r="G65" s="21"/>
      <c r="H65" s="21"/>
      <c r="I65" s="24">
        <v>1127</v>
      </c>
      <c r="J65" s="24">
        <f t="shared" si="5"/>
        <v>0</v>
      </c>
    </row>
    <row r="66" spans="1:10" x14ac:dyDescent="0.25">
      <c r="A66" s="276">
        <f>SUBTOTAL(3,$B$46:B66)</f>
        <v>21</v>
      </c>
      <c r="B66" s="25" t="s">
        <v>556</v>
      </c>
      <c r="C66" s="276" t="s">
        <v>4</v>
      </c>
      <c r="D66" s="26">
        <f>'Дефектная ведомость'!J35</f>
        <v>0</v>
      </c>
      <c r="E66" s="276"/>
      <c r="F66" s="276"/>
      <c r="G66" s="276"/>
      <c r="H66" s="276"/>
      <c r="I66" s="24">
        <v>6363</v>
      </c>
      <c r="J66" s="24">
        <f t="shared" si="5"/>
        <v>0</v>
      </c>
    </row>
    <row r="67" spans="1:10" x14ac:dyDescent="0.25">
      <c r="A67" s="353">
        <f>SUBTOTAL(3,$B$46:B67)</f>
        <v>22</v>
      </c>
      <c r="B67" s="355" t="s">
        <v>632</v>
      </c>
      <c r="C67" s="356" t="s">
        <v>633</v>
      </c>
      <c r="D67" s="357">
        <f>'Дефектная ведомость'!J36</f>
        <v>0</v>
      </c>
      <c r="E67" s="356"/>
      <c r="F67" s="356"/>
      <c r="G67" s="356"/>
      <c r="H67" s="356"/>
      <c r="I67" s="358">
        <v>2570</v>
      </c>
      <c r="J67" s="24">
        <f t="shared" si="5"/>
        <v>0</v>
      </c>
    </row>
    <row r="68" spans="1:10" x14ac:dyDescent="0.25">
      <c r="A68" s="353">
        <f>SUBTOTAL(3,$B$46:B68)</f>
        <v>23</v>
      </c>
      <c r="B68" s="25" t="s">
        <v>634</v>
      </c>
      <c r="C68" s="353" t="s">
        <v>4</v>
      </c>
      <c r="D68" s="26">
        <f>'Дефектная ведомость'!J37</f>
        <v>0</v>
      </c>
      <c r="E68" s="353"/>
      <c r="F68" s="353"/>
      <c r="G68" s="353"/>
      <c r="H68" s="353"/>
      <c r="I68" s="24">
        <v>4274</v>
      </c>
      <c r="J68" s="24">
        <f t="shared" si="5"/>
        <v>0</v>
      </c>
    </row>
    <row r="69" spans="1:10" x14ac:dyDescent="0.25">
      <c r="A69" s="49">
        <f>SUBTOTAL(3,$B$46:B69)</f>
        <v>24</v>
      </c>
      <c r="B69" s="25" t="s">
        <v>103</v>
      </c>
      <c r="C69" s="21" t="s">
        <v>4</v>
      </c>
      <c r="D69" s="26">
        <v>1</v>
      </c>
      <c r="E69" s="21"/>
      <c r="F69" s="21"/>
      <c r="G69" s="21"/>
      <c r="H69" s="21"/>
      <c r="I69" s="24">
        <v>1155</v>
      </c>
      <c r="J69" s="24">
        <f t="shared" si="5"/>
        <v>1155</v>
      </c>
    </row>
    <row r="70" spans="1:10" ht="25.5" x14ac:dyDescent="0.25">
      <c r="A70" s="49">
        <f>SUBTOTAL(3,$B$46:B70)</f>
        <v>25</v>
      </c>
      <c r="B70" s="32" t="s">
        <v>70</v>
      </c>
      <c r="C70" s="28" t="s">
        <v>69</v>
      </c>
      <c r="D70" s="27">
        <f>'Вводные 2'!D19</f>
        <v>0</v>
      </c>
      <c r="E70" s="28"/>
      <c r="F70" s="28"/>
      <c r="G70" s="28"/>
      <c r="H70" s="28"/>
      <c r="I70" s="24">
        <v>565</v>
      </c>
      <c r="J70" s="29">
        <f t="shared" si="5"/>
        <v>0</v>
      </c>
    </row>
    <row r="71" spans="1:10" x14ac:dyDescent="0.25">
      <c r="A71" s="49">
        <f>SUBTOTAL(3,$B$46:B71)</f>
        <v>26</v>
      </c>
      <c r="B71" s="25" t="s">
        <v>71</v>
      </c>
      <c r="C71" s="21" t="s">
        <v>4</v>
      </c>
      <c r="D71" s="26">
        <f>J99</f>
        <v>5</v>
      </c>
      <c r="E71" s="21"/>
      <c r="F71" s="21"/>
      <c r="G71" s="21"/>
      <c r="H71" s="21"/>
      <c r="I71" s="24">
        <v>125</v>
      </c>
      <c r="J71" s="24">
        <f t="shared" si="5"/>
        <v>625</v>
      </c>
    </row>
    <row r="72" spans="1:10" x14ac:dyDescent="0.25">
      <c r="A72" s="49">
        <f>SUBTOTAL(3,$B$46:B72)</f>
        <v>27</v>
      </c>
      <c r="B72" s="25" t="s">
        <v>104</v>
      </c>
      <c r="C72" s="21" t="s">
        <v>4</v>
      </c>
      <c r="D72" s="26">
        <f>D40</f>
        <v>1</v>
      </c>
      <c r="E72" s="21"/>
      <c r="F72" s="21"/>
      <c r="G72" s="21"/>
      <c r="H72" s="21"/>
      <c r="I72" s="24">
        <v>998</v>
      </c>
      <c r="J72" s="24">
        <f t="shared" si="5"/>
        <v>998</v>
      </c>
    </row>
    <row r="73" spans="1:10" x14ac:dyDescent="0.25">
      <c r="A73" s="21"/>
      <c r="B73" s="30" t="s">
        <v>127</v>
      </c>
      <c r="C73" s="21"/>
      <c r="D73" s="21"/>
      <c r="E73" s="21"/>
      <c r="F73" s="21"/>
      <c r="G73" s="21"/>
      <c r="H73" s="21"/>
      <c r="I73" s="24"/>
      <c r="J73" s="31">
        <f>SUM(J46:J72)</f>
        <v>240688</v>
      </c>
    </row>
    <row r="74" spans="1:10" ht="25.5" x14ac:dyDescent="0.25">
      <c r="A74" s="21"/>
      <c r="B74" s="25" t="s">
        <v>14</v>
      </c>
      <c r="C74" s="21"/>
      <c r="D74" s="21"/>
      <c r="E74" s="21"/>
      <c r="F74" s="21"/>
      <c r="G74" s="21"/>
      <c r="H74" s="21"/>
      <c r="I74" s="26"/>
      <c r="J74" s="24">
        <f>J73*0.02</f>
        <v>4813.76</v>
      </c>
    </row>
    <row r="75" spans="1:10" ht="38.25" x14ac:dyDescent="0.25">
      <c r="A75" s="16"/>
      <c r="B75" s="25" t="s">
        <v>15</v>
      </c>
      <c r="C75" s="21"/>
      <c r="D75" s="21"/>
      <c r="E75" s="21"/>
      <c r="F75" s="21"/>
      <c r="G75" s="21"/>
      <c r="H75" s="21"/>
      <c r="I75" s="26"/>
      <c r="J75" s="24">
        <f>J73*0.06</f>
        <v>14441.279999999999</v>
      </c>
    </row>
    <row r="76" spans="1:10" x14ac:dyDescent="0.25">
      <c r="A76" s="16"/>
      <c r="B76" s="30" t="s">
        <v>128</v>
      </c>
      <c r="C76" s="16"/>
      <c r="D76" s="16"/>
      <c r="E76" s="16"/>
      <c r="F76" s="16"/>
      <c r="G76" s="16"/>
      <c r="H76" s="16"/>
      <c r="I76" s="16"/>
      <c r="J76" s="31">
        <f>SUM(J73:J75)</f>
        <v>259943.04000000001</v>
      </c>
    </row>
    <row r="77" spans="1:10" x14ac:dyDescent="0.25">
      <c r="A77" s="16"/>
      <c r="B77" s="33" t="s">
        <v>129</v>
      </c>
      <c r="C77" s="16"/>
      <c r="D77" s="16"/>
      <c r="E77" s="16"/>
      <c r="F77" s="16"/>
      <c r="G77" s="16"/>
      <c r="H77" s="16"/>
      <c r="I77" s="16"/>
      <c r="J77" s="31">
        <f>J45+J76</f>
        <v>771765.2878893551</v>
      </c>
    </row>
    <row r="78" spans="1:10" x14ac:dyDescent="0.25">
      <c r="A78" s="34"/>
      <c r="B78" s="20"/>
      <c r="C78" s="34"/>
      <c r="D78" s="34"/>
      <c r="E78" s="34"/>
      <c r="F78" s="34"/>
      <c r="G78" s="34"/>
      <c r="H78" s="34"/>
      <c r="I78" s="34"/>
      <c r="J78" s="34"/>
    </row>
    <row r="79" spans="1:10" x14ac:dyDescent="0.25">
      <c r="A79" s="34"/>
      <c r="B79" s="20"/>
      <c r="C79" s="34"/>
      <c r="D79" s="34"/>
      <c r="E79" s="34"/>
      <c r="F79" s="34"/>
      <c r="G79" s="34"/>
      <c r="H79" s="34"/>
      <c r="I79" s="34"/>
      <c r="J79" s="34"/>
    </row>
    <row r="80" spans="1:10" ht="12.75" customHeight="1" x14ac:dyDescent="0.25">
      <c r="A80" s="16" t="s">
        <v>44</v>
      </c>
      <c r="B80" s="35" t="s">
        <v>45</v>
      </c>
      <c r="C80" s="16" t="s">
        <v>2</v>
      </c>
      <c r="D80" s="16"/>
      <c r="E80" s="16" t="s">
        <v>46</v>
      </c>
      <c r="F80" s="16" t="s">
        <v>47</v>
      </c>
      <c r="G80" s="331"/>
      <c r="H80" s="331" t="s">
        <v>48</v>
      </c>
      <c r="I80" s="16" t="s">
        <v>49</v>
      </c>
      <c r="J80" s="16" t="s">
        <v>50</v>
      </c>
    </row>
    <row r="81" spans="1:10" x14ac:dyDescent="0.25">
      <c r="A81" s="16">
        <v>1</v>
      </c>
      <c r="B81" s="25" t="s">
        <v>60</v>
      </c>
      <c r="C81" s="21" t="s">
        <v>4</v>
      </c>
      <c r="D81" s="21"/>
      <c r="E81" s="21">
        <v>10</v>
      </c>
      <c r="F81" s="21">
        <v>0.2</v>
      </c>
      <c r="G81" s="21"/>
      <c r="H81" s="62">
        <f>D6+D20</f>
        <v>268.21405000000004</v>
      </c>
      <c r="I81" s="21">
        <f t="shared" ref="I81:I98" si="7">F81*H81</f>
        <v>53.642810000000011</v>
      </c>
      <c r="J81" s="24">
        <f>I81/E81</f>
        <v>5.364281000000001</v>
      </c>
    </row>
    <row r="82" spans="1:10" ht="25.5" x14ac:dyDescent="0.25">
      <c r="A82" s="16">
        <v>2</v>
      </c>
      <c r="B82" s="25" t="s">
        <v>61</v>
      </c>
      <c r="C82" s="21" t="s">
        <v>4</v>
      </c>
      <c r="D82" s="21"/>
      <c r="E82" s="21">
        <v>30</v>
      </c>
      <c r="F82" s="21">
        <v>3.5</v>
      </c>
      <c r="G82" s="21"/>
      <c r="H82" s="62">
        <f>D3+D19</f>
        <v>166.09302800000003</v>
      </c>
      <c r="I82" s="21">
        <f t="shared" si="7"/>
        <v>581.32559800000013</v>
      </c>
      <c r="J82" s="24">
        <f>I82/E82</f>
        <v>19.377519933333339</v>
      </c>
    </row>
    <row r="83" spans="1:10" x14ac:dyDescent="0.25">
      <c r="A83" s="16">
        <v>3</v>
      </c>
      <c r="B83" s="25" t="s">
        <v>51</v>
      </c>
      <c r="C83" s="21" t="s">
        <v>4</v>
      </c>
      <c r="D83" s="21"/>
      <c r="E83" s="21">
        <v>20</v>
      </c>
      <c r="F83" s="21">
        <v>1</v>
      </c>
      <c r="G83" s="21"/>
      <c r="H83" s="62">
        <f>D4+D8+D20</f>
        <v>221.09506700000003</v>
      </c>
      <c r="I83" s="21">
        <f t="shared" si="7"/>
        <v>221.09506700000003</v>
      </c>
      <c r="J83" s="24">
        <f>I83/E83</f>
        <v>11.054753350000002</v>
      </c>
    </row>
    <row r="84" spans="1:10" ht="25.5" x14ac:dyDescent="0.25">
      <c r="A84" s="16">
        <v>4</v>
      </c>
      <c r="B84" s="25" t="s">
        <v>59</v>
      </c>
      <c r="C84" s="21" t="s">
        <v>4</v>
      </c>
      <c r="D84" s="21"/>
      <c r="E84" s="21">
        <v>18</v>
      </c>
      <c r="F84" s="21">
        <v>1</v>
      </c>
      <c r="G84" s="21"/>
      <c r="H84" s="62">
        <f>H83</f>
        <v>221.09506700000003</v>
      </c>
      <c r="I84" s="21">
        <f t="shared" si="7"/>
        <v>221.09506700000003</v>
      </c>
      <c r="J84" s="24">
        <f>I84/E84</f>
        <v>12.283059277777779</v>
      </c>
    </row>
    <row r="85" spans="1:10" ht="25.5" x14ac:dyDescent="0.25">
      <c r="A85" s="16">
        <v>5</v>
      </c>
      <c r="B85" s="25" t="s">
        <v>52</v>
      </c>
      <c r="C85" s="21" t="s">
        <v>4</v>
      </c>
      <c r="D85" s="21"/>
      <c r="E85" s="21">
        <v>10</v>
      </c>
      <c r="F85" s="21">
        <v>0.2</v>
      </c>
      <c r="G85" s="21"/>
      <c r="H85" s="62">
        <f>D7+D9*0.25+D21+D23*0.05</f>
        <v>275.93720000000002</v>
      </c>
      <c r="I85" s="21">
        <f t="shared" si="7"/>
        <v>55.187440000000009</v>
      </c>
      <c r="J85" s="24">
        <f>I85/E85</f>
        <v>5.5187440000000008</v>
      </c>
    </row>
    <row r="86" spans="1:10" ht="25.5" x14ac:dyDescent="0.25">
      <c r="A86" s="16">
        <v>6</v>
      </c>
      <c r="B86" s="25" t="s">
        <v>53</v>
      </c>
      <c r="C86" s="421" t="s">
        <v>3</v>
      </c>
      <c r="D86" s="421"/>
      <c r="E86" s="421" t="s">
        <v>54</v>
      </c>
      <c r="F86" s="421">
        <v>1.05</v>
      </c>
      <c r="G86" s="421"/>
      <c r="H86" s="24">
        <f>D10-(IF('Дефектная ведомость'!$M$3='Дефектная ведомость'!$Q$5, 'Дефектная ведомость'!H8, 0))-(IF('Дефектная ведомость'!$N$3='Дефектная ведомость'!$Q$5, 'Дефектная ведомость'!I8, 0))</f>
        <v>19.716618</v>
      </c>
      <c r="I86" s="21">
        <f t="shared" si="7"/>
        <v>20.7024489</v>
      </c>
      <c r="J86" s="24">
        <f>I86</f>
        <v>20.7024489</v>
      </c>
    </row>
    <row r="87" spans="1:10" x14ac:dyDescent="0.25">
      <c r="A87" s="16">
        <v>7</v>
      </c>
      <c r="B87" s="25" t="s">
        <v>55</v>
      </c>
      <c r="C87" s="421" t="s">
        <v>3</v>
      </c>
      <c r="D87" s="421"/>
      <c r="E87" s="421" t="s">
        <v>56</v>
      </c>
      <c r="F87" s="421">
        <v>1.05</v>
      </c>
      <c r="G87" s="421"/>
      <c r="H87" s="24">
        <f>D12-(IF('Дефектная ведомость'!$M$3='Дефектная ведомость'!$Q$5, 'Дефектная ведомость'!H9, 0))-(IF('Дефектная ведомость'!$N$3='Дефектная ведомость'!$Q$5, 'Дефектная ведомость'!I9, 0))</f>
        <v>15.544582999999999</v>
      </c>
      <c r="I87" s="21">
        <f t="shared" si="7"/>
        <v>16.32181215</v>
      </c>
      <c r="J87" s="24">
        <f>I87</f>
        <v>16.32181215</v>
      </c>
    </row>
    <row r="88" spans="1:10" x14ac:dyDescent="0.25">
      <c r="A88" s="16">
        <v>8</v>
      </c>
      <c r="B88" s="25" t="s">
        <v>656</v>
      </c>
      <c r="C88" s="421" t="s">
        <v>3</v>
      </c>
      <c r="D88" s="421"/>
      <c r="E88" s="421" t="s">
        <v>54</v>
      </c>
      <c r="F88" s="421">
        <v>1.05</v>
      </c>
      <c r="G88" s="421"/>
      <c r="H88" s="24">
        <f>'Дефектная ведомость'!M9+'Дефектная ведомость'!N9</f>
        <v>0</v>
      </c>
      <c r="I88" s="421">
        <f t="shared" ref="I88:I90" si="8">F88*H88</f>
        <v>0</v>
      </c>
      <c r="J88" s="24">
        <f t="shared" ref="J88:J90" si="9">I88</f>
        <v>0</v>
      </c>
    </row>
    <row r="89" spans="1:10" x14ac:dyDescent="0.25">
      <c r="A89" s="16">
        <v>9</v>
      </c>
      <c r="B89" s="25" t="s">
        <v>657</v>
      </c>
      <c r="C89" s="421" t="s">
        <v>3</v>
      </c>
      <c r="D89" s="421"/>
      <c r="E89" s="421" t="s">
        <v>56</v>
      </c>
      <c r="F89" s="421">
        <v>1.05</v>
      </c>
      <c r="G89" s="421"/>
      <c r="H89" s="24">
        <f>'Дефектная ведомость'!M10+'Дефектная ведомость'!N10</f>
        <v>0</v>
      </c>
      <c r="I89" s="421">
        <f t="shared" si="8"/>
        <v>0</v>
      </c>
      <c r="J89" s="24">
        <f t="shared" si="9"/>
        <v>0</v>
      </c>
    </row>
    <row r="90" spans="1:10" ht="25.5" x14ac:dyDescent="0.25">
      <c r="A90" s="16">
        <v>10</v>
      </c>
      <c r="B90" s="25" t="s">
        <v>58</v>
      </c>
      <c r="C90" s="421" t="s">
        <v>4</v>
      </c>
      <c r="D90" s="421"/>
      <c r="E90" s="421">
        <v>25</v>
      </c>
      <c r="F90" s="421">
        <v>2.9</v>
      </c>
      <c r="G90" s="421"/>
      <c r="H90" s="24">
        <f>D14</f>
        <v>35.261201</v>
      </c>
      <c r="I90" s="421">
        <f t="shared" si="8"/>
        <v>102.2574829</v>
      </c>
      <c r="J90" s="24">
        <f t="shared" si="9"/>
        <v>102.2574829</v>
      </c>
    </row>
    <row r="91" spans="1:10" x14ac:dyDescent="0.25">
      <c r="A91" s="16">
        <v>11</v>
      </c>
      <c r="B91" s="25" t="s">
        <v>57</v>
      </c>
      <c r="C91" s="21" t="s">
        <v>4</v>
      </c>
      <c r="D91" s="21"/>
      <c r="E91" s="21">
        <v>20</v>
      </c>
      <c r="F91" s="21">
        <v>8.5</v>
      </c>
      <c r="G91" s="21"/>
      <c r="H91" s="36">
        <f>D26</f>
        <v>64.011018000000007</v>
      </c>
      <c r="I91" s="21">
        <f t="shared" si="7"/>
        <v>544.09365300000002</v>
      </c>
      <c r="J91" s="24">
        <f>I91/E91</f>
        <v>27.204682650000002</v>
      </c>
    </row>
    <row r="92" spans="1:10" x14ac:dyDescent="0.25">
      <c r="A92" s="16">
        <v>12</v>
      </c>
      <c r="B92" s="25" t="s">
        <v>62</v>
      </c>
      <c r="C92" s="21" t="s">
        <v>4</v>
      </c>
      <c r="D92" s="21"/>
      <c r="E92" s="21">
        <v>2</v>
      </c>
      <c r="F92" s="21">
        <v>0.4</v>
      </c>
      <c r="G92" s="21"/>
      <c r="H92" s="24">
        <f>H90</f>
        <v>35.261201</v>
      </c>
      <c r="I92" s="21">
        <f t="shared" si="7"/>
        <v>14.1044804</v>
      </c>
      <c r="J92" s="24">
        <f>I92/E92</f>
        <v>7.0522402</v>
      </c>
    </row>
    <row r="93" spans="1:10" x14ac:dyDescent="0.25">
      <c r="A93" s="16">
        <v>13</v>
      </c>
      <c r="B93" s="25" t="s">
        <v>63</v>
      </c>
      <c r="C93" s="21" t="s">
        <v>3</v>
      </c>
      <c r="D93" s="21"/>
      <c r="E93" s="21">
        <v>1.986</v>
      </c>
      <c r="F93" s="21">
        <v>1.02</v>
      </c>
      <c r="G93" s="21"/>
      <c r="H93" s="36">
        <f>D17</f>
        <v>64.011018000000007</v>
      </c>
      <c r="I93" s="21">
        <f t="shared" si="7"/>
        <v>65.291238360000008</v>
      </c>
      <c r="J93" s="24">
        <f>I93</f>
        <v>65.291238360000008</v>
      </c>
    </row>
    <row r="94" spans="1:10" ht="25.5" x14ac:dyDescent="0.25">
      <c r="A94" s="16">
        <v>14</v>
      </c>
      <c r="B94" s="25" t="s">
        <v>64</v>
      </c>
      <c r="C94" s="21" t="s">
        <v>3</v>
      </c>
      <c r="D94" s="21"/>
      <c r="E94" s="21">
        <v>6</v>
      </c>
      <c r="F94" s="21">
        <v>1.01</v>
      </c>
      <c r="G94" s="21"/>
      <c r="H94" s="36">
        <f>H93</f>
        <v>64.011018000000007</v>
      </c>
      <c r="I94" s="21">
        <f t="shared" si="7"/>
        <v>64.651128180000001</v>
      </c>
      <c r="J94" s="24">
        <f>I94</f>
        <v>64.651128180000001</v>
      </c>
    </row>
    <row r="95" spans="1:10" x14ac:dyDescent="0.25">
      <c r="A95" s="16">
        <v>15</v>
      </c>
      <c r="B95" s="25" t="s">
        <v>65</v>
      </c>
      <c r="C95" s="21" t="s">
        <v>66</v>
      </c>
      <c r="D95" s="21"/>
      <c r="E95" s="21">
        <v>25</v>
      </c>
      <c r="F95" s="21">
        <v>1.07</v>
      </c>
      <c r="G95" s="21"/>
      <c r="H95" s="36">
        <f>D25</f>
        <v>188.65844900000002</v>
      </c>
      <c r="I95" s="21">
        <f t="shared" si="7"/>
        <v>201.86454043000003</v>
      </c>
      <c r="J95" s="24">
        <f>I95/E95</f>
        <v>8.0745816172000016</v>
      </c>
    </row>
    <row r="96" spans="1:10" x14ac:dyDescent="0.25">
      <c r="A96" s="16">
        <v>16</v>
      </c>
      <c r="B96" s="25" t="s">
        <v>68</v>
      </c>
      <c r="C96" s="21" t="s">
        <v>67</v>
      </c>
      <c r="D96" s="21"/>
      <c r="E96" s="21">
        <v>30</v>
      </c>
      <c r="F96" s="21">
        <v>3.3000000000000002E-2</v>
      </c>
      <c r="G96" s="21"/>
      <c r="H96" s="36">
        <f>H95</f>
        <v>188.65844900000002</v>
      </c>
      <c r="I96" s="21">
        <f t="shared" si="7"/>
        <v>6.2257288170000011</v>
      </c>
      <c r="J96" s="24">
        <f>I96</f>
        <v>6.2257288170000011</v>
      </c>
    </row>
    <row r="97" spans="1:10" ht="25.5" x14ac:dyDescent="0.25">
      <c r="A97" s="16">
        <v>17</v>
      </c>
      <c r="B97" s="25" t="s">
        <v>70</v>
      </c>
      <c r="C97" s="21" t="s">
        <v>69</v>
      </c>
      <c r="D97" s="21"/>
      <c r="E97" s="21">
        <v>0.5</v>
      </c>
      <c r="F97" s="21">
        <v>1</v>
      </c>
      <c r="G97" s="21"/>
      <c r="H97" s="37">
        <v>1</v>
      </c>
      <c r="I97" s="21">
        <f t="shared" si="7"/>
        <v>1</v>
      </c>
      <c r="J97" s="330">
        <v>1</v>
      </c>
    </row>
    <row r="98" spans="1:10" x14ac:dyDescent="0.25">
      <c r="A98" s="16">
        <v>18</v>
      </c>
      <c r="B98" s="25" t="s">
        <v>103</v>
      </c>
      <c r="C98" s="21" t="s">
        <v>4</v>
      </c>
      <c r="D98" s="21"/>
      <c r="E98" s="21">
        <v>30</v>
      </c>
      <c r="F98" s="21">
        <v>3.3000000000000002E-2</v>
      </c>
      <c r="G98" s="21"/>
      <c r="H98" s="21">
        <v>100</v>
      </c>
      <c r="I98" s="21">
        <f t="shared" si="7"/>
        <v>3.3000000000000003</v>
      </c>
      <c r="J98" s="24">
        <v>1</v>
      </c>
    </row>
    <row r="99" spans="1:10" x14ac:dyDescent="0.25">
      <c r="A99" s="16">
        <v>19</v>
      </c>
      <c r="B99" s="25" t="s">
        <v>71</v>
      </c>
      <c r="C99" s="21" t="s">
        <v>4</v>
      </c>
      <c r="D99" s="21"/>
      <c r="E99" s="21" t="s">
        <v>72</v>
      </c>
      <c r="F99" s="21">
        <v>1</v>
      </c>
      <c r="G99" s="21"/>
      <c r="H99" s="21">
        <v>5</v>
      </c>
      <c r="I99" s="21">
        <v>5</v>
      </c>
      <c r="J99" s="24">
        <f>I99</f>
        <v>5</v>
      </c>
    </row>
  </sheetData>
  <autoFilter ref="J1:J99"/>
  <mergeCells count="7">
    <mergeCell ref="I1:I2"/>
    <mergeCell ref="J1:J2"/>
    <mergeCell ref="A1:A2"/>
    <mergeCell ref="B1:B2"/>
    <mergeCell ref="C1:C2"/>
    <mergeCell ref="D1:D2"/>
    <mergeCell ref="E1:H1"/>
  </mergeCell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22"/>
  <sheetViews>
    <sheetView zoomScaleNormal="100" workbookViewId="0">
      <selection activeCell="D3" sqref="D3"/>
    </sheetView>
  </sheetViews>
  <sheetFormatPr defaultRowHeight="12.75" x14ac:dyDescent="0.2"/>
  <cols>
    <col min="1" max="1" width="5.28515625" style="3" customWidth="1"/>
    <col min="2" max="2" width="35.5703125" style="3" customWidth="1"/>
    <col min="3" max="4" width="6" style="3" customWidth="1"/>
    <col min="5" max="8" width="10.7109375" style="3" customWidth="1"/>
    <col min="9" max="9" width="1.7109375" style="3" customWidth="1"/>
    <col min="10" max="11" width="7" style="39" customWidth="1"/>
    <col min="12" max="12" width="1.42578125" style="3" customWidth="1"/>
    <col min="13" max="13" width="5" style="3" customWidth="1"/>
    <col min="14" max="14" width="35.85546875" style="3" customWidth="1"/>
    <col min="15" max="15" width="9.140625" style="3"/>
    <col min="16" max="17" width="10.5703125" style="3" customWidth="1"/>
    <col min="18" max="18" width="18.7109375" style="3" customWidth="1"/>
    <col min="19" max="16384" width="9.140625" style="3"/>
  </cols>
  <sheetData>
    <row r="1" spans="1:18" ht="30" customHeight="1" x14ac:dyDescent="0.2">
      <c r="A1" s="441" t="s">
        <v>0</v>
      </c>
      <c r="B1" s="441" t="s">
        <v>133</v>
      </c>
      <c r="C1" s="441" t="s">
        <v>130</v>
      </c>
      <c r="D1" s="441" t="s">
        <v>2</v>
      </c>
      <c r="E1" s="441" t="s">
        <v>131</v>
      </c>
      <c r="F1" s="441"/>
      <c r="G1" s="441" t="s">
        <v>12</v>
      </c>
      <c r="H1" s="441" t="s">
        <v>132</v>
      </c>
      <c r="M1" s="441" t="s">
        <v>0</v>
      </c>
      <c r="N1" s="441" t="s">
        <v>133</v>
      </c>
      <c r="O1" s="441" t="s">
        <v>3</v>
      </c>
      <c r="P1" s="441" t="s">
        <v>640</v>
      </c>
      <c r="Q1" s="441"/>
      <c r="R1" s="441" t="s">
        <v>641</v>
      </c>
    </row>
    <row r="2" spans="1:18" ht="15" customHeight="1" x14ac:dyDescent="0.2">
      <c r="A2" s="441"/>
      <c r="B2" s="441"/>
      <c r="C2" s="441"/>
      <c r="D2" s="441"/>
      <c r="E2" s="362">
        <v>5</v>
      </c>
      <c r="F2" s="362">
        <v>6</v>
      </c>
      <c r="G2" s="441"/>
      <c r="H2" s="441"/>
      <c r="M2" s="441"/>
      <c r="N2" s="441"/>
      <c r="O2" s="441"/>
      <c r="P2" s="362">
        <v>5</v>
      </c>
      <c r="Q2" s="362">
        <v>6</v>
      </c>
      <c r="R2" s="441"/>
    </row>
    <row r="3" spans="1:18" ht="22.5" customHeight="1" x14ac:dyDescent="0.2">
      <c r="A3" s="54">
        <f>SUBTOTAL(3,$B$3:B3)</f>
        <v>1</v>
      </c>
      <c r="B3" s="15" t="s">
        <v>637</v>
      </c>
      <c r="C3" s="16" t="s">
        <v>135</v>
      </c>
      <c r="D3" s="363">
        <v>0</v>
      </c>
      <c r="E3" s="16">
        <v>31571</v>
      </c>
      <c r="F3" s="16">
        <v>34100</v>
      </c>
      <c r="G3" s="9">
        <f t="shared" ref="G3:G7" si="0">AVERAGE(E3:F3)</f>
        <v>32835.5</v>
      </c>
      <c r="H3" s="9">
        <f t="shared" ref="H3:H14" si="1">D3*G3</f>
        <v>0</v>
      </c>
      <c r="M3" s="63">
        <f>SUBTOTAL(3,$N$3:N3)</f>
        <v>1</v>
      </c>
      <c r="N3" s="15" t="s">
        <v>134</v>
      </c>
      <c r="O3" s="16">
        <f>1.95*1.85</f>
        <v>3.6074999999999999</v>
      </c>
      <c r="P3" s="16">
        <f t="shared" ref="P3:Q5" si="2">E3/$O3</f>
        <v>8751.4899514899516</v>
      </c>
      <c r="Q3" s="16">
        <f t="shared" si="2"/>
        <v>9452.5294525294521</v>
      </c>
      <c r="R3" s="9">
        <f>AVERAGE(P3:Q3)</f>
        <v>9102.0097020097019</v>
      </c>
    </row>
    <row r="4" spans="1:18" ht="22.5" customHeight="1" x14ac:dyDescent="0.2">
      <c r="A4" s="63">
        <f>SUBTOTAL(3,$B$3:B4)</f>
        <v>2</v>
      </c>
      <c r="B4" s="15" t="s">
        <v>638</v>
      </c>
      <c r="C4" s="12" t="s">
        <v>135</v>
      </c>
      <c r="D4" s="361">
        <v>0</v>
      </c>
      <c r="E4" s="16">
        <v>15660</v>
      </c>
      <c r="F4" s="16">
        <v>17044</v>
      </c>
      <c r="G4" s="9">
        <f t="shared" si="0"/>
        <v>16352</v>
      </c>
      <c r="H4" s="9">
        <f t="shared" si="1"/>
        <v>0</v>
      </c>
      <c r="M4" s="63">
        <f>SUBTOTAL(3,$N$3:N4)</f>
        <v>2</v>
      </c>
      <c r="N4" s="15" t="s">
        <v>139</v>
      </c>
      <c r="O4" s="63">
        <f>0.75*1.85</f>
        <v>1.3875000000000002</v>
      </c>
      <c r="P4" s="16">
        <f t="shared" si="2"/>
        <v>11286.486486486485</v>
      </c>
      <c r="Q4" s="16">
        <f t="shared" si="2"/>
        <v>12283.963963963963</v>
      </c>
      <c r="R4" s="9">
        <f t="shared" ref="R4" si="3">AVERAGE(P4:Q4)</f>
        <v>11785.225225225224</v>
      </c>
    </row>
    <row r="5" spans="1:18" ht="22.5" customHeight="1" x14ac:dyDescent="0.2">
      <c r="A5" s="63">
        <f>SUBTOTAL(3,$B$3:B5)</f>
        <v>3</v>
      </c>
      <c r="B5" s="15" t="s">
        <v>639</v>
      </c>
      <c r="C5" s="12" t="s">
        <v>135</v>
      </c>
      <c r="D5" s="361">
        <v>0</v>
      </c>
      <c r="E5" s="16">
        <v>22900</v>
      </c>
      <c r="F5" s="16">
        <v>24833</v>
      </c>
      <c r="G5" s="9">
        <f t="shared" si="0"/>
        <v>23866.5</v>
      </c>
      <c r="H5" s="9">
        <f t="shared" si="1"/>
        <v>0</v>
      </c>
      <c r="M5" s="311">
        <f>SUBTOTAL(3,$N$3:N5)</f>
        <v>3</v>
      </c>
      <c r="N5" s="15" t="s">
        <v>571</v>
      </c>
      <c r="O5" s="311">
        <f>1.05*1.85</f>
        <v>1.9425000000000001</v>
      </c>
      <c r="P5" s="16">
        <f t="shared" si="2"/>
        <v>11788.931788931788</v>
      </c>
      <c r="Q5" s="16">
        <f t="shared" si="2"/>
        <v>12784.041184041183</v>
      </c>
      <c r="R5" s="9">
        <f t="shared" ref="R5" si="4">AVERAGE(P5:Q5)</f>
        <v>12286.486486486487</v>
      </c>
    </row>
    <row r="6" spans="1:18" ht="22.5" customHeight="1" x14ac:dyDescent="0.2">
      <c r="A6" s="295">
        <f>SUBTOTAL(3,$B$3:B6)</f>
        <v>4</v>
      </c>
      <c r="B6" s="15" t="str">
        <f>"Замена оконного блока ("&amp;J6&amp;"м х "&amp;K6&amp;"м)"</f>
        <v>Замена оконного блока (0.65м х 1.8м)</v>
      </c>
      <c r="C6" s="295" t="s">
        <v>135</v>
      </c>
      <c r="D6" s="361">
        <v>0</v>
      </c>
      <c r="E6" s="65">
        <f t="shared" ref="E6:F9" si="5">$J6*$K6*P$6</f>
        <v>12412.49420849421</v>
      </c>
      <c r="F6" s="65">
        <f t="shared" si="5"/>
        <v>13463.008494208496</v>
      </c>
      <c r="G6" s="9">
        <f t="shared" si="0"/>
        <v>12937.751351351353</v>
      </c>
      <c r="H6" s="9">
        <f t="shared" ref="H6:H7" si="6">D6*G6</f>
        <v>0</v>
      </c>
      <c r="J6" s="364">
        <v>0.65</v>
      </c>
      <c r="K6" s="364">
        <v>1.8</v>
      </c>
      <c r="O6" s="312" t="s">
        <v>187</v>
      </c>
      <c r="P6" s="59">
        <f>AVERAGE(P3:P5)</f>
        <v>10608.969408969409</v>
      </c>
      <c r="Q6" s="59">
        <f>AVERAGE(Q3:Q5)</f>
        <v>11506.844866844867</v>
      </c>
      <c r="R6" s="59">
        <f>AVERAGE(R3:R4)</f>
        <v>10443.617463617462</v>
      </c>
    </row>
    <row r="7" spans="1:18" ht="22.5" customHeight="1" x14ac:dyDescent="0.2">
      <c r="A7" s="295">
        <f>SUBTOTAL(3,$B$3:B7)</f>
        <v>5</v>
      </c>
      <c r="B7" s="15" t="str">
        <f>"Замена оконного блока ("&amp;J7&amp;"м х "&amp;K7&amp;"м)"</f>
        <v>Замена оконного блока (1.65м х 1.85м)</v>
      </c>
      <c r="C7" s="295" t="s">
        <v>135</v>
      </c>
      <c r="D7" s="361">
        <v>0</v>
      </c>
      <c r="E7" s="65">
        <f t="shared" si="5"/>
        <v>32383.879120879119</v>
      </c>
      <c r="F7" s="65">
        <f t="shared" si="5"/>
        <v>35124.643956043954</v>
      </c>
      <c r="G7" s="9">
        <f t="shared" si="0"/>
        <v>33754.261538461535</v>
      </c>
      <c r="H7" s="9">
        <f t="shared" si="6"/>
        <v>0</v>
      </c>
      <c r="J7" s="364">
        <v>1.65</v>
      </c>
      <c r="K7" s="364">
        <v>1.85</v>
      </c>
      <c r="O7" s="66"/>
      <c r="P7" s="59"/>
      <c r="Q7" s="59"/>
      <c r="R7" s="59"/>
    </row>
    <row r="8" spans="1:18" ht="22.5" customHeight="1" x14ac:dyDescent="0.2">
      <c r="A8" s="380">
        <f>SUBTOTAL(3,$B$3:B8)</f>
        <v>6</v>
      </c>
      <c r="B8" s="379" t="str">
        <f>"Замена оконного блока ("&amp;J8&amp;"м х "&amp;K8&amp;"м)"</f>
        <v>Замена оконного блока (1.35м х 1.85м)</v>
      </c>
      <c r="C8" s="380" t="s">
        <v>135</v>
      </c>
      <c r="D8" s="361">
        <v>0</v>
      </c>
      <c r="E8" s="381">
        <f t="shared" si="5"/>
        <v>26495.901098901104</v>
      </c>
      <c r="F8" s="381">
        <f t="shared" si="5"/>
        <v>28738.345054945061</v>
      </c>
      <c r="G8" s="382">
        <f t="shared" ref="G8:G14" si="7">AVERAGE(E8:F8)</f>
        <v>27617.123076923082</v>
      </c>
      <c r="H8" s="382">
        <f t="shared" si="1"/>
        <v>0</v>
      </c>
      <c r="J8" s="364">
        <v>1.35</v>
      </c>
      <c r="K8" s="364">
        <v>1.85</v>
      </c>
      <c r="O8" s="66"/>
      <c r="P8" s="59"/>
      <c r="Q8" s="59"/>
      <c r="R8" s="59"/>
    </row>
    <row r="9" spans="1:18" ht="22.5" customHeight="1" x14ac:dyDescent="0.2">
      <c r="A9" s="380">
        <f>SUBTOTAL(3,$B$3:B9)</f>
        <v>7</v>
      </c>
      <c r="B9" s="379" t="str">
        <f>"Замена оконного блока ("&amp;J9&amp;"м х "&amp;K9&amp;"м)"</f>
        <v>Замена оконного блока (2.25м х 1.85м)</v>
      </c>
      <c r="C9" s="380" t="s">
        <v>135</v>
      </c>
      <c r="D9" s="361">
        <v>0</v>
      </c>
      <c r="E9" s="381">
        <f t="shared" si="5"/>
        <v>44159.835164835175</v>
      </c>
      <c r="F9" s="381">
        <f t="shared" si="5"/>
        <v>47897.241758241769</v>
      </c>
      <c r="G9" s="382">
        <f t="shared" si="7"/>
        <v>46028.538461538468</v>
      </c>
      <c r="H9" s="382">
        <f t="shared" ref="H9:H10" si="8">D9*G9</f>
        <v>0</v>
      </c>
      <c r="J9" s="364">
        <v>2.25</v>
      </c>
      <c r="K9" s="364">
        <v>1.85</v>
      </c>
    </row>
    <row r="10" spans="1:18" ht="28.5" customHeight="1" x14ac:dyDescent="0.2">
      <c r="A10" s="380">
        <f>SUBTOTAL(3,$B$3:B10)</f>
        <v>8</v>
      </c>
      <c r="B10" s="379" t="str">
        <f>"Замена оконного блока ("&amp;J8&amp;"м х "&amp;K8&amp;"м х "&amp;J9&amp;"м х "&amp;K9&amp;"м)"</f>
        <v>Замена оконного блока (1.35м х 1.85м х 2.25м х 1.85м)</v>
      </c>
      <c r="C10" s="380" t="s">
        <v>135</v>
      </c>
      <c r="D10" s="361">
        <v>0</v>
      </c>
      <c r="E10" s="381">
        <f>E8+E9</f>
        <v>70655.736263736282</v>
      </c>
      <c r="F10" s="381">
        <f>F8+F9</f>
        <v>76635.586813186834</v>
      </c>
      <c r="G10" s="382">
        <f t="shared" si="7"/>
        <v>73645.661538461558</v>
      </c>
      <c r="H10" s="382">
        <f t="shared" si="8"/>
        <v>0</v>
      </c>
    </row>
    <row r="11" spans="1:18" ht="22.5" customHeight="1" x14ac:dyDescent="0.2">
      <c r="A11" s="270">
        <f>SUBTOTAL(3,$B$3:B11)</f>
        <v>9</v>
      </c>
      <c r="B11" s="15" t="s">
        <v>572</v>
      </c>
      <c r="C11" s="269" t="s">
        <v>135</v>
      </c>
      <c r="D11" s="161">
        <f>'Дефектная ведомость'!J26</f>
        <v>0</v>
      </c>
      <c r="E11" s="65">
        <v>2050</v>
      </c>
      <c r="F11" s="65">
        <v>2600</v>
      </c>
      <c r="G11" s="9">
        <f t="shared" si="7"/>
        <v>2325</v>
      </c>
      <c r="H11" s="9">
        <f t="shared" ref="H11" si="9">D11*G11</f>
        <v>0</v>
      </c>
    </row>
    <row r="12" spans="1:18" ht="25.5" x14ac:dyDescent="0.2">
      <c r="A12" s="63">
        <f>SUBTOTAL(3,$B$3:B12)</f>
        <v>10</v>
      </c>
      <c r="B12" s="25" t="s">
        <v>154</v>
      </c>
      <c r="C12" s="16" t="s">
        <v>186</v>
      </c>
      <c r="D12" s="57">
        <f>'Дефектная ведомость'!J20</f>
        <v>27.692</v>
      </c>
      <c r="E12" s="16">
        <v>350</v>
      </c>
      <c r="F12" s="16">
        <v>400</v>
      </c>
      <c r="G12" s="9">
        <f t="shared" si="7"/>
        <v>375</v>
      </c>
      <c r="H12" s="9">
        <f t="shared" si="1"/>
        <v>10384.5</v>
      </c>
    </row>
    <row r="13" spans="1:18" x14ac:dyDescent="0.2">
      <c r="A13" s="294">
        <f>SUBTOTAL(3,$B$3:B13)</f>
        <v>11</v>
      </c>
      <c r="B13" s="25" t="s">
        <v>564</v>
      </c>
      <c r="C13" s="16" t="s">
        <v>186</v>
      </c>
      <c r="D13" s="57">
        <f>'Дефектная ведомость'!J21</f>
        <v>0</v>
      </c>
      <c r="E13" s="16">
        <v>350</v>
      </c>
      <c r="F13" s="16">
        <v>400</v>
      </c>
      <c r="G13" s="9">
        <f t="shared" ref="G13" si="10">AVERAGE(E13:F13)</f>
        <v>375</v>
      </c>
      <c r="H13" s="9">
        <f t="shared" ref="H13" si="11">D13*G13</f>
        <v>0</v>
      </c>
    </row>
    <row r="14" spans="1:18" x14ac:dyDescent="0.2">
      <c r="A14" s="63">
        <f>SUBTOTAL(3,$B$3:B14)</f>
        <v>12</v>
      </c>
      <c r="B14" s="15" t="s">
        <v>145</v>
      </c>
      <c r="C14" s="48" t="s">
        <v>135</v>
      </c>
      <c r="D14" s="161">
        <f>'Дефектная ведомость'!J27</f>
        <v>0</v>
      </c>
      <c r="E14" s="16">
        <v>1000</v>
      </c>
      <c r="F14" s="16">
        <v>1350</v>
      </c>
      <c r="G14" s="9">
        <f t="shared" si="7"/>
        <v>1175</v>
      </c>
      <c r="H14" s="9">
        <f t="shared" si="1"/>
        <v>0</v>
      </c>
    </row>
    <row r="15" spans="1:18" x14ac:dyDescent="0.2">
      <c r="A15" s="17"/>
      <c r="B15" s="17" t="s">
        <v>136</v>
      </c>
      <c r="C15" s="17"/>
      <c r="D15" s="17"/>
      <c r="E15" s="17"/>
      <c r="F15" s="17"/>
      <c r="G15" s="18"/>
      <c r="H15" s="10">
        <f>SUM(H3:H14)</f>
        <v>10384.5</v>
      </c>
      <c r="I15" s="19"/>
      <c r="J15" s="67"/>
      <c r="K15" s="67"/>
    </row>
    <row r="17" spans="3:4" x14ac:dyDescent="0.2">
      <c r="C17" s="274">
        <f>'Дефектная ведомость'!J19</f>
        <v>0</v>
      </c>
      <c r="D17" s="3">
        <f>SUM(D3:D10)</f>
        <v>0</v>
      </c>
    </row>
    <row r="22" spans="3:4" x14ac:dyDescent="0.2">
      <c r="C22" s="6"/>
    </row>
  </sheetData>
  <autoFilter ref="H1:H22"/>
  <mergeCells count="12">
    <mergeCell ref="H1:H2"/>
    <mergeCell ref="A1:A2"/>
    <mergeCell ref="B1:B2"/>
    <mergeCell ref="C1:C2"/>
    <mergeCell ref="D1:D2"/>
    <mergeCell ref="E1:F1"/>
    <mergeCell ref="G1:G2"/>
    <mergeCell ref="P1:Q1"/>
    <mergeCell ref="R1:R2"/>
    <mergeCell ref="M1:M2"/>
    <mergeCell ref="N1:N2"/>
    <mergeCell ref="O1:O2"/>
  </mergeCells>
  <pageMargins left="0.7" right="0.7" top="0.75" bottom="0.75" header="0.3" footer="0.3"/>
  <ignoredErrors>
    <ignoredError sqref="G3:G5 G14"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2"/>
  <sheetViews>
    <sheetView zoomScale="115" zoomScaleNormal="115" workbookViewId="0">
      <selection activeCell="I6" sqref="I6"/>
    </sheetView>
  </sheetViews>
  <sheetFormatPr defaultRowHeight="12.75" x14ac:dyDescent="0.2"/>
  <cols>
    <col min="1" max="1" width="5.28515625" style="3" customWidth="1"/>
    <col min="2" max="2" width="35.5703125" style="3" customWidth="1"/>
    <col min="3" max="4" width="6.28515625" style="3" customWidth="1"/>
    <col min="5" max="7" width="7.42578125" style="3" customWidth="1"/>
    <col min="8" max="9" width="10" style="3" customWidth="1"/>
    <col min="10" max="16384" width="9.140625" style="3"/>
  </cols>
  <sheetData>
    <row r="1" spans="1:9" ht="21" customHeight="1" x14ac:dyDescent="0.2">
      <c r="A1" s="441" t="s">
        <v>0</v>
      </c>
      <c r="B1" s="441" t="s">
        <v>133</v>
      </c>
      <c r="C1" s="441" t="s">
        <v>130</v>
      </c>
      <c r="D1" s="441" t="s">
        <v>2</v>
      </c>
      <c r="E1" s="442" t="s">
        <v>131</v>
      </c>
      <c r="F1" s="442"/>
      <c r="G1" s="442"/>
      <c r="H1" s="434" t="s">
        <v>12</v>
      </c>
      <c r="I1" s="434" t="s">
        <v>132</v>
      </c>
    </row>
    <row r="2" spans="1:9" ht="21" customHeight="1" x14ac:dyDescent="0.2">
      <c r="A2" s="441"/>
      <c r="B2" s="441"/>
      <c r="C2" s="441"/>
      <c r="D2" s="441"/>
      <c r="E2" s="12">
        <v>7</v>
      </c>
      <c r="F2" s="12">
        <v>8</v>
      </c>
      <c r="G2" s="12">
        <v>9</v>
      </c>
      <c r="H2" s="434"/>
      <c r="I2" s="434"/>
    </row>
    <row r="3" spans="1:9" ht="25.5" x14ac:dyDescent="0.2">
      <c r="A3" s="12">
        <v>1</v>
      </c>
      <c r="B3" s="1" t="s">
        <v>137</v>
      </c>
      <c r="C3" s="12" t="s">
        <v>3</v>
      </c>
      <c r="D3" s="9">
        <f>'Дефектная ведомость'!J13</f>
        <v>0</v>
      </c>
      <c r="E3" s="12">
        <v>341</v>
      </c>
      <c r="F3" s="12">
        <v>469</v>
      </c>
      <c r="G3" s="12">
        <v>440</v>
      </c>
      <c r="H3" s="9">
        <f>AVERAGE(E3:G3)</f>
        <v>416.66666666666669</v>
      </c>
      <c r="I3" s="9">
        <f>D3*H3</f>
        <v>0</v>
      </c>
    </row>
    <row r="4" spans="1:9" x14ac:dyDescent="0.2">
      <c r="A4" s="13"/>
      <c r="B4" s="13" t="s">
        <v>138</v>
      </c>
      <c r="C4" s="13"/>
      <c r="D4" s="13"/>
      <c r="E4" s="13"/>
      <c r="F4" s="13"/>
      <c r="G4" s="13"/>
      <c r="H4" s="13"/>
      <c r="I4" s="10">
        <f>SUM(I3)</f>
        <v>0</v>
      </c>
    </row>
    <row r="5" spans="1:9" x14ac:dyDescent="0.2">
      <c r="A5" s="14"/>
      <c r="B5" s="14"/>
      <c r="C5" s="14"/>
      <c r="D5" s="14"/>
      <c r="E5" s="14"/>
      <c r="F5" s="14"/>
      <c r="G5" s="14"/>
      <c r="H5" s="14"/>
      <c r="I5" s="11"/>
    </row>
    <row r="22" spans="3:3" x14ac:dyDescent="0.2">
      <c r="C22" s="6"/>
    </row>
  </sheetData>
  <mergeCells count="7">
    <mergeCell ref="I1:I2"/>
    <mergeCell ref="A1:A2"/>
    <mergeCell ref="B1:B2"/>
    <mergeCell ref="C1:C2"/>
    <mergeCell ref="D1:D2"/>
    <mergeCell ref="E1:G1"/>
    <mergeCell ref="H1: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2" sqref="C12"/>
    </sheetView>
  </sheetViews>
  <sheetFormatPr defaultRowHeight="15" x14ac:dyDescent="0.25"/>
  <cols>
    <col min="1" max="1" width="6.7109375" customWidth="1"/>
    <col min="2" max="2" width="27.140625" customWidth="1"/>
    <col min="3" max="3" width="22" customWidth="1"/>
  </cols>
  <sheetData>
    <row r="1" spans="1:3" x14ac:dyDescent="0.25">
      <c r="A1" s="313" t="s">
        <v>44</v>
      </c>
      <c r="B1" s="25" t="s">
        <v>586</v>
      </c>
      <c r="C1" s="25" t="s">
        <v>587</v>
      </c>
    </row>
    <row r="2" spans="1:3" x14ac:dyDescent="0.25">
      <c r="A2" s="313">
        <v>1</v>
      </c>
      <c r="B2" s="25" t="s">
        <v>617</v>
      </c>
      <c r="C2" s="25" t="s">
        <v>588</v>
      </c>
    </row>
    <row r="3" spans="1:3" x14ac:dyDescent="0.25">
      <c r="A3" s="313">
        <v>2</v>
      </c>
      <c r="B3" s="25" t="s">
        <v>618</v>
      </c>
      <c r="C3" s="25" t="s">
        <v>589</v>
      </c>
    </row>
    <row r="4" spans="1:3" x14ac:dyDescent="0.25">
      <c r="A4" s="313">
        <v>3</v>
      </c>
      <c r="B4" s="25" t="s">
        <v>619</v>
      </c>
      <c r="C4" s="25" t="s">
        <v>590</v>
      </c>
    </row>
    <row r="5" spans="1:3" x14ac:dyDescent="0.25">
      <c r="A5" s="313">
        <v>4</v>
      </c>
      <c r="B5" s="25" t="s">
        <v>616</v>
      </c>
      <c r="C5" s="25" t="s">
        <v>591</v>
      </c>
    </row>
    <row r="6" spans="1:3" x14ac:dyDescent="0.25">
      <c r="A6" s="313">
        <v>5</v>
      </c>
      <c r="B6" s="25" t="s">
        <v>592</v>
      </c>
      <c r="C6" s="25" t="s">
        <v>593</v>
      </c>
    </row>
    <row r="7" spans="1:3" x14ac:dyDescent="0.25">
      <c r="A7" s="313">
        <v>6</v>
      </c>
      <c r="B7" s="25" t="s">
        <v>620</v>
      </c>
      <c r="C7" s="25" t="s">
        <v>594</v>
      </c>
    </row>
    <row r="8" spans="1:3" x14ac:dyDescent="0.25">
      <c r="A8" s="313">
        <v>7</v>
      </c>
      <c r="B8" s="25" t="s">
        <v>621</v>
      </c>
      <c r="C8" s="25" t="s">
        <v>595</v>
      </c>
    </row>
    <row r="9" spans="1:3" x14ac:dyDescent="0.25">
      <c r="A9" s="313">
        <v>8</v>
      </c>
      <c r="B9" s="25" t="s">
        <v>596</v>
      </c>
      <c r="C9" s="25" t="s">
        <v>597</v>
      </c>
    </row>
    <row r="10" spans="1:3" x14ac:dyDescent="0.25">
      <c r="A10" s="313">
        <v>9</v>
      </c>
      <c r="B10" s="25" t="s">
        <v>598</v>
      </c>
      <c r="C10" s="25" t="s">
        <v>599</v>
      </c>
    </row>
  </sheetData>
  <hyperlinks>
    <hyperlink ref="C10" r:id="rId1" display="https://rumexpert.ru/"/>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Договор</vt:lpstr>
      <vt:lpstr>Вводные 1</vt:lpstr>
      <vt:lpstr>Тепловизор</vt:lpstr>
      <vt:lpstr>Перечень дефектов</vt:lpstr>
      <vt:lpstr>Вводные 2</vt:lpstr>
      <vt:lpstr>Дефектная ведомость</vt:lpstr>
      <vt:lpstr>Расчеты</vt:lpstr>
      <vt:lpstr>Окна</vt:lpstr>
      <vt:lpstr>Потолок</vt:lpstr>
      <vt:lpstr>Ресурсы</vt:lpstr>
      <vt:lpstr>отделка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2022-03-07T08:58:20Z</dcterms:modified>
</cp:coreProperties>
</file>