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13095" windowHeight="6600"/>
  </bookViews>
  <sheets>
    <sheet name="new" sheetId="1" r:id="rId1"/>
  </sheets>
  <definedNames>
    <definedName name="solver_adj" localSheetId="0" hidden="1">new!$B$44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new!$B$43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28" i="1" l="1"/>
  <c r="I28" i="1" s="1"/>
  <c r="H28" i="1" l="1"/>
  <c r="J28" i="1"/>
  <c r="H16" i="1"/>
  <c r="G18" i="1"/>
  <c r="H18" i="1" s="1"/>
  <c r="G19" i="1"/>
  <c r="G20" i="1"/>
  <c r="H20" i="1" s="1"/>
  <c r="G21" i="1"/>
  <c r="J21" i="1" s="1"/>
  <c r="G22" i="1"/>
  <c r="H22" i="1" s="1"/>
  <c r="G23" i="1"/>
  <c r="H23" i="1" s="1"/>
  <c r="G24" i="1"/>
  <c r="I24" i="1" s="1"/>
  <c r="G25" i="1"/>
  <c r="I25" i="1" s="1"/>
  <c r="G26" i="1"/>
  <c r="H26" i="1" s="1"/>
  <c r="G27" i="1"/>
  <c r="I27" i="1" s="1"/>
  <c r="G4" i="1"/>
  <c r="H4" i="1" s="1"/>
  <c r="G5" i="1"/>
  <c r="H5" i="1" s="1"/>
  <c r="G6" i="1"/>
  <c r="I6" i="1" s="1"/>
  <c r="G7" i="1"/>
  <c r="H7" i="1" s="1"/>
  <c r="G8" i="1"/>
  <c r="G9" i="1"/>
  <c r="H9" i="1" s="1"/>
  <c r="G10" i="1"/>
  <c r="H10" i="1" s="1"/>
  <c r="G11" i="1"/>
  <c r="H11" i="1" s="1"/>
  <c r="G12" i="1"/>
  <c r="J12" i="1" s="1"/>
  <c r="G13" i="1"/>
  <c r="H13" i="1" s="1"/>
  <c r="G14" i="1"/>
  <c r="H14" i="1" s="1"/>
  <c r="G15" i="1"/>
  <c r="I15" i="1" s="1"/>
  <c r="G16" i="1"/>
  <c r="I16" i="1" s="1"/>
  <c r="G17" i="1"/>
  <c r="H17" i="1" s="1"/>
  <c r="F26" i="1"/>
  <c r="F25" i="1"/>
  <c r="D23" i="1"/>
  <c r="E23" i="1"/>
  <c r="F23" i="1"/>
  <c r="F22" i="1"/>
  <c r="E22" i="1"/>
  <c r="E20" i="1"/>
  <c r="F20" i="1"/>
  <c r="D19" i="1"/>
  <c r="F17" i="1"/>
  <c r="F16" i="1"/>
  <c r="F15" i="1"/>
  <c r="F13" i="1"/>
  <c r="F8" i="1"/>
  <c r="E8" i="1"/>
  <c r="E5" i="1"/>
  <c r="F3" i="1"/>
  <c r="H24" i="1" l="1"/>
  <c r="H19" i="1"/>
  <c r="J13" i="1"/>
  <c r="J22" i="1"/>
  <c r="J15" i="1"/>
  <c r="J23" i="1"/>
  <c r="J8" i="1"/>
  <c r="H15" i="1"/>
  <c r="I21" i="1"/>
  <c r="H21" i="1"/>
  <c r="I18" i="1"/>
  <c r="I11" i="1"/>
  <c r="I23" i="1"/>
  <c r="J18" i="1"/>
  <c r="J9" i="1"/>
  <c r="J26" i="1"/>
  <c r="I26" i="1"/>
  <c r="H27" i="1"/>
  <c r="H12" i="1"/>
  <c r="I9" i="1"/>
  <c r="J11" i="1"/>
  <c r="J20" i="1"/>
  <c r="J25" i="1"/>
  <c r="J17" i="1"/>
  <c r="I17" i="1"/>
  <c r="I13" i="1"/>
  <c r="J10" i="1"/>
  <c r="J5" i="1"/>
  <c r="H25" i="1"/>
  <c r="I22" i="1"/>
  <c r="J19" i="1"/>
  <c r="I20" i="1"/>
  <c r="J16" i="1"/>
  <c r="I10" i="1"/>
  <c r="I5" i="1"/>
  <c r="J24" i="1"/>
  <c r="I19" i="1"/>
  <c r="J27" i="1"/>
  <c r="I12" i="1"/>
  <c r="I8" i="1"/>
  <c r="I14" i="1"/>
  <c r="H8" i="1"/>
  <c r="I7" i="1"/>
  <c r="J6" i="1"/>
  <c r="I4" i="1"/>
  <c r="H6" i="1"/>
  <c r="F7" i="1"/>
  <c r="J7" i="1" s="1"/>
  <c r="F4" i="1"/>
  <c r="J4" i="1" s="1"/>
  <c r="F14" i="1"/>
  <c r="J14" i="1" s="1"/>
  <c r="B33" i="1" l="1"/>
  <c r="G3" i="1"/>
  <c r="G29" i="1" s="1"/>
  <c r="J3" i="1" l="1"/>
  <c r="J29" i="1" s="1"/>
  <c r="B37" i="1" s="1"/>
  <c r="H3" i="1"/>
  <c r="H29" i="1" s="1"/>
  <c r="I3" i="1"/>
  <c r="I29" i="1" s="1"/>
  <c r="B38" i="1" s="1"/>
  <c r="B34" i="1"/>
  <c r="B35" i="1" s="1"/>
  <c r="B43" i="1" l="1"/>
</calcChain>
</file>

<file path=xl/sharedStrings.xml><?xml version="1.0" encoding="utf-8"?>
<sst xmlns="http://schemas.openxmlformats.org/spreadsheetml/2006/main" count="49" uniqueCount="49">
  <si>
    <t>+ve upwards</t>
  </si>
  <si>
    <t>+ve towards aft</t>
  </si>
  <si>
    <t>Moments</t>
  </si>
  <si>
    <t>Part</t>
  </si>
  <si>
    <t>No.</t>
  </si>
  <si>
    <t>Unit mass (g)</t>
  </si>
  <si>
    <t>X (mm)</t>
  </si>
  <si>
    <t>Y (mm)</t>
  </si>
  <si>
    <t>Z (mm)</t>
  </si>
  <si>
    <t>Total mass (g)</t>
  </si>
  <si>
    <t>X (g*mm)</t>
  </si>
  <si>
    <t>Y (g*mm)</t>
  </si>
  <si>
    <t>Z (g*mm)</t>
  </si>
  <si>
    <t>Motor hor.</t>
  </si>
  <si>
    <t>Motor hor. Bracket</t>
  </si>
  <si>
    <t>Motor ver.</t>
  </si>
  <si>
    <t>Motor ver. Bracket</t>
  </si>
  <si>
    <t>Side longitudinal</t>
  </si>
  <si>
    <t>Sled</t>
  </si>
  <si>
    <t>Transverse clip stiffener aft</t>
  </si>
  <si>
    <t>Socket bracket aft</t>
  </si>
  <si>
    <t>Transverse clip stiffener fwd</t>
  </si>
  <si>
    <t>Socket bracket fwd</t>
  </si>
  <si>
    <t>Double socket pipe</t>
  </si>
  <si>
    <t>Hull pipe</t>
  </si>
  <si>
    <t>Plug fwd with plexi</t>
  </si>
  <si>
    <t>Frame mount fwd</t>
  </si>
  <si>
    <t>Aft plug with transducer and connectors</t>
  </si>
  <si>
    <t>Frame mount aft top bottom</t>
  </si>
  <si>
    <t>Frame mount aft side</t>
  </si>
  <si>
    <t>PCB with relays</t>
  </si>
  <si>
    <t>Camera</t>
  </si>
  <si>
    <t>Arduino shelf with arduino, hub, ESCs, range extender</t>
  </si>
  <si>
    <t>Common GND VDD</t>
  </si>
  <si>
    <t>Longitudinal</t>
  </si>
  <si>
    <t>Transverse aft</t>
  </si>
  <si>
    <t>Transverse fwd</t>
  </si>
  <si>
    <t>Ballast bar</t>
  </si>
  <si>
    <t>Displacement (kg)</t>
  </si>
  <si>
    <t>Mass (kg)</t>
  </si>
  <si>
    <t>Mass margin (kg)</t>
  </si>
  <si>
    <t>LCG (mm)</t>
  </si>
  <si>
    <t>LCB (mm)</t>
  </si>
  <si>
    <t>VCG (mm)</t>
  </si>
  <si>
    <t>VCB (mm)</t>
  </si>
  <si>
    <t>Myy (kg mm) - assuming mass=displacement</t>
  </si>
  <si>
    <t>theta (deg, +ve bow down)</t>
  </si>
  <si>
    <t>Ballast bar fwd</t>
  </si>
  <si>
    <t>Displacement volume (mm^3) - from CAD (pipe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</si>
</sst>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0000"/>
    <numFmt numFmtId="166" formatCode="0.000"/>
    <numFmt numFmtId="167" formatCode="[$£-809]#,##0.00;[Red]&quot;-&quot;[$£-8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3" fillId="0" borderId="0" xfId="0" applyFont="1" applyFill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8" workbookViewId="0">
      <selection activeCell="C29" sqref="C29"/>
    </sheetView>
  </sheetViews>
  <sheetFormatPr defaultRowHeight="14.25"/>
  <cols>
    <col min="1" max="1" width="44.125" style="2" customWidth="1"/>
    <col min="2" max="2" width="13.375" style="2" customWidth="1"/>
    <col min="3" max="3" width="12.75" style="2" customWidth="1"/>
    <col min="4" max="4" width="10.625" style="2" customWidth="1"/>
    <col min="5" max="5" width="12.125" style="2" customWidth="1"/>
    <col min="6" max="6" width="14.125" style="2" customWidth="1"/>
    <col min="7" max="7" width="12.75" style="2" customWidth="1"/>
    <col min="8" max="10" width="10.625" style="2" customWidth="1"/>
    <col min="11" max="16384" width="9" style="2"/>
  </cols>
  <sheetData>
    <row r="1" spans="1:10" ht="15">
      <c r="A1" s="1"/>
      <c r="B1" s="1"/>
      <c r="C1" s="1"/>
      <c r="D1" s="1"/>
      <c r="E1" s="1" t="s">
        <v>0</v>
      </c>
      <c r="F1" s="1" t="s">
        <v>1</v>
      </c>
      <c r="H1" s="7" t="s">
        <v>2</v>
      </c>
      <c r="I1" s="7"/>
      <c r="J1" s="7"/>
    </row>
    <row r="2" spans="1:10" ht="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>
      <c r="A3" s="2" t="s">
        <v>13</v>
      </c>
      <c r="B3" s="2">
        <v>2</v>
      </c>
      <c r="C3" s="2">
        <v>66</v>
      </c>
      <c r="D3" s="2">
        <v>0</v>
      </c>
      <c r="E3" s="2">
        <v>36.5</v>
      </c>
      <c r="F3" s="3">
        <f>-51-31/2</f>
        <v>-66.5</v>
      </c>
      <c r="G3" s="2">
        <f t="shared" ref="G3:G28" si="0">C3*B3</f>
        <v>132</v>
      </c>
      <c r="H3" s="2">
        <f t="shared" ref="H3:H28" si="1">$G3*D3</f>
        <v>0</v>
      </c>
      <c r="I3" s="2">
        <f t="shared" ref="I3:I27" si="2">$G3*E3</f>
        <v>4818</v>
      </c>
      <c r="J3" s="2">
        <f t="shared" ref="J3:J27" si="3">$G3*F3</f>
        <v>-8778</v>
      </c>
    </row>
    <row r="4" spans="1:10">
      <c r="A4" s="2" t="s">
        <v>14</v>
      </c>
      <c r="B4" s="2">
        <v>2</v>
      </c>
      <c r="C4" s="2">
        <v>24</v>
      </c>
      <c r="D4" s="2">
        <v>0</v>
      </c>
      <c r="E4" s="2">
        <v>36.5</v>
      </c>
      <c r="F4" s="3">
        <f>F3</f>
        <v>-66.5</v>
      </c>
      <c r="G4" s="2">
        <f t="shared" si="0"/>
        <v>48</v>
      </c>
      <c r="H4" s="2">
        <f t="shared" si="1"/>
        <v>0</v>
      </c>
      <c r="I4" s="2">
        <f t="shared" si="2"/>
        <v>1752</v>
      </c>
      <c r="J4" s="2">
        <f t="shared" si="3"/>
        <v>-3192</v>
      </c>
    </row>
    <row r="5" spans="1:10">
      <c r="A5" s="2" t="s">
        <v>15</v>
      </c>
      <c r="B5" s="2">
        <v>2</v>
      </c>
      <c r="C5" s="2">
        <v>66</v>
      </c>
      <c r="D5" s="2">
        <v>0</v>
      </c>
      <c r="E5" s="2">
        <f>21.5+31/2</f>
        <v>37</v>
      </c>
      <c r="F5" s="3">
        <v>-150</v>
      </c>
      <c r="G5" s="2">
        <f t="shared" si="0"/>
        <v>132</v>
      </c>
      <c r="H5" s="2">
        <f t="shared" si="1"/>
        <v>0</v>
      </c>
      <c r="I5" s="2">
        <f t="shared" si="2"/>
        <v>4884</v>
      </c>
      <c r="J5" s="2">
        <f t="shared" si="3"/>
        <v>-19800</v>
      </c>
    </row>
    <row r="6" spans="1:10">
      <c r="A6" s="2" t="s">
        <v>16</v>
      </c>
      <c r="B6" s="2">
        <v>2</v>
      </c>
      <c r="C6" s="2">
        <v>24</v>
      </c>
      <c r="D6" s="2">
        <v>0</v>
      </c>
      <c r="E6" s="2">
        <v>37</v>
      </c>
      <c r="F6" s="3">
        <v>-150</v>
      </c>
      <c r="G6" s="2">
        <f t="shared" si="0"/>
        <v>48</v>
      </c>
      <c r="H6" s="2">
        <f t="shared" si="1"/>
        <v>0</v>
      </c>
      <c r="I6" s="2">
        <f t="shared" si="2"/>
        <v>1776</v>
      </c>
      <c r="J6" s="2">
        <f t="shared" si="3"/>
        <v>-7200</v>
      </c>
    </row>
    <row r="7" spans="1:10">
      <c r="A7" s="2" t="s">
        <v>17</v>
      </c>
      <c r="B7" s="2">
        <v>2</v>
      </c>
      <c r="C7" s="2">
        <v>39</v>
      </c>
      <c r="D7" s="2">
        <v>0</v>
      </c>
      <c r="E7" s="2">
        <v>36.5</v>
      </c>
      <c r="F7" s="3">
        <f>-56-160/2</f>
        <v>-136</v>
      </c>
      <c r="G7" s="2">
        <f t="shared" si="0"/>
        <v>78</v>
      </c>
      <c r="H7" s="2">
        <f t="shared" si="1"/>
        <v>0</v>
      </c>
      <c r="I7" s="2">
        <f t="shared" si="2"/>
        <v>2847</v>
      </c>
      <c r="J7" s="2">
        <f t="shared" si="3"/>
        <v>-10608</v>
      </c>
    </row>
    <row r="8" spans="1:10">
      <c r="A8" s="2" t="s">
        <v>18</v>
      </c>
      <c r="B8" s="2">
        <v>2</v>
      </c>
      <c r="C8" s="2">
        <v>69</v>
      </c>
      <c r="D8" s="2">
        <v>0</v>
      </c>
      <c r="E8" s="2">
        <f>-59.7+2.2/2</f>
        <v>-58.6</v>
      </c>
      <c r="F8" s="3">
        <f>-12.1-269.8/2</f>
        <v>-147</v>
      </c>
      <c r="G8" s="2">
        <f t="shared" si="0"/>
        <v>138</v>
      </c>
      <c r="H8" s="2">
        <f t="shared" si="1"/>
        <v>0</v>
      </c>
      <c r="I8" s="2">
        <f t="shared" si="2"/>
        <v>-8086.8</v>
      </c>
      <c r="J8" s="2">
        <f t="shared" si="3"/>
        <v>-20286</v>
      </c>
    </row>
    <row r="9" spans="1:10">
      <c r="A9" s="2" t="s">
        <v>19</v>
      </c>
      <c r="B9" s="2">
        <v>1</v>
      </c>
      <c r="C9" s="2">
        <v>38</v>
      </c>
      <c r="D9" s="2">
        <v>0</v>
      </c>
      <c r="E9" s="2">
        <v>-56.5</v>
      </c>
      <c r="F9" s="3">
        <v>-67</v>
      </c>
      <c r="G9" s="2">
        <f t="shared" si="0"/>
        <v>38</v>
      </c>
      <c r="H9" s="2">
        <f t="shared" si="1"/>
        <v>0</v>
      </c>
      <c r="I9" s="2">
        <f t="shared" si="2"/>
        <v>-2147</v>
      </c>
      <c r="J9" s="2">
        <f t="shared" si="3"/>
        <v>-2546</v>
      </c>
    </row>
    <row r="10" spans="1:10">
      <c r="A10" s="2" t="s">
        <v>20</v>
      </c>
      <c r="B10" s="2">
        <v>1</v>
      </c>
      <c r="C10" s="2">
        <v>98</v>
      </c>
      <c r="D10" s="2">
        <v>0</v>
      </c>
      <c r="E10" s="2">
        <v>-8</v>
      </c>
      <c r="F10" s="3">
        <v>-67</v>
      </c>
      <c r="G10" s="2">
        <f t="shared" si="0"/>
        <v>98</v>
      </c>
      <c r="H10" s="2">
        <f t="shared" si="1"/>
        <v>0</v>
      </c>
      <c r="I10" s="2">
        <f t="shared" si="2"/>
        <v>-784</v>
      </c>
      <c r="J10" s="2">
        <f t="shared" si="3"/>
        <v>-6566</v>
      </c>
    </row>
    <row r="11" spans="1:10">
      <c r="A11" s="2" t="s">
        <v>21</v>
      </c>
      <c r="B11" s="2">
        <v>1</v>
      </c>
      <c r="C11" s="2">
        <v>38</v>
      </c>
      <c r="D11" s="2">
        <v>0</v>
      </c>
      <c r="E11" s="2">
        <v>-56.5</v>
      </c>
      <c r="F11" s="3">
        <v>-203.5</v>
      </c>
      <c r="G11" s="2">
        <f t="shared" si="0"/>
        <v>38</v>
      </c>
      <c r="H11" s="2">
        <f t="shared" si="1"/>
        <v>0</v>
      </c>
      <c r="I11" s="2">
        <f t="shared" si="2"/>
        <v>-2147</v>
      </c>
      <c r="J11" s="2">
        <f t="shared" si="3"/>
        <v>-7733</v>
      </c>
    </row>
    <row r="12" spans="1:10">
      <c r="A12" s="2" t="s">
        <v>22</v>
      </c>
      <c r="B12" s="2">
        <v>1</v>
      </c>
      <c r="C12" s="2">
        <v>98</v>
      </c>
      <c r="D12" s="2">
        <v>0</v>
      </c>
      <c r="E12" s="2">
        <v>-8</v>
      </c>
      <c r="F12" s="3">
        <v>-203.5</v>
      </c>
      <c r="G12" s="2">
        <f t="shared" si="0"/>
        <v>98</v>
      </c>
      <c r="H12" s="2">
        <f t="shared" si="1"/>
        <v>0</v>
      </c>
      <c r="I12" s="2">
        <f t="shared" si="2"/>
        <v>-784</v>
      </c>
      <c r="J12" s="2">
        <f t="shared" si="3"/>
        <v>-19943</v>
      </c>
    </row>
    <row r="13" spans="1:10">
      <c r="A13" s="2" t="s">
        <v>23</v>
      </c>
      <c r="B13" s="2">
        <v>1</v>
      </c>
      <c r="C13" s="2">
        <v>349</v>
      </c>
      <c r="D13" s="2">
        <v>0</v>
      </c>
      <c r="E13" s="2">
        <v>36.5</v>
      </c>
      <c r="F13" s="3">
        <f>-173-126/2</f>
        <v>-236</v>
      </c>
      <c r="G13" s="2">
        <f t="shared" si="0"/>
        <v>349</v>
      </c>
      <c r="H13" s="2">
        <f t="shared" si="1"/>
        <v>0</v>
      </c>
      <c r="I13" s="2">
        <f t="shared" si="2"/>
        <v>12738.5</v>
      </c>
      <c r="J13" s="2">
        <f t="shared" si="3"/>
        <v>-82364</v>
      </c>
    </row>
    <row r="14" spans="1:10">
      <c r="A14" s="2" t="s">
        <v>24</v>
      </c>
      <c r="B14" s="2">
        <v>1</v>
      </c>
      <c r="C14" s="2">
        <v>429</v>
      </c>
      <c r="D14" s="2">
        <v>0</v>
      </c>
      <c r="E14" s="2">
        <v>36.5</v>
      </c>
      <c r="F14" s="3">
        <f>-233/2</f>
        <v>-116.5</v>
      </c>
      <c r="G14" s="2">
        <f t="shared" si="0"/>
        <v>429</v>
      </c>
      <c r="H14" s="2">
        <f t="shared" si="1"/>
        <v>0</v>
      </c>
      <c r="I14" s="2">
        <f t="shared" si="2"/>
        <v>15658.5</v>
      </c>
      <c r="J14" s="2">
        <f t="shared" si="3"/>
        <v>-49978.5</v>
      </c>
    </row>
    <row r="15" spans="1:10">
      <c r="A15" s="2" t="s">
        <v>25</v>
      </c>
      <c r="B15" s="2">
        <v>1</v>
      </c>
      <c r="C15" s="2">
        <v>89</v>
      </c>
      <c r="D15" s="2">
        <v>0</v>
      </c>
      <c r="E15" s="2">
        <v>36.5</v>
      </c>
      <c r="F15" s="2">
        <f>-264-42/2</f>
        <v>-285</v>
      </c>
      <c r="G15" s="2">
        <f t="shared" si="0"/>
        <v>89</v>
      </c>
      <c r="H15" s="2">
        <f t="shared" si="1"/>
        <v>0</v>
      </c>
      <c r="I15" s="2">
        <f t="shared" si="2"/>
        <v>3248.5</v>
      </c>
      <c r="J15" s="2">
        <f t="shared" si="3"/>
        <v>-25365</v>
      </c>
    </row>
    <row r="16" spans="1:10">
      <c r="A16" s="2" t="s">
        <v>26</v>
      </c>
      <c r="B16" s="2">
        <v>4</v>
      </c>
      <c r="C16" s="2">
        <v>1</v>
      </c>
      <c r="D16" s="2">
        <v>0</v>
      </c>
      <c r="E16" s="2">
        <v>36.5</v>
      </c>
      <c r="F16" s="2">
        <f>-288-6/2</f>
        <v>-291</v>
      </c>
      <c r="G16" s="2">
        <f t="shared" si="0"/>
        <v>4</v>
      </c>
      <c r="H16" s="2">
        <f t="shared" si="1"/>
        <v>0</v>
      </c>
      <c r="I16" s="2">
        <f t="shared" si="2"/>
        <v>146</v>
      </c>
      <c r="J16" s="2">
        <f t="shared" si="3"/>
        <v>-1164</v>
      </c>
    </row>
    <row r="17" spans="1:10">
      <c r="A17" s="2" t="s">
        <v>27</v>
      </c>
      <c r="B17" s="2">
        <v>1</v>
      </c>
      <c r="C17" s="2">
        <v>370</v>
      </c>
      <c r="D17" s="2">
        <v>0</v>
      </c>
      <c r="E17" s="2">
        <v>36.5</v>
      </c>
      <c r="F17" s="2">
        <f>26-62/2</f>
        <v>-5</v>
      </c>
      <c r="G17" s="2">
        <f t="shared" si="0"/>
        <v>370</v>
      </c>
      <c r="H17" s="2">
        <f t="shared" si="1"/>
        <v>0</v>
      </c>
      <c r="I17" s="2">
        <f t="shared" si="2"/>
        <v>13505</v>
      </c>
      <c r="J17" s="2">
        <f t="shared" si="3"/>
        <v>-1850</v>
      </c>
    </row>
    <row r="18" spans="1:10">
      <c r="A18" s="2" t="s">
        <v>28</v>
      </c>
      <c r="B18" s="2">
        <v>2</v>
      </c>
      <c r="C18" s="2">
        <v>1</v>
      </c>
      <c r="D18" s="2">
        <v>0</v>
      </c>
      <c r="E18" s="2">
        <v>36.5</v>
      </c>
      <c r="F18" s="2">
        <v>-3</v>
      </c>
      <c r="G18" s="2">
        <f t="shared" si="0"/>
        <v>2</v>
      </c>
      <c r="H18" s="2">
        <f t="shared" si="1"/>
        <v>0</v>
      </c>
      <c r="I18" s="2">
        <f t="shared" si="2"/>
        <v>73</v>
      </c>
      <c r="J18" s="2">
        <f t="shared" si="3"/>
        <v>-6</v>
      </c>
    </row>
    <row r="19" spans="1:10">
      <c r="A19" s="2" t="s">
        <v>29</v>
      </c>
      <c r="B19" s="2">
        <v>1</v>
      </c>
      <c r="C19" s="2">
        <v>1</v>
      </c>
      <c r="D19" s="2">
        <f>-73-14.8/2</f>
        <v>-80.400000000000006</v>
      </c>
      <c r="E19" s="2">
        <v>36.5</v>
      </c>
      <c r="F19" s="2">
        <v>-3</v>
      </c>
      <c r="G19" s="2">
        <f t="shared" si="0"/>
        <v>1</v>
      </c>
      <c r="H19" s="2">
        <f t="shared" si="1"/>
        <v>-80.400000000000006</v>
      </c>
      <c r="I19" s="2">
        <f t="shared" si="2"/>
        <v>36.5</v>
      </c>
      <c r="J19" s="2">
        <f t="shared" si="3"/>
        <v>-3</v>
      </c>
    </row>
    <row r="20" spans="1:10">
      <c r="A20" s="2" t="s">
        <v>30</v>
      </c>
      <c r="B20" s="2">
        <v>1</v>
      </c>
      <c r="C20" s="2">
        <v>176</v>
      </c>
      <c r="D20" s="2">
        <v>0</v>
      </c>
      <c r="E20" s="2">
        <f>50.4+16.6/2</f>
        <v>58.7</v>
      </c>
      <c r="F20" s="2">
        <f>-130-135/2</f>
        <v>-197.5</v>
      </c>
      <c r="G20" s="2">
        <f t="shared" si="0"/>
        <v>176</v>
      </c>
      <c r="H20" s="2">
        <f t="shared" si="1"/>
        <v>0</v>
      </c>
      <c r="I20" s="2">
        <f t="shared" si="2"/>
        <v>10331.200000000001</v>
      </c>
      <c r="J20" s="2">
        <f t="shared" si="3"/>
        <v>-34760</v>
      </c>
    </row>
    <row r="21" spans="1:10">
      <c r="A21" s="2" t="s">
        <v>31</v>
      </c>
      <c r="B21" s="2">
        <v>1</v>
      </c>
      <c r="C21" s="2">
        <v>68</v>
      </c>
      <c r="D21" s="2">
        <v>0</v>
      </c>
      <c r="E21" s="2">
        <v>36.5</v>
      </c>
      <c r="F21" s="2">
        <v>-288</v>
      </c>
      <c r="G21" s="2">
        <f t="shared" si="0"/>
        <v>68</v>
      </c>
      <c r="H21" s="2">
        <f t="shared" si="1"/>
        <v>0</v>
      </c>
      <c r="I21" s="2">
        <f t="shared" si="2"/>
        <v>2482</v>
      </c>
      <c r="J21" s="2">
        <f t="shared" si="3"/>
        <v>-19584</v>
      </c>
    </row>
    <row r="22" spans="1:10">
      <c r="A22" s="2" t="s">
        <v>32</v>
      </c>
      <c r="B22" s="2">
        <v>1</v>
      </c>
      <c r="C22" s="2">
        <v>235</v>
      </c>
      <c r="D22" s="2">
        <v>0</v>
      </c>
      <c r="E22" s="2">
        <f>-13+47.5/2</f>
        <v>10.75</v>
      </c>
      <c r="F22" s="2">
        <f>-135-115/2</f>
        <v>-192.5</v>
      </c>
      <c r="G22" s="2">
        <f t="shared" si="0"/>
        <v>235</v>
      </c>
      <c r="H22" s="2">
        <f t="shared" si="1"/>
        <v>0</v>
      </c>
      <c r="I22" s="2">
        <f t="shared" si="2"/>
        <v>2526.25</v>
      </c>
      <c r="J22" s="2">
        <f t="shared" si="3"/>
        <v>-45237.5</v>
      </c>
    </row>
    <row r="23" spans="1:10">
      <c r="A23" s="2" t="s">
        <v>33</v>
      </c>
      <c r="B23" s="2">
        <v>2</v>
      </c>
      <c r="C23" s="2">
        <v>37</v>
      </c>
      <c r="D23" s="2">
        <f>-56-23/2</f>
        <v>-67.5</v>
      </c>
      <c r="E23" s="2">
        <f>11+39/2</f>
        <v>30.5</v>
      </c>
      <c r="F23" s="2">
        <f>-220-60/2</f>
        <v>-250</v>
      </c>
      <c r="G23" s="2">
        <f t="shared" si="0"/>
        <v>74</v>
      </c>
      <c r="H23" s="2">
        <f t="shared" si="1"/>
        <v>-4995</v>
      </c>
      <c r="I23" s="2">
        <f t="shared" si="2"/>
        <v>2257</v>
      </c>
      <c r="J23" s="2">
        <f t="shared" si="3"/>
        <v>-18500</v>
      </c>
    </row>
    <row r="24" spans="1:10">
      <c r="A24" s="2" t="s">
        <v>34</v>
      </c>
      <c r="B24" s="2">
        <v>4</v>
      </c>
      <c r="C24" s="2">
        <v>28</v>
      </c>
      <c r="D24" s="2">
        <v>0</v>
      </c>
      <c r="E24" s="2">
        <v>0</v>
      </c>
      <c r="F24" s="2">
        <v>-150</v>
      </c>
      <c r="G24" s="2">
        <f t="shared" si="0"/>
        <v>112</v>
      </c>
      <c r="H24" s="2">
        <f t="shared" si="1"/>
        <v>0</v>
      </c>
      <c r="I24" s="2">
        <f t="shared" si="2"/>
        <v>0</v>
      </c>
      <c r="J24" s="2">
        <f t="shared" si="3"/>
        <v>-16800</v>
      </c>
    </row>
    <row r="25" spans="1:10">
      <c r="A25" s="2" t="s">
        <v>35</v>
      </c>
      <c r="B25" s="2">
        <v>4</v>
      </c>
      <c r="C25" s="2">
        <v>7</v>
      </c>
      <c r="D25" s="2">
        <v>0</v>
      </c>
      <c r="E25" s="2">
        <v>0</v>
      </c>
      <c r="F25" s="2">
        <f>-25-12/2</f>
        <v>-31</v>
      </c>
      <c r="G25" s="2">
        <f t="shared" si="0"/>
        <v>28</v>
      </c>
      <c r="H25" s="2">
        <f t="shared" si="1"/>
        <v>0</v>
      </c>
      <c r="I25" s="2">
        <f t="shared" si="2"/>
        <v>0</v>
      </c>
      <c r="J25" s="2">
        <f t="shared" si="3"/>
        <v>-868</v>
      </c>
    </row>
    <row r="26" spans="1:10">
      <c r="A26" s="2" t="s">
        <v>36</v>
      </c>
      <c r="B26" s="2">
        <v>4</v>
      </c>
      <c r="C26" s="2">
        <v>7</v>
      </c>
      <c r="D26" s="2">
        <v>0</v>
      </c>
      <c r="E26" s="2">
        <v>0</v>
      </c>
      <c r="F26" s="2">
        <f>-288-12/2</f>
        <v>-294</v>
      </c>
      <c r="G26" s="2">
        <f t="shared" si="0"/>
        <v>28</v>
      </c>
      <c r="H26" s="2">
        <f t="shared" si="1"/>
        <v>0</v>
      </c>
      <c r="I26" s="2">
        <f t="shared" si="2"/>
        <v>0</v>
      </c>
      <c r="J26" s="2">
        <f t="shared" si="3"/>
        <v>-8232</v>
      </c>
    </row>
    <row r="27" spans="1:10">
      <c r="A27" s="2" t="s">
        <v>37</v>
      </c>
      <c r="B27" s="2">
        <v>5</v>
      </c>
      <c r="C27" s="2">
        <v>169</v>
      </c>
      <c r="D27" s="2">
        <v>0</v>
      </c>
      <c r="E27" s="2">
        <v>-49.5</v>
      </c>
      <c r="F27" s="3">
        <v>-170</v>
      </c>
      <c r="G27" s="2">
        <f t="shared" si="0"/>
        <v>845</v>
      </c>
      <c r="H27" s="2">
        <f t="shared" si="1"/>
        <v>0</v>
      </c>
      <c r="I27" s="2">
        <f t="shared" si="2"/>
        <v>-41827.5</v>
      </c>
      <c r="J27" s="2">
        <f t="shared" si="3"/>
        <v>-143650</v>
      </c>
    </row>
    <row r="28" spans="1:10">
      <c r="A28" s="2" t="s">
        <v>47</v>
      </c>
      <c r="B28" s="2">
        <v>1</v>
      </c>
      <c r="C28" s="2">
        <v>55</v>
      </c>
      <c r="D28" s="2">
        <v>0</v>
      </c>
      <c r="E28" s="2">
        <v>-40.799999999999997</v>
      </c>
      <c r="F28" s="3">
        <v>-272</v>
      </c>
      <c r="G28" s="2">
        <f t="shared" si="0"/>
        <v>55</v>
      </c>
      <c r="H28" s="2">
        <f t="shared" si="1"/>
        <v>0</v>
      </c>
      <c r="I28" s="2">
        <f t="shared" ref="I28" si="4">$G28*E28</f>
        <v>-2244</v>
      </c>
      <c r="J28" s="2">
        <f t="shared" ref="J28" si="5">$G28*F28</f>
        <v>-14960</v>
      </c>
    </row>
    <row r="29" spans="1:10">
      <c r="G29" s="2">
        <f>SUM(G3:G28)</f>
        <v>3713</v>
      </c>
      <c r="H29" s="2">
        <f>SUM(H3:H28)</f>
        <v>-5075.3999999999996</v>
      </c>
      <c r="I29" s="2">
        <f t="shared" ref="I29:J29" si="6">SUM(I3:I27)</f>
        <v>23303.149999999994</v>
      </c>
      <c r="J29" s="2">
        <f t="shared" si="6"/>
        <v>-555014</v>
      </c>
    </row>
    <row r="31" spans="1:10">
      <c r="A31" s="2" t="s">
        <v>48</v>
      </c>
      <c r="B31" s="4">
        <v>3422353.3859999999</v>
      </c>
    </row>
    <row r="32" spans="1:10">
      <c r="B32" s="5"/>
    </row>
    <row r="33" spans="1:2">
      <c r="A33" s="2" t="s">
        <v>38</v>
      </c>
      <c r="B33" s="6">
        <f>B31/1000000</f>
        <v>3.4223533859999997</v>
      </c>
    </row>
    <row r="34" spans="1:2">
      <c r="A34" s="2" t="s">
        <v>39</v>
      </c>
      <c r="B34" s="2">
        <f>G29*0.001</f>
        <v>3.7130000000000001</v>
      </c>
    </row>
    <row r="35" spans="1:2">
      <c r="A35" s="2" t="s">
        <v>40</v>
      </c>
      <c r="B35" s="6">
        <f>B33-B34</f>
        <v>-0.29064661400000036</v>
      </c>
    </row>
    <row r="37" spans="1:2">
      <c r="A37" s="2" t="s">
        <v>41</v>
      </c>
      <c r="B37" s="6">
        <f>J29/G29</f>
        <v>-149.47858874225693</v>
      </c>
    </row>
    <row r="38" spans="1:2">
      <c r="A38" s="2" t="s">
        <v>43</v>
      </c>
      <c r="B38" s="6">
        <f>I29/G29</f>
        <v>6.2760974952868285</v>
      </c>
    </row>
    <row r="40" spans="1:2">
      <c r="A40" s="2" t="s">
        <v>42</v>
      </c>
      <c r="B40" s="6">
        <v>-150</v>
      </c>
    </row>
    <row r="41" spans="1:2">
      <c r="A41" s="2" t="s">
        <v>44</v>
      </c>
      <c r="B41" s="2">
        <v>36.5</v>
      </c>
    </row>
    <row r="43" spans="1:2">
      <c r="A43" s="2" t="s">
        <v>45</v>
      </c>
      <c r="B43" s="2">
        <f>(B40-B37)*COS(RADIANS(B44))-(B41-B38)*SIN(RADIANS(B44))</f>
        <v>-0.6063912998952492</v>
      </c>
    </row>
    <row r="44" spans="1:2">
      <c r="A44" s="2" t="s">
        <v>46</v>
      </c>
      <c r="B44" s="2">
        <v>0.1611017064139425</v>
      </c>
    </row>
  </sheetData>
  <mergeCells count="1">
    <mergeCell ref="H1:J1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cp:revision>43</cp:revision>
  <dcterms:created xsi:type="dcterms:W3CDTF">2016-05-02T13:10:48Z</dcterms:created>
  <dcterms:modified xsi:type="dcterms:W3CDTF">2016-08-27T18:40:58Z</dcterms:modified>
</cp:coreProperties>
</file>