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jchmura-my.sharepoint.com/personal/natalia_obajtek_student_uj_edu_pl/Documents/RKinetDS program/Walidacja/"/>
    </mc:Choice>
  </mc:AlternateContent>
  <xr:revisionPtr revIDLastSave="1324" documentId="8_{D7EC049D-2B55-442A-93CD-C2D44176EC21}" xr6:coauthVersionLast="47" xr6:coauthVersionMax="47" xr10:uidLastSave="{FE866902-E43C-4336-A0AD-44559433E000}"/>
  <bookViews>
    <workbookView xWindow="-108" yWindow="-108" windowWidth="23256" windowHeight="12720" tabRatio="910" firstSheet="9" activeTab="18" xr2:uid="{00000000-000D-0000-FFFF-FFFF00000000}"/>
  </bookViews>
  <sheets>
    <sheet name="0_order" sheetId="1" r:id="rId1"/>
    <sheet name="1_order" sheetId="2" r:id="rId2"/>
    <sheet name="2_order" sheetId="3" r:id="rId3"/>
    <sheet name="3_order" sheetId="4" r:id="rId4"/>
    <sheet name="Michaelis_Menten" sheetId="21" r:id="rId5"/>
    <sheet name="Weibull" sheetId="7" r:id="rId6"/>
    <sheet name="Double_Weibull" sheetId="28" r:id="rId7"/>
    <sheet name="Higuchi" sheetId="9" r:id="rId8"/>
    <sheet name="Hixson_Crowley" sheetId="10" r:id="rId9"/>
    <sheet name="Korsmeyer_Peppas" sheetId="22" r:id="rId10"/>
    <sheet name="Hill" sheetId="23" r:id="rId11"/>
    <sheet name="Hopfenberg" sheetId="29" r:id="rId12"/>
    <sheet name="Peppas_Sahlin" sheetId="14" r:id="rId13"/>
    <sheet name="Quadratic" sheetId="15" r:id="rId14"/>
    <sheet name="Logistic" sheetId="25" r:id="rId15"/>
    <sheet name="Gompertz" sheetId="17" r:id="rId16"/>
    <sheet name="Probit" sheetId="32" r:id="rId17"/>
    <sheet name="Makoid_Banakar" sheetId="19" r:id="rId18"/>
    <sheet name="Baker_Lonsdale" sheetId="26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6" l="1"/>
  <c r="H7" i="26"/>
  <c r="H8" i="26"/>
  <c r="H9" i="26"/>
  <c r="H10" i="26"/>
  <c r="H11" i="26"/>
  <c r="H12" i="26"/>
  <c r="H13" i="26"/>
  <c r="H14" i="26"/>
  <c r="H5" i="26"/>
  <c r="G6" i="26"/>
  <c r="G7" i="26"/>
  <c r="G8" i="26"/>
  <c r="G9" i="26"/>
  <c r="G10" i="26"/>
  <c r="G11" i="26"/>
  <c r="G12" i="26"/>
  <c r="G13" i="26"/>
  <c r="G14" i="26"/>
  <c r="G5" i="26"/>
  <c r="H5" i="32"/>
  <c r="H6" i="32"/>
  <c r="H7" i="32"/>
  <c r="H8" i="32"/>
  <c r="H9" i="32"/>
  <c r="I9" i="32" s="1"/>
  <c r="H10" i="32"/>
  <c r="H11" i="32"/>
  <c r="H12" i="32"/>
  <c r="H13" i="32"/>
  <c r="I13" i="32" s="1"/>
  <c r="H14" i="32"/>
  <c r="I6" i="32"/>
  <c r="I7" i="32"/>
  <c r="I8" i="32"/>
  <c r="I10" i="32"/>
  <c r="I11" i="32"/>
  <c r="I12" i="32"/>
  <c r="I14" i="32"/>
  <c r="G6" i="32"/>
  <c r="G7" i="32"/>
  <c r="G8" i="32"/>
  <c r="G9" i="32"/>
  <c r="G10" i="32"/>
  <c r="G11" i="32"/>
  <c r="G12" i="32"/>
  <c r="G13" i="32"/>
  <c r="G14" i="32"/>
  <c r="G5" i="32"/>
  <c r="G6" i="29"/>
  <c r="G7" i="29"/>
  <c r="G8" i="29"/>
  <c r="G9" i="29"/>
  <c r="G10" i="29"/>
  <c r="G11" i="29"/>
  <c r="G12" i="29"/>
  <c r="G13" i="29"/>
  <c r="G14" i="29"/>
  <c r="G5" i="29"/>
  <c r="H14" i="29"/>
  <c r="H13" i="29"/>
  <c r="H12" i="29"/>
  <c r="H11" i="29"/>
  <c r="H10" i="29"/>
  <c r="H9" i="29"/>
  <c r="H8" i="29"/>
  <c r="H7" i="29"/>
  <c r="H6" i="29"/>
  <c r="H5" i="29"/>
  <c r="G6" i="28"/>
  <c r="G7" i="28"/>
  <c r="G8" i="28"/>
  <c r="G9" i="28"/>
  <c r="G10" i="28"/>
  <c r="G11" i="28"/>
  <c r="G12" i="28"/>
  <c r="G13" i="28"/>
  <c r="G14" i="28"/>
  <c r="G5" i="28"/>
  <c r="H14" i="28"/>
  <c r="H13" i="28"/>
  <c r="H12" i="28"/>
  <c r="H11" i="28"/>
  <c r="H10" i="28"/>
  <c r="H9" i="28"/>
  <c r="H8" i="28"/>
  <c r="H7" i="28"/>
  <c r="H6" i="28"/>
  <c r="H5" i="28"/>
  <c r="H14" i="25"/>
  <c r="G14" i="25"/>
  <c r="H13" i="25"/>
  <c r="G13" i="25"/>
  <c r="H12" i="25"/>
  <c r="G12" i="25"/>
  <c r="H11" i="25"/>
  <c r="G11" i="25"/>
  <c r="H10" i="25"/>
  <c r="G10" i="25"/>
  <c r="H9" i="25"/>
  <c r="G9" i="25"/>
  <c r="H8" i="25"/>
  <c r="G8" i="25"/>
  <c r="H7" i="25"/>
  <c r="G7" i="25"/>
  <c r="H6" i="25"/>
  <c r="G6" i="25"/>
  <c r="H5" i="25"/>
  <c r="G5" i="25"/>
  <c r="H6" i="23"/>
  <c r="H7" i="23"/>
  <c r="H8" i="23"/>
  <c r="H9" i="23"/>
  <c r="H10" i="23"/>
  <c r="H11" i="23"/>
  <c r="H12" i="23"/>
  <c r="H13" i="23"/>
  <c r="H14" i="23"/>
  <c r="H5" i="23"/>
  <c r="G6" i="23"/>
  <c r="I6" i="23" s="1"/>
  <c r="G7" i="23"/>
  <c r="G8" i="23"/>
  <c r="G9" i="23"/>
  <c r="G10" i="23"/>
  <c r="I10" i="23" s="1"/>
  <c r="G11" i="23"/>
  <c r="G12" i="23"/>
  <c r="G13" i="23"/>
  <c r="G14" i="23"/>
  <c r="I14" i="23" s="1"/>
  <c r="G5" i="23"/>
  <c r="G6" i="22"/>
  <c r="G7" i="22"/>
  <c r="G8" i="22"/>
  <c r="G9" i="22"/>
  <c r="G10" i="22"/>
  <c r="G11" i="22"/>
  <c r="G12" i="22"/>
  <c r="G13" i="22"/>
  <c r="G14" i="22"/>
  <c r="H14" i="22"/>
  <c r="I14" i="22" s="1"/>
  <c r="H13" i="22"/>
  <c r="H12" i="22"/>
  <c r="H11" i="22"/>
  <c r="I11" i="22" s="1"/>
  <c r="H10" i="22"/>
  <c r="I10" i="22" s="1"/>
  <c r="H9" i="22"/>
  <c r="H8" i="22"/>
  <c r="I8" i="22" s="1"/>
  <c r="H7" i="22"/>
  <c r="I7" i="22" s="1"/>
  <c r="H6" i="22"/>
  <c r="H5" i="22"/>
  <c r="G5" i="22"/>
  <c r="H6" i="21"/>
  <c r="H7" i="21"/>
  <c r="H8" i="21"/>
  <c r="H9" i="21"/>
  <c r="H10" i="21"/>
  <c r="H11" i="21"/>
  <c r="H12" i="21"/>
  <c r="H13" i="21"/>
  <c r="H14" i="21"/>
  <c r="H5" i="21"/>
  <c r="G6" i="21"/>
  <c r="G7" i="21"/>
  <c r="G8" i="21"/>
  <c r="G9" i="21"/>
  <c r="G10" i="21"/>
  <c r="G11" i="21"/>
  <c r="G12" i="21"/>
  <c r="G13" i="21"/>
  <c r="G14" i="21"/>
  <c r="G5" i="21"/>
  <c r="H6" i="19"/>
  <c r="H7" i="19"/>
  <c r="H8" i="19"/>
  <c r="H9" i="19"/>
  <c r="H10" i="19"/>
  <c r="H11" i="19"/>
  <c r="H12" i="19"/>
  <c r="H13" i="19"/>
  <c r="H14" i="19"/>
  <c r="H5" i="19"/>
  <c r="G6" i="19"/>
  <c r="G7" i="19"/>
  <c r="I7" i="19" s="1"/>
  <c r="G8" i="19"/>
  <c r="I8" i="19" s="1"/>
  <c r="G9" i="19"/>
  <c r="I9" i="19" s="1"/>
  <c r="G10" i="19"/>
  <c r="G11" i="19"/>
  <c r="G12" i="19"/>
  <c r="G13" i="19"/>
  <c r="G14" i="19"/>
  <c r="G5" i="19"/>
  <c r="H6" i="17"/>
  <c r="I6" i="17" s="1"/>
  <c r="H7" i="17"/>
  <c r="I7" i="17" s="1"/>
  <c r="H8" i="17"/>
  <c r="H9" i="17"/>
  <c r="H10" i="17"/>
  <c r="I10" i="17" s="1"/>
  <c r="H11" i="17"/>
  <c r="H12" i="17"/>
  <c r="H13" i="17"/>
  <c r="H14" i="17"/>
  <c r="H5" i="17"/>
  <c r="G6" i="17"/>
  <c r="G7" i="17"/>
  <c r="G8" i="17"/>
  <c r="G9" i="17"/>
  <c r="G10" i="17"/>
  <c r="G11" i="17"/>
  <c r="G12" i="17"/>
  <c r="G13" i="17"/>
  <c r="G14" i="17"/>
  <c r="G5" i="17"/>
  <c r="H6" i="15"/>
  <c r="H7" i="15"/>
  <c r="H8" i="15"/>
  <c r="H9" i="15"/>
  <c r="H10" i="15"/>
  <c r="H11" i="15"/>
  <c r="H12" i="15"/>
  <c r="H13" i="15"/>
  <c r="H14" i="15"/>
  <c r="H5" i="15"/>
  <c r="G6" i="15"/>
  <c r="G7" i="15"/>
  <c r="G8" i="15"/>
  <c r="I8" i="15" s="1"/>
  <c r="G9" i="15"/>
  <c r="I9" i="15" s="1"/>
  <c r="G10" i="15"/>
  <c r="I10" i="15" s="1"/>
  <c r="G11" i="15"/>
  <c r="I11" i="15" s="1"/>
  <c r="G12" i="15"/>
  <c r="G13" i="15"/>
  <c r="G14" i="15"/>
  <c r="G5" i="15"/>
  <c r="I11" i="17"/>
  <c r="I9" i="17"/>
  <c r="H6" i="14"/>
  <c r="H7" i="14"/>
  <c r="H8" i="14"/>
  <c r="H9" i="14"/>
  <c r="H10" i="14"/>
  <c r="H11" i="14"/>
  <c r="H12" i="14"/>
  <c r="H13" i="14"/>
  <c r="H14" i="14"/>
  <c r="H5" i="14"/>
  <c r="G6" i="14"/>
  <c r="G7" i="14"/>
  <c r="I7" i="14" s="1"/>
  <c r="G8" i="14"/>
  <c r="I8" i="14" s="1"/>
  <c r="G9" i="14"/>
  <c r="I9" i="14" s="1"/>
  <c r="G10" i="14"/>
  <c r="I10" i="14" s="1"/>
  <c r="G11" i="14"/>
  <c r="G12" i="14"/>
  <c r="G13" i="14"/>
  <c r="G14" i="14"/>
  <c r="G5" i="14"/>
  <c r="I14" i="15"/>
  <c r="I5" i="15"/>
  <c r="H6" i="10"/>
  <c r="H7" i="10"/>
  <c r="H8" i="10"/>
  <c r="H9" i="10"/>
  <c r="H10" i="10"/>
  <c r="H11" i="10"/>
  <c r="H12" i="10"/>
  <c r="H13" i="10"/>
  <c r="I13" i="10" s="1"/>
  <c r="H14" i="10"/>
  <c r="H5" i="10"/>
  <c r="G6" i="10"/>
  <c r="I6" i="10" s="1"/>
  <c r="G7" i="10"/>
  <c r="I7" i="10" s="1"/>
  <c r="G8" i="10"/>
  <c r="G9" i="10"/>
  <c r="G10" i="10"/>
  <c r="G11" i="10"/>
  <c r="G12" i="10"/>
  <c r="G13" i="10"/>
  <c r="G14" i="10"/>
  <c r="G5" i="10"/>
  <c r="H6" i="9"/>
  <c r="H7" i="9"/>
  <c r="H8" i="9"/>
  <c r="H9" i="9"/>
  <c r="H10" i="9"/>
  <c r="H11" i="9"/>
  <c r="H12" i="9"/>
  <c r="H13" i="9"/>
  <c r="H14" i="9"/>
  <c r="H5" i="9"/>
  <c r="K9" i="9" s="1" a="1"/>
  <c r="G6" i="9"/>
  <c r="I6" i="9" s="1"/>
  <c r="G7" i="9"/>
  <c r="G8" i="9"/>
  <c r="G9" i="9"/>
  <c r="I9" i="9" s="1"/>
  <c r="G10" i="9"/>
  <c r="I10" i="9" s="1"/>
  <c r="G11" i="9"/>
  <c r="G12" i="9"/>
  <c r="G13" i="9"/>
  <c r="G14" i="9"/>
  <c r="G5" i="9"/>
  <c r="I12" i="10"/>
  <c r="H6" i="7"/>
  <c r="H7" i="7"/>
  <c r="H8" i="7"/>
  <c r="H9" i="7"/>
  <c r="H10" i="7"/>
  <c r="H11" i="7"/>
  <c r="H12" i="7"/>
  <c r="H13" i="7"/>
  <c r="H14" i="7"/>
  <c r="H5" i="7"/>
  <c r="G6" i="7"/>
  <c r="G7" i="7"/>
  <c r="G8" i="7"/>
  <c r="I8" i="7" s="1"/>
  <c r="G9" i="7"/>
  <c r="G10" i="7"/>
  <c r="G11" i="7"/>
  <c r="G12" i="7"/>
  <c r="G13" i="7"/>
  <c r="G14" i="7"/>
  <c r="G5" i="7"/>
  <c r="H14" i="4"/>
  <c r="I14" i="4" s="1"/>
  <c r="G14" i="4"/>
  <c r="H13" i="4"/>
  <c r="I13" i="4" s="1"/>
  <c r="G13" i="4"/>
  <c r="H12" i="4"/>
  <c r="G12" i="4"/>
  <c r="H11" i="4"/>
  <c r="I11" i="4" s="1"/>
  <c r="G11" i="4"/>
  <c r="H10" i="4"/>
  <c r="I10" i="4" s="1"/>
  <c r="G10" i="4"/>
  <c r="H9" i="4"/>
  <c r="G9" i="4"/>
  <c r="H8" i="4"/>
  <c r="G8" i="4"/>
  <c r="H7" i="4"/>
  <c r="I7" i="4" s="1"/>
  <c r="G7" i="4"/>
  <c r="H6" i="4"/>
  <c r="I6" i="4" s="1"/>
  <c r="G6" i="4"/>
  <c r="H5" i="4"/>
  <c r="G5" i="4"/>
  <c r="K9" i="4" s="1" a="1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14" i="2"/>
  <c r="G14" i="2"/>
  <c r="H13" i="2"/>
  <c r="G13" i="2"/>
  <c r="I13" i="2" s="1"/>
  <c r="H12" i="2"/>
  <c r="I12" i="2" s="1"/>
  <c r="G12" i="2"/>
  <c r="H11" i="2"/>
  <c r="G11" i="2"/>
  <c r="H10" i="2"/>
  <c r="G10" i="2"/>
  <c r="H9" i="2"/>
  <c r="G9" i="2"/>
  <c r="H8" i="2"/>
  <c r="G8" i="2"/>
  <c r="H7" i="2"/>
  <c r="G7" i="2"/>
  <c r="H6" i="2"/>
  <c r="G6" i="2"/>
  <c r="I5" i="2"/>
  <c r="H5" i="2"/>
  <c r="G5" i="2"/>
  <c r="K9" i="2" s="1" a="1"/>
  <c r="H14" i="1"/>
  <c r="I14" i="1" s="1"/>
  <c r="G14" i="1"/>
  <c r="H13" i="1"/>
  <c r="G13" i="1"/>
  <c r="I13" i="1" s="1"/>
  <c r="H12" i="1"/>
  <c r="G12" i="1"/>
  <c r="H11" i="1"/>
  <c r="I11" i="1" s="1"/>
  <c r="G11" i="1"/>
  <c r="H10" i="1"/>
  <c r="G10" i="1"/>
  <c r="H9" i="1"/>
  <c r="G9" i="1"/>
  <c r="I9" i="1" s="1"/>
  <c r="H8" i="1"/>
  <c r="G8" i="1"/>
  <c r="H7" i="1"/>
  <c r="I7" i="1" s="1"/>
  <c r="G7" i="1"/>
  <c r="H6" i="1"/>
  <c r="G6" i="1"/>
  <c r="I6" i="1" s="1"/>
  <c r="H5" i="1"/>
  <c r="G5" i="1"/>
  <c r="K9" i="1" s="1" a="1"/>
  <c r="I10" i="26" l="1"/>
  <c r="I5" i="32"/>
  <c r="K9" i="32" a="1"/>
  <c r="L12" i="32" s="1"/>
  <c r="I5" i="29"/>
  <c r="I7" i="29"/>
  <c r="I9" i="29"/>
  <c r="I11" i="29"/>
  <c r="I13" i="29"/>
  <c r="I6" i="29"/>
  <c r="I8" i="29"/>
  <c r="I10" i="29"/>
  <c r="I14" i="29"/>
  <c r="I12" i="29"/>
  <c r="K9" i="29" a="1"/>
  <c r="K12" i="29" s="1"/>
  <c r="K9" i="3" a="1"/>
  <c r="K12" i="3" s="1"/>
  <c r="I6" i="3"/>
  <c r="I8" i="3"/>
  <c r="I10" i="3"/>
  <c r="I5" i="3"/>
  <c r="I7" i="3"/>
  <c r="I11" i="3"/>
  <c r="I13" i="3"/>
  <c r="I7" i="28"/>
  <c r="I10" i="28"/>
  <c r="I14" i="28"/>
  <c r="I13" i="28"/>
  <c r="I9" i="28"/>
  <c r="I11" i="28"/>
  <c r="I6" i="28"/>
  <c r="K9" i="28" a="1"/>
  <c r="L10" i="28" s="1"/>
  <c r="I5" i="28"/>
  <c r="I12" i="28"/>
  <c r="I8" i="28"/>
  <c r="I12" i="26"/>
  <c r="I8" i="26"/>
  <c r="I6" i="26"/>
  <c r="K9" i="26" a="1"/>
  <c r="L11" i="26" s="1"/>
  <c r="I11" i="26"/>
  <c r="I7" i="26"/>
  <c r="I14" i="26"/>
  <c r="I9" i="26"/>
  <c r="I13" i="26"/>
  <c r="I5" i="26"/>
  <c r="K9" i="17" a="1"/>
  <c r="K10" i="17" s="1"/>
  <c r="K9" i="25" a="1"/>
  <c r="L13" i="25" s="1"/>
  <c r="I5" i="25"/>
  <c r="I9" i="25"/>
  <c r="I13" i="25"/>
  <c r="I8" i="25"/>
  <c r="I12" i="25"/>
  <c r="I14" i="25"/>
  <c r="I6" i="25"/>
  <c r="I7" i="25"/>
  <c r="I10" i="25"/>
  <c r="I11" i="25"/>
  <c r="I11" i="23"/>
  <c r="I7" i="23"/>
  <c r="I13" i="23"/>
  <c r="I8" i="23"/>
  <c r="I9" i="23"/>
  <c r="I12" i="23"/>
  <c r="I5" i="23"/>
  <c r="K9" i="23" a="1"/>
  <c r="I9" i="22"/>
  <c r="K9" i="22" a="1"/>
  <c r="L12" i="22" s="1"/>
  <c r="I13" i="22"/>
  <c r="I6" i="22"/>
  <c r="I5" i="22"/>
  <c r="I12" i="22"/>
  <c r="I11" i="21"/>
  <c r="I13" i="21"/>
  <c r="I5" i="21"/>
  <c r="I7" i="21"/>
  <c r="I6" i="21"/>
  <c r="I8" i="21"/>
  <c r="K9" i="21" a="1"/>
  <c r="L12" i="21" s="1"/>
  <c r="I10" i="21"/>
  <c r="I9" i="21"/>
  <c r="I12" i="21"/>
  <c r="I14" i="21"/>
  <c r="I13" i="19"/>
  <c r="K9" i="19" a="1"/>
  <c r="L9" i="19" s="1"/>
  <c r="I12" i="19"/>
  <c r="I11" i="19"/>
  <c r="I6" i="19"/>
  <c r="I10" i="19"/>
  <c r="I14" i="19"/>
  <c r="I5" i="19"/>
  <c r="I12" i="17"/>
  <c r="I8" i="17"/>
  <c r="I13" i="17"/>
  <c r="I14" i="17"/>
  <c r="I5" i="17"/>
  <c r="I6" i="15"/>
  <c r="I7" i="15"/>
  <c r="K9" i="15" a="1"/>
  <c r="K12" i="15" s="1"/>
  <c r="I12" i="15"/>
  <c r="I15" i="15" s="1"/>
  <c r="I16" i="15" s="1"/>
  <c r="I13" i="15"/>
  <c r="I11" i="14"/>
  <c r="I6" i="14"/>
  <c r="I14" i="14"/>
  <c r="I12" i="14"/>
  <c r="I13" i="14"/>
  <c r="I5" i="14"/>
  <c r="K9" i="14" a="1"/>
  <c r="L13" i="14" s="1"/>
  <c r="K9" i="10" a="1"/>
  <c r="L11" i="10" s="1"/>
  <c r="I9" i="10"/>
  <c r="I8" i="10"/>
  <c r="I11" i="10"/>
  <c r="I10" i="10"/>
  <c r="I14" i="10"/>
  <c r="I5" i="10"/>
  <c r="I13" i="9"/>
  <c r="I6" i="7"/>
  <c r="K9" i="7" a="1"/>
  <c r="K9" i="7" s="1"/>
  <c r="I12" i="7"/>
  <c r="I10" i="7"/>
  <c r="I11" i="7"/>
  <c r="I7" i="7"/>
  <c r="I8" i="1"/>
  <c r="I13" i="7"/>
  <c r="I7" i="9"/>
  <c r="I6" i="2"/>
  <c r="I8" i="4"/>
  <c r="I14" i="7"/>
  <c r="I8" i="9"/>
  <c r="I12" i="3"/>
  <c r="I14" i="2"/>
  <c r="I9" i="4"/>
  <c r="I7" i="2"/>
  <c r="I15" i="2" s="1"/>
  <c r="I16" i="2" s="1"/>
  <c r="I10" i="1"/>
  <c r="I15" i="1" s="1"/>
  <c r="I16" i="1" s="1"/>
  <c r="I8" i="2"/>
  <c r="I9" i="7"/>
  <c r="I5" i="1"/>
  <c r="I12" i="1"/>
  <c r="I9" i="2"/>
  <c r="I14" i="3"/>
  <c r="I11" i="9"/>
  <c r="I10" i="2"/>
  <c r="I5" i="4"/>
  <c r="I12" i="4"/>
  <c r="I5" i="9"/>
  <c r="I12" i="9"/>
  <c r="I11" i="2"/>
  <c r="I9" i="3"/>
  <c r="I5" i="7"/>
  <c r="I15" i="7" s="1"/>
  <c r="I16" i="7" s="1"/>
  <c r="I14" i="9"/>
  <c r="K13" i="9"/>
  <c r="L12" i="9"/>
  <c r="K12" i="9"/>
  <c r="L11" i="9"/>
  <c r="K11" i="9"/>
  <c r="I17" i="9" s="1"/>
  <c r="L10" i="9"/>
  <c r="K10" i="9"/>
  <c r="L9" i="9"/>
  <c r="K9" i="9"/>
  <c r="L13" i="9"/>
  <c r="K13" i="1"/>
  <c r="L12" i="1"/>
  <c r="K12" i="1"/>
  <c r="K11" i="1"/>
  <c r="I17" i="1" s="1"/>
  <c r="L10" i="1"/>
  <c r="K9" i="1"/>
  <c r="L13" i="1"/>
  <c r="K10" i="1"/>
  <c r="L9" i="1"/>
  <c r="L11" i="1"/>
  <c r="K11" i="4"/>
  <c r="I17" i="4" s="1"/>
  <c r="L10" i="4"/>
  <c r="K10" i="4"/>
  <c r="K9" i="4"/>
  <c r="K12" i="4"/>
  <c r="L9" i="4"/>
  <c r="L11" i="4"/>
  <c r="L13" i="4"/>
  <c r="K13" i="4"/>
  <c r="L12" i="4"/>
  <c r="K13" i="2"/>
  <c r="L12" i="2"/>
  <c r="K9" i="2"/>
  <c r="L13" i="2"/>
  <c r="K12" i="2"/>
  <c r="L11" i="2"/>
  <c r="K10" i="2"/>
  <c r="K11" i="2"/>
  <c r="I17" i="2" s="1"/>
  <c r="L10" i="2"/>
  <c r="L9" i="2"/>
  <c r="I15" i="32" l="1"/>
  <c r="I16" i="32" s="1"/>
  <c r="L13" i="32"/>
  <c r="K11" i="32"/>
  <c r="I17" i="32" s="1"/>
  <c r="K13" i="32"/>
  <c r="L10" i="32"/>
  <c r="K12" i="32"/>
  <c r="L11" i="32"/>
  <c r="K9" i="32"/>
  <c r="K10" i="32"/>
  <c r="L9" i="32"/>
  <c r="I15" i="29"/>
  <c r="I16" i="29" s="1"/>
  <c r="K9" i="29"/>
  <c r="L12" i="29"/>
  <c r="K11" i="29"/>
  <c r="I17" i="29" s="1"/>
  <c r="K13" i="29"/>
  <c r="L9" i="29"/>
  <c r="K10" i="29"/>
  <c r="L11" i="29"/>
  <c r="L10" i="29"/>
  <c r="L13" i="29"/>
  <c r="K9" i="3"/>
  <c r="K11" i="3"/>
  <c r="I17" i="3" s="1"/>
  <c r="K10" i="3"/>
  <c r="L11" i="3"/>
  <c r="L13" i="3"/>
  <c r="L10" i="3"/>
  <c r="K13" i="3"/>
  <c r="L9" i="3"/>
  <c r="L12" i="3"/>
  <c r="I15" i="3"/>
  <c r="I16" i="3" s="1"/>
  <c r="I15" i="28"/>
  <c r="I16" i="28" s="1"/>
  <c r="K10" i="28"/>
  <c r="L9" i="28"/>
  <c r="L12" i="28"/>
  <c r="K12" i="28"/>
  <c r="L11" i="28"/>
  <c r="K9" i="28"/>
  <c r="L13" i="28"/>
  <c r="K13" i="28"/>
  <c r="K11" i="28"/>
  <c r="I17" i="28" s="1"/>
  <c r="K10" i="26"/>
  <c r="L9" i="26"/>
  <c r="L12" i="26"/>
  <c r="K11" i="26"/>
  <c r="I17" i="26" s="1"/>
  <c r="L13" i="26"/>
  <c r="K9" i="26"/>
  <c r="K13" i="26"/>
  <c r="L10" i="26"/>
  <c r="K12" i="26"/>
  <c r="I15" i="26"/>
  <c r="I16" i="26" s="1"/>
  <c r="K11" i="17"/>
  <c r="I17" i="17" s="1"/>
  <c r="L12" i="17"/>
  <c r="L9" i="17"/>
  <c r="K12" i="17"/>
  <c r="L10" i="17"/>
  <c r="L11" i="17"/>
  <c r="L13" i="17"/>
  <c r="I15" i="17"/>
  <c r="I16" i="17" s="1"/>
  <c r="K9" i="17"/>
  <c r="K13" i="17"/>
  <c r="K10" i="25"/>
  <c r="L12" i="25"/>
  <c r="L11" i="25"/>
  <c r="K13" i="25"/>
  <c r="L10" i="25"/>
  <c r="L9" i="25"/>
  <c r="K11" i="25"/>
  <c r="I17" i="25" s="1"/>
  <c r="K12" i="25"/>
  <c r="K9" i="25"/>
  <c r="I15" i="25"/>
  <c r="I16" i="25" s="1"/>
  <c r="I15" i="23"/>
  <c r="I16" i="23" s="1"/>
  <c r="K12" i="23"/>
  <c r="K10" i="23"/>
  <c r="L13" i="23"/>
  <c r="L11" i="23"/>
  <c r="L9" i="23"/>
  <c r="K13" i="23"/>
  <c r="K11" i="23"/>
  <c r="I17" i="23" s="1"/>
  <c r="K9" i="23"/>
  <c r="L12" i="23"/>
  <c r="L10" i="23"/>
  <c r="I15" i="22"/>
  <c r="I16" i="22" s="1"/>
  <c r="K10" i="22"/>
  <c r="L13" i="22"/>
  <c r="K9" i="22"/>
  <c r="K12" i="22"/>
  <c r="L10" i="22"/>
  <c r="K13" i="22"/>
  <c r="L11" i="22"/>
  <c r="K11" i="22"/>
  <c r="I17" i="22" s="1"/>
  <c r="L9" i="22"/>
  <c r="K12" i="21"/>
  <c r="L13" i="21"/>
  <c r="L10" i="21"/>
  <c r="L11" i="21"/>
  <c r="K11" i="21"/>
  <c r="I17" i="21" s="1"/>
  <c r="K10" i="21"/>
  <c r="K13" i="21"/>
  <c r="L9" i="21"/>
  <c r="K9" i="21"/>
  <c r="I15" i="21"/>
  <c r="I16" i="21" s="1"/>
  <c r="I15" i="4"/>
  <c r="I16" i="4" s="1"/>
  <c r="I15" i="19"/>
  <c r="I16" i="19" s="1"/>
  <c r="K12" i="19"/>
  <c r="K11" i="19"/>
  <c r="I17" i="19" s="1"/>
  <c r="L10" i="19"/>
  <c r="K10" i="19"/>
  <c r="L11" i="19"/>
  <c r="L13" i="19"/>
  <c r="K9" i="19"/>
  <c r="L12" i="19"/>
  <c r="K13" i="19"/>
  <c r="K13" i="15"/>
  <c r="L9" i="15"/>
  <c r="L13" i="15"/>
  <c r="L12" i="15"/>
  <c r="K10" i="15"/>
  <c r="K11" i="15"/>
  <c r="I17" i="15" s="1"/>
  <c r="L10" i="15"/>
  <c r="K9" i="15"/>
  <c r="L11" i="15"/>
  <c r="I15" i="14"/>
  <c r="I16" i="14" s="1"/>
  <c r="K10" i="14"/>
  <c r="K11" i="14"/>
  <c r="I17" i="14" s="1"/>
  <c r="L11" i="14"/>
  <c r="K9" i="14"/>
  <c r="L9" i="14"/>
  <c r="L10" i="14"/>
  <c r="K12" i="14"/>
  <c r="L12" i="14"/>
  <c r="K13" i="14"/>
  <c r="L9" i="10"/>
  <c r="K9" i="10"/>
  <c r="L12" i="10"/>
  <c r="L13" i="10"/>
  <c r="K11" i="10"/>
  <c r="I17" i="10" s="1"/>
  <c r="K12" i="10"/>
  <c r="K10" i="10"/>
  <c r="L10" i="10"/>
  <c r="K13" i="10"/>
  <c r="I15" i="10"/>
  <c r="I16" i="10" s="1"/>
  <c r="I15" i="9"/>
  <c r="I16" i="9" s="1"/>
  <c r="L9" i="7"/>
  <c r="K10" i="7"/>
  <c r="L10" i="7"/>
  <c r="K11" i="7"/>
  <c r="I17" i="7" s="1"/>
  <c r="K13" i="7"/>
  <c r="L12" i="7"/>
  <c r="L13" i="7"/>
  <c r="K12" i="7"/>
  <c r="L11" i="7"/>
</calcChain>
</file>

<file path=xl/sharedStrings.xml><?xml version="1.0" encoding="utf-8"?>
<sst xmlns="http://schemas.openxmlformats.org/spreadsheetml/2006/main" count="2693" uniqueCount="307">
  <si>
    <t>Model name</t>
  </si>
  <si>
    <t>0 order</t>
  </si>
  <si>
    <t>Model equation</t>
  </si>
  <si>
    <t>Q=k*t</t>
  </si>
  <si>
    <t>t</t>
  </si>
  <si>
    <t>Q (original)</t>
  </si>
  <si>
    <t>Q (RkinetDS)</t>
  </si>
  <si>
    <t>Error</t>
  </si>
  <si>
    <t>Original parameters</t>
  </si>
  <si>
    <t>RkinetDS parameters</t>
  </si>
  <si>
    <t>k</t>
  </si>
  <si>
    <t>MSE</t>
  </si>
  <si>
    <t>RMSE</t>
  </si>
  <si>
    <t>R2</t>
  </si>
  <si>
    <t xml:space="preserve">OVERALL REPORT </t>
  </si>
  <si>
    <t xml:space="preserve">Date:  Sun Jan 14 23:38:21 2024 </t>
  </si>
  <si>
    <t xml:space="preserve">USED OPTIMIZATION METHODS </t>
  </si>
  <si>
    <t xml:space="preserve">NelderMead:  TRUE </t>
  </si>
  <si>
    <t xml:space="preserve">SANN:  FALSE </t>
  </si>
  <si>
    <t xml:space="preserve">nloptr:  TRUE </t>
  </si>
  <si>
    <t xml:space="preserve">rgenoud:  FALSE </t>
  </si>
  <si>
    <t xml:space="preserve">genSA:  FALSE </t>
  </si>
  <si>
    <t xml:space="preserve">USED PARAMETERES </t>
  </si>
  <si>
    <t xml:space="preserve">maxit_BFGS:  5000 </t>
  </si>
  <si>
    <t xml:space="preserve">maxit_NM:  5e+05 </t>
  </si>
  <si>
    <t xml:space="preserve">maxit_nloptr:  10000 </t>
  </si>
  <si>
    <t xml:space="preserve">max_iter_rgenoud:  500 </t>
  </si>
  <si>
    <t xml:space="preserve">max_iter_gensa:  1500 </t>
  </si>
  <si>
    <t xml:space="preserve">maxit_SANN:  10000 </t>
  </si>
  <si>
    <t xml:space="preserve">optim_rel_tol:  1e-20 </t>
  </si>
  <si>
    <t xml:space="preserve">opti_trace:  1 </t>
  </si>
  <si>
    <t xml:space="preserve">RESULTS </t>
  </si>
  <si>
    <t>Model name: Zero order</t>
  </si>
  <si>
    <t>Model equation:C[1]*t</t>
  </si>
  <si>
    <t>Parameters for equation after optimization: 9.00000648441234</t>
  </si>
  <si>
    <t>Algebraic form: 9.00000648441234*t</t>
  </si>
  <si>
    <t>RMSE: 0</t>
  </si>
  <si>
    <t xml:space="preserve"> </t>
  </si>
  <si>
    <t xml:space="preserve">SYSTEM USER INFO </t>
  </si>
  <si>
    <t xml:space="preserve">INSTALLED PACKAGES AND THEIR VERSIONS  </t>
  </si>
  <si>
    <t xml:space="preserve">anytime 0.3.9   </t>
  </si>
  <si>
    <t xml:space="preserve">askpass 1.1     </t>
  </si>
  <si>
    <t xml:space="preserve">base64enc       0.1-3   </t>
  </si>
  <si>
    <t xml:space="preserve">BH      1.81.0-1        </t>
  </si>
  <si>
    <t xml:space="preserve">brio    1.1.3   </t>
  </si>
  <si>
    <t xml:space="preserve">bslib   0.4.2   </t>
  </si>
  <si>
    <t xml:space="preserve">cachem  1.0.7   </t>
  </si>
  <si>
    <t xml:space="preserve">callr   3.7.3   </t>
  </si>
  <si>
    <t xml:space="preserve">cli     3.6.0   </t>
  </si>
  <si>
    <t xml:space="preserve">colorspace      2.1-0   </t>
  </si>
  <si>
    <t xml:space="preserve">commonmark      1.9.0   </t>
  </si>
  <si>
    <t xml:space="preserve">config  0.3.1   </t>
  </si>
  <si>
    <t xml:space="preserve">cpp11   0.4.3   </t>
  </si>
  <si>
    <t xml:space="preserve">crayon  1.5.2   </t>
  </si>
  <si>
    <t xml:space="preserve">crosstalk       1.2.0   </t>
  </si>
  <si>
    <t xml:space="preserve">curl    5.0.0   </t>
  </si>
  <si>
    <t xml:space="preserve">data.table      1.14.8  </t>
  </si>
  <si>
    <t xml:space="preserve">desc    1.4.2   </t>
  </si>
  <si>
    <t xml:space="preserve">diffobj 0.3.5   </t>
  </si>
  <si>
    <t xml:space="preserve">digest  0.6.31  </t>
  </si>
  <si>
    <t xml:space="preserve">dplyr   1.1.2   </t>
  </si>
  <si>
    <t xml:space="preserve">ellipsis        0.3.2   </t>
  </si>
  <si>
    <t xml:space="preserve">evaluate        0.20    </t>
  </si>
  <si>
    <t xml:space="preserve">fansi   1.0.4   </t>
  </si>
  <si>
    <t xml:space="preserve">farver  2.1.1   </t>
  </si>
  <si>
    <t xml:space="preserve">fastmap 1.1.1   </t>
  </si>
  <si>
    <t xml:space="preserve">fontawesome     0.5.0   </t>
  </si>
  <si>
    <t xml:space="preserve">fs      1.6.1   </t>
  </si>
  <si>
    <t xml:space="preserve">generics        0.1.3   </t>
  </si>
  <si>
    <t xml:space="preserve">GenSA   1.1.8   </t>
  </si>
  <si>
    <t xml:space="preserve">ggplot2 3.4.2   </t>
  </si>
  <si>
    <t xml:space="preserve">glue    1.6.2   </t>
  </si>
  <si>
    <t xml:space="preserve">gtable  0.3.3   </t>
  </si>
  <si>
    <t xml:space="preserve">highr   0.10    </t>
  </si>
  <si>
    <t xml:space="preserve">htmltools       0.5.5   </t>
  </si>
  <si>
    <t xml:space="preserve">htmlwidgets     1.6.2   </t>
  </si>
  <si>
    <t xml:space="preserve">httpuv  1.6.9   </t>
  </si>
  <si>
    <t xml:space="preserve">httr    1.4.5   </t>
  </si>
  <si>
    <t xml:space="preserve">isoband 0.2.7   </t>
  </si>
  <si>
    <t xml:space="preserve">jquerylib       0.1.4   </t>
  </si>
  <si>
    <t xml:space="preserve">jsonlite        1.8.4   </t>
  </si>
  <si>
    <t xml:space="preserve">knitr   1.42    </t>
  </si>
  <si>
    <t xml:space="preserve">labeling        0.4.2   </t>
  </si>
  <si>
    <t xml:space="preserve">later   1.3.0   </t>
  </si>
  <si>
    <t xml:space="preserve">lazyeval        0.2.2   </t>
  </si>
  <si>
    <t xml:space="preserve">lifecycle       1.0.3   </t>
  </si>
  <si>
    <t xml:space="preserve">magrittr        2.0.3   </t>
  </si>
  <si>
    <t xml:space="preserve">memoise 2.0.1   </t>
  </si>
  <si>
    <t xml:space="preserve">mime    0.12    </t>
  </si>
  <si>
    <t xml:space="preserve">munsell 0.5.0   </t>
  </si>
  <si>
    <t xml:space="preserve">nloptr  2.0.3   </t>
  </si>
  <si>
    <t xml:space="preserve">openssl 2.0.6   </t>
  </si>
  <si>
    <t xml:space="preserve">pillar  1.9.0   </t>
  </si>
  <si>
    <t xml:space="preserve">pkgconfig       2.0.3   </t>
  </si>
  <si>
    <t xml:space="preserve">pkgload 1.3.2   </t>
  </si>
  <si>
    <t xml:space="preserve">plotly  4.10.1  </t>
  </si>
  <si>
    <t xml:space="preserve">praise  1.0.0   </t>
  </si>
  <si>
    <t xml:space="preserve">processx        3.8.0   </t>
  </si>
  <si>
    <t xml:space="preserve">promises        1.2.0.1 </t>
  </si>
  <si>
    <t xml:space="preserve">ps      1.7.3   </t>
  </si>
  <si>
    <t xml:space="preserve">purrr   1.0.1   </t>
  </si>
  <si>
    <t xml:space="preserve">R6      2.5.1   </t>
  </si>
  <si>
    <t xml:space="preserve">rappdirs        0.3.3   </t>
  </si>
  <si>
    <t xml:space="preserve">RColorBrewer    1.1-3   </t>
  </si>
  <si>
    <t xml:space="preserve">Rcpp    1.0.10  </t>
  </si>
  <si>
    <t xml:space="preserve">rematch2        2.1.2   </t>
  </si>
  <si>
    <t xml:space="preserve">rgenoud 5.9-0.3 </t>
  </si>
  <si>
    <t xml:space="preserve">rlang   1.1.0   </t>
  </si>
  <si>
    <t xml:space="preserve">rmarkdown       2.21    </t>
  </si>
  <si>
    <t xml:space="preserve">rprojroot       2.0.3   </t>
  </si>
  <si>
    <t xml:space="preserve">sass    0.4.5   </t>
  </si>
  <si>
    <t xml:space="preserve">scales  1.2.1   </t>
  </si>
  <si>
    <t xml:space="preserve">shiny   1.7.4   </t>
  </si>
  <si>
    <t xml:space="preserve">shinycssloaders 1.0.0   </t>
  </si>
  <si>
    <t xml:space="preserve">shinyFiles      0.9.3   </t>
  </si>
  <si>
    <t xml:space="preserve">shinyjs 2.1.0   </t>
  </si>
  <si>
    <t xml:space="preserve">shinythemes     1.2.0   </t>
  </si>
  <si>
    <t xml:space="preserve">shinyWidgets    0.7.6   </t>
  </si>
  <si>
    <t xml:space="preserve">sourcetools     0.1.7-1 </t>
  </si>
  <si>
    <t xml:space="preserve">stringi 1.7.12  </t>
  </si>
  <si>
    <t xml:space="preserve">stringr 1.5.0   </t>
  </si>
  <si>
    <t xml:space="preserve">sys     3.4.1   </t>
  </si>
  <si>
    <t xml:space="preserve">testthat        3.1.7   </t>
  </si>
  <si>
    <t xml:space="preserve">tibble  3.2.1   </t>
  </si>
  <si>
    <t xml:space="preserve">tidyr   1.3.0   </t>
  </si>
  <si>
    <t xml:space="preserve">tidyselect      1.2.0   </t>
  </si>
  <si>
    <t xml:space="preserve">tinytex 0.45    </t>
  </si>
  <si>
    <t xml:space="preserve">utf8    1.2.3   </t>
  </si>
  <si>
    <t xml:space="preserve">vctrs   0.6.1   </t>
  </si>
  <si>
    <t xml:space="preserve">viridisLite     0.4.1   </t>
  </si>
  <si>
    <t xml:space="preserve">waldo   0.4.0   </t>
  </si>
  <si>
    <t xml:space="preserve">withr   2.5.0   </t>
  </si>
  <si>
    <t xml:space="preserve">xfun    0.39    </t>
  </si>
  <si>
    <t xml:space="preserve">xtable  1.8-4   </t>
  </si>
  <si>
    <t xml:space="preserve">yaml    2.3.7   </t>
  </si>
  <si>
    <t xml:space="preserve">translations    4.2.3   </t>
  </si>
  <si>
    <t>1 order</t>
  </si>
  <si>
    <t>Q=100*(1-exp(-A*t))</t>
  </si>
  <si>
    <t>A</t>
  </si>
  <si>
    <t xml:space="preserve">Date:  Sun Jan 14 23:08:05 2024 </t>
  </si>
  <si>
    <t>Model name: First order</t>
  </si>
  <si>
    <t>Model equation:100*(1-exp(-C[1]*t))</t>
  </si>
  <si>
    <t>Parameters for equation after optimization: 0.400000000020288</t>
  </si>
  <si>
    <t>Algebraic form: 100*(1-exp(-0.400000000020288*t))</t>
  </si>
  <si>
    <t>RMSE: 2.25279520204163e-09</t>
  </si>
  <si>
    <t>2 order</t>
  </si>
  <si>
    <t>Q=100*(1-(A/(1-A*k*t)))</t>
  </si>
  <si>
    <t xml:space="preserve">Date:  Sun Jan 14 23:11:26 2024 </t>
  </si>
  <si>
    <t>Model name: Second order</t>
  </si>
  <si>
    <t>Model equation:100*(1-(C[1]/(1+C[1]*C[2]*t)))</t>
  </si>
  <si>
    <t>Parameters for equation after optimization: 0.49970276989452719.9974397362592</t>
  </si>
  <si>
    <t>Algebraic form: 100*(1-(0.499702769894527/(1+0.499702769894527*19.9974397362592*t)))</t>
  </si>
  <si>
    <t>RMSE: 1.11422272247695e-06</t>
  </si>
  <si>
    <t>3 order</t>
  </si>
  <si>
    <t>Q=100*(1-(1/k*t+1/A^2)^(1/2))</t>
  </si>
  <si>
    <t xml:space="preserve">Date:  Mon Jan 15 00:12:50 2024 </t>
  </si>
  <si>
    <t>Model name: Third order</t>
  </si>
  <si>
    <t>Model equation:100*(1-(1/(C[1]*t+1/(C[2])^2))^0.5)</t>
  </si>
  <si>
    <t>Parameters for equation after optimization: 3.00000008345768-21.9999225689787</t>
  </si>
  <si>
    <t>Algebraic form: 100*(1-(1/(3.00000008345768*t+1/(-21.9999225689787)^2))^0.5)</t>
  </si>
  <si>
    <t>RMSE: 4.73999429652019e-07</t>
  </si>
  <si>
    <t>Michaelis-Menten</t>
  </si>
  <si>
    <t>Model name: Michaelis-Menten</t>
  </si>
  <si>
    <t>Weibull</t>
  </si>
  <si>
    <t>100*(1-exp(-((t^b))/a))</t>
  </si>
  <si>
    <t>b</t>
  </si>
  <si>
    <t>a</t>
  </si>
  <si>
    <t xml:space="preserve">Date:  Mon Jan 15 19:14:31 2024 </t>
  </si>
  <si>
    <t>Model name: Weibull</t>
  </si>
  <si>
    <t>Model equation:100*(1-exp(-((t^C[1]))/C[2]))</t>
  </si>
  <si>
    <t>Parameters for equation after optimization: 0.5000000000340212.00000000013719</t>
  </si>
  <si>
    <t>Algebraic form: 100*(1-exp(-((t^0.500000000034021))/2.00000000013719))</t>
  </si>
  <si>
    <t>RMSE: 3.04634146871476e-09</t>
  </si>
  <si>
    <t>Double Weibull</t>
  </si>
  <si>
    <t>M</t>
  </si>
  <si>
    <t>B</t>
  </si>
  <si>
    <t>N</t>
  </si>
  <si>
    <t>c</t>
  </si>
  <si>
    <t>d</t>
  </si>
  <si>
    <t>Model name: Double Weibull</t>
  </si>
  <si>
    <t>Model equation:100*(C[1]*(1-exp(-((t^C[2]))/C[3]))+C[4]*(1-exp(-((t^C[5]))/C[6])))</t>
  </si>
  <si>
    <t>translations    4.2.3</t>
  </si>
  <si>
    <t>Q=k*t^(1/2)</t>
  </si>
  <si>
    <t>Higuchi</t>
  </si>
  <si>
    <t xml:space="preserve">Date:  Mon Jan 15 19:52:08 2024 </t>
  </si>
  <si>
    <t>Model name: Higuchi</t>
  </si>
  <si>
    <t>Model equation:C[1]*t^0.5</t>
  </si>
  <si>
    <t>Parameters for equation after optimization: 28.996920537048</t>
  </si>
  <si>
    <t>Algebraic form: 28.996920537048*t^0.5</t>
  </si>
  <si>
    <t>RMSE: 1.95483114008052e-09</t>
  </si>
  <si>
    <t>Hixson-Crowley</t>
  </si>
  <si>
    <t>Q=100*(1-(1-k*t)^3)</t>
  </si>
  <si>
    <t>Model name: Hixson-Crowley</t>
  </si>
  <si>
    <t xml:space="preserve">Date:  Mon Jan 15 20:11:55 2024 </t>
  </si>
  <si>
    <t>Model equation:100*(1-(1-C[1]*t)^3)</t>
  </si>
  <si>
    <t>Parameters for equation after optimization: 0.08</t>
  </si>
  <si>
    <t>Algebraic form: 100*(1-(1-0.08*t)^3)</t>
  </si>
  <si>
    <t>RMSE: 9.9938031543663e-14</t>
  </si>
  <si>
    <t>Korsmeyer Peppas</t>
  </si>
  <si>
    <t>Q=a*t^n</t>
  </si>
  <si>
    <t>n</t>
  </si>
  <si>
    <t xml:space="preserve">NelderMead:  FALSE </t>
  </si>
  <si>
    <t>Model name: Korsmeyer-Peppas</t>
  </si>
  <si>
    <t>Model equation:C[1]*t^C[2]</t>
  </si>
  <si>
    <t>Hill</t>
  </si>
  <si>
    <t>Model name: Hill</t>
  </si>
  <si>
    <t>Hopfenberg</t>
  </si>
  <si>
    <t>Model name: Hopfenberg</t>
  </si>
  <si>
    <t>Model equation:100*(1-(1-C[1]*t)^C[2])</t>
  </si>
  <si>
    <t>Peppas-Sahlin</t>
  </si>
  <si>
    <t>Q=a*t^N+b*t^(2*N)</t>
  </si>
  <si>
    <t xml:space="preserve">Date:  Mon Jan 15 20:48:31 2024 </t>
  </si>
  <si>
    <t>Model name: Peppas-Sahlin</t>
  </si>
  <si>
    <t>Model equation:C[1]*t^C[2]+C[3]*t^(2*C[2])</t>
  </si>
  <si>
    <t>Parameters for equation after optimization: 9.000000009299460.700000000541061.99999999100035</t>
  </si>
  <si>
    <t>Algebraic form: 9.00000000929946*t^0.70000000054106+1.99999999100035*t^(2*0.70000000054106)</t>
  </si>
  <si>
    <t>RMSE: 2.11180530417771e-09</t>
  </si>
  <si>
    <t>Quadratic</t>
  </si>
  <si>
    <t>Q=100*(a*t^2+b*t)</t>
  </si>
  <si>
    <t xml:space="preserve">Date:  Mon Jan 15 20:54:02 2024 </t>
  </si>
  <si>
    <t>Model name: Quadratic</t>
  </si>
  <si>
    <t>Model equation:100*(C[1]*t^2+C[2]*t)</t>
  </si>
  <si>
    <t>Parameters for equation after optimization: 0.0060.03</t>
  </si>
  <si>
    <t>Algebraic form: 100*(0.006*t^2+0.03*t)</t>
  </si>
  <si>
    <t>RMSE: 1.51980902092614e-12</t>
  </si>
  <si>
    <t>Logistic</t>
  </si>
  <si>
    <t>Q=A/1+exp(-k*(t-m))</t>
  </si>
  <si>
    <t>m</t>
  </si>
  <si>
    <t>Model name: Logistic</t>
  </si>
  <si>
    <t>Model equation:C[1]/1+exp(-C[2]*(t-C[3]))</t>
  </si>
  <si>
    <t>Gompertz</t>
  </si>
  <si>
    <t>Q=100*(exp(-a*(exp(-b*log10(t)))))</t>
  </si>
  <si>
    <t>Model name: Gompertz</t>
  </si>
  <si>
    <t>Model equation:100*(exp(-C[1]*(exp(-C[2]*log10(t)))))</t>
  </si>
  <si>
    <t>Probit</t>
  </si>
  <si>
    <t>Q=100*m*(a+b*log10(t))</t>
  </si>
  <si>
    <t>Makoid-Banakar</t>
  </si>
  <si>
    <t>Q=k*t^a*exp(-m*t)</t>
  </si>
  <si>
    <t xml:space="preserve">Date:  Mon Jan 15 21:32:24 2024 </t>
  </si>
  <si>
    <t>Model name: Makoid-Banakar</t>
  </si>
  <si>
    <t>Model equation:C[1]*t^C[2]*exp(-C[3]*t)</t>
  </si>
  <si>
    <t>Parameters for equation after optimization: 13.00000000080330.8999999999459260.00999999999303826</t>
  </si>
  <si>
    <t>Algebraic form: 13.0000000008033*t^0.899999999945926*exp(-0.00999999999303826*t)</t>
  </si>
  <si>
    <t>RMSE: 3.02459229074354e-09</t>
  </si>
  <si>
    <t>Baker-Lonsdale</t>
  </si>
  <si>
    <t>Model name: Baker-Lonsdale</t>
  </si>
  <si>
    <t>Q=(100*t)/(k+t)</t>
  </si>
  <si>
    <t xml:space="preserve">Date:  Sun Jan 21 14:26:51 2024 </t>
  </si>
  <si>
    <t>Model equation:100*t/(C[1]+t)</t>
  </si>
  <si>
    <t>Parameters for equation after optimization: 1.99999999997529</t>
  </si>
  <si>
    <t>Algebraic form: 100*t/(1.99999999997529+t)</t>
  </si>
  <si>
    <t>RMSE: 2.07421129450544e-09</t>
  </si>
  <si>
    <t xml:space="preserve">Windows 10 x64  build 19045     DESKTOP-0UVV1HO x86-64  Sylwia  Sylwia  Sylwia </t>
  </si>
  <si>
    <t xml:space="preserve">hms     1.1.3   </t>
  </si>
  <si>
    <t xml:space="preserve">prettyunits     1.1.1   </t>
  </si>
  <si>
    <t xml:space="preserve">progress        1.2.2   </t>
  </si>
  <si>
    <t xml:space="preserve">ps      1.7.2   </t>
  </si>
  <si>
    <t xml:space="preserve">shinydashboard  0.7.2   </t>
  </si>
  <si>
    <t xml:space="preserve">testthat        3.1.6   </t>
  </si>
  <si>
    <t xml:space="preserve">tibble  3.2.0   </t>
  </si>
  <si>
    <t xml:space="preserve">vctrs   0.6.2   </t>
  </si>
  <si>
    <t xml:space="preserve">waiter  0.2.5   </t>
  </si>
  <si>
    <t xml:space="preserve">webshot 0.5.4   </t>
  </si>
  <si>
    <t>translations    4.2.2</t>
  </si>
  <si>
    <t xml:space="preserve">Date:  Sun Jan 21 14:30:38 2024 </t>
  </si>
  <si>
    <t>Parameters for equation after optimization: 24.99931471228740.50000859885711</t>
  </si>
  <si>
    <t>Algebraic form: 24.9993147122874*t^0.50000859885711</t>
  </si>
  <si>
    <t>RMSE: 0.000207161064110396</t>
  </si>
  <si>
    <t xml:space="preserve">translations    4.2.2   </t>
  </si>
  <si>
    <t>Q=100*t^n/k^n+t^n</t>
  </si>
  <si>
    <t xml:space="preserve">Date:  Sun Jan 21 14:40:43 2024 </t>
  </si>
  <si>
    <t>Model equation:100*t^C[1]/C[2]^C[1]+t^C[1]</t>
  </si>
  <si>
    <t>Parameters for equation after optimization: 0.49999999999068411.0000000005574</t>
  </si>
  <si>
    <t>Algebraic form: 100*t^0.499999999990684/11.0000000005574^0.499999999990684+t^0.499999999990684</t>
  </si>
  <si>
    <t>RMSE: 3.12429464306885e-09</t>
  </si>
  <si>
    <t xml:space="preserve">Date:  Sun Jan 21 16:12:59 2024 </t>
  </si>
  <si>
    <t>Parameters for equation after optimization: 24.9996447492188-0.5999837009535592.99980490111691</t>
  </si>
  <si>
    <t>Algebraic form: 24.9996447492188/1+exp(--0.599983700953559*(t-2.99980490111691))</t>
  </si>
  <si>
    <t>RMSE: 0.00024188838008882</t>
  </si>
  <si>
    <t xml:space="preserve">Date:  Sun Jan 21 16:14:45 2024 </t>
  </si>
  <si>
    <t>Parameters for equation after optimization: 5.000000000287184.00000000000895</t>
  </si>
  <si>
    <t>Algebraic form: 100*(exp(-5.00000000028718*(exp(-4.00000000000895*log10(t)))))</t>
  </si>
  <si>
    <t>RMSE: 2.81173349161037e-09</t>
  </si>
  <si>
    <t>Windows 10 x64  build 19045</t>
  </si>
  <si>
    <t xml:space="preserve">Windows 10 x64  build 19045 </t>
  </si>
  <si>
    <t>Q=100*(A*(1-exp(-((t^(M)))/c))+B*(1-exp(-((t^(N)))/d)))</t>
  </si>
  <si>
    <t xml:space="preserve">Date:  Sun Jan 21 17:04:15 2024 </t>
  </si>
  <si>
    <t>Parameters for equation after optimization: 3.94657686414180.22051974824588914.75001549635560.9067357545261720.614098798071075.12899370231813</t>
  </si>
  <si>
    <t>Algebraic form: 100*(3.9465768641418*(1-exp(-((t^0.220519748245889))/14.7500154963556))+0.906735754526172*(1-exp(-((t^0.61409879807107))/5.12899370231813)))</t>
  </si>
  <si>
    <t>RMSE: 0.243403758958303</t>
  </si>
  <si>
    <t>Q=100*(1-(1-(k*t))^(n))</t>
  </si>
  <si>
    <t xml:space="preserve">Date:  Sun Jan 21 17:26:55 2024 </t>
  </si>
  <si>
    <t>Parameters for equation after optimization: -0.048266809466208-5.07847846070458</t>
  </si>
  <si>
    <t>Algebraic form: 100*(1-(1--0.048266809466208*t)^-5.07847846070458)</t>
  </si>
  <si>
    <t>RMSE: 0.314134216215923</t>
  </si>
  <si>
    <t>Model name: Probit</t>
  </si>
  <si>
    <t>Model equation:100*C[1]*(C[2]+C[3]*log10(t))</t>
  </si>
  <si>
    <t xml:space="preserve">Date:  Sun Jan 21 19:46:36 2024 </t>
  </si>
  <si>
    <t>Parameters for equation after optimization: -0.195967801402706-0.918518273421146-3.21481376565891</t>
  </si>
  <si>
    <t>Algebraic form: 100*-0.195967801402706*(-0.918518273421146+-3.21481376565891*log10(t))</t>
  </si>
  <si>
    <t>RMSE: 2.30130566814825e-09</t>
  </si>
  <si>
    <t>Q=100*(3/2*(1-(1-a)^2/3)-k*t)</t>
  </si>
  <si>
    <t xml:space="preserve">Date:  Sun Jan 21 20:35:50 2024 </t>
  </si>
  <si>
    <t>Model equation:100*(3/2*(1-(1-C[1])^(2/3))-C[2]*t)</t>
  </si>
  <si>
    <t>Parameters for equation after optimization: 0.0999999999799531-0.08</t>
  </si>
  <si>
    <t>Algebraic form: 100*(3/2*(1-(1-0.0999999999799531)^(2/3))--0.08*t)</t>
  </si>
  <si>
    <t>RMSE: 1.44311911836254e-14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</si>
</sst>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Liberation Sans"/>
      <charset val="238"/>
    </font>
    <font>
      <sz val="10"/>
      <color rgb="FF000000"/>
      <name val="Liberation Sans"/>
      <charset val="238"/>
    </font>
    <font>
      <b/>
      <sz val="10"/>
      <color rgb="FF000000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b/>
      <sz val="18"/>
      <color rgb="FF000000"/>
      <name val="Liberation Sans"/>
      <charset val="238"/>
    </font>
    <font>
      <b/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rgb="FF000000"/>
      <name val="Liberation Sans"/>
      <charset val="238"/>
    </font>
    <font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">
    <xf numFmtId="0" fontId="0" fillId="0" borderId="0" xfId="0"/>
    <xf numFmtId="0" fontId="2" fillId="0" borderId="0" xfId="0" applyFont="1"/>
    <xf numFmtId="2" fontId="0" fillId="0" borderId="0" xfId="0" applyNumberFormat="1"/>
    <xf numFmtId="4" fontId="0" fillId="0" borderId="0" xfId="0" applyNumberFormat="1"/>
    <xf numFmtId="0" fontId="14" fillId="0" borderId="0" xfId="0" applyFont="1"/>
    <xf numFmtId="11" fontId="0" fillId="0" borderId="0" xfId="0" applyNumberForma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'0_order'!$G$4:$G$4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'0_order'!$F$5:$F$14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'0_order'!$G$5:$G$14</c:f>
              <c:numCache>
                <c:formatCode>General</c:formatCode>
                <c:ptCount val="10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B-47AB-BB59-102111EDC3BE}"/>
            </c:ext>
          </c:extLst>
        </c:ser>
        <c:ser>
          <c:idx val="1"/>
          <c:order val="1"/>
          <c:tx>
            <c:strRef>
              <c:f>'0_order'!$H$4:$H$4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'0_order'!$F$5:$F$14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'0_order'!$H$5:$H$14</c:f>
              <c:numCache>
                <c:formatCode>General</c:formatCode>
                <c:ptCount val="10"/>
                <c:pt idx="0">
                  <c:v>9.0000064844123404</c:v>
                </c:pt>
                <c:pt idx="1">
                  <c:v>18.000012968824681</c:v>
                </c:pt>
                <c:pt idx="2">
                  <c:v>27.000019453237023</c:v>
                </c:pt>
                <c:pt idx="3">
                  <c:v>36.000025937649362</c:v>
                </c:pt>
                <c:pt idx="4">
                  <c:v>45.0000324220617</c:v>
                </c:pt>
                <c:pt idx="5">
                  <c:v>54.000038906474046</c:v>
                </c:pt>
                <c:pt idx="6">
                  <c:v>63.000045390886385</c:v>
                </c:pt>
                <c:pt idx="7">
                  <c:v>72.000051875298723</c:v>
                </c:pt>
                <c:pt idx="8">
                  <c:v>81.000058359711062</c:v>
                </c:pt>
                <c:pt idx="9">
                  <c:v>90.000064844123401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9B-47AB-BB59-102111EDC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618895"/>
        <c:axId val="2024623359"/>
      </c:scatterChart>
      <c:valAx>
        <c:axId val="202462335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pl-PL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24618895"/>
        <c:crossesAt val="0"/>
        <c:crossBetween val="midCat"/>
      </c:valAx>
      <c:valAx>
        <c:axId val="202461889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pl-PL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24623359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'1_order'!$G$4:$G$4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'1_order'!$F$5:$F$14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'1_order'!$G$5:$G$14</c:f>
              <c:numCache>
                <c:formatCode>General</c:formatCode>
                <c:ptCount val="10"/>
                <c:pt idx="0">
                  <c:v>32.967995396436066</c:v>
                </c:pt>
                <c:pt idx="1">
                  <c:v>55.067103588277845</c:v>
                </c:pt>
                <c:pt idx="2">
                  <c:v>69.880578808779802</c:v>
                </c:pt>
                <c:pt idx="3">
                  <c:v>79.810348200534463</c:v>
                </c:pt>
                <c:pt idx="4">
                  <c:v>86.466471676338728</c:v>
                </c:pt>
                <c:pt idx="5">
                  <c:v>90.928204671058751</c:v>
                </c:pt>
                <c:pt idx="6">
                  <c:v>93.918993737478203</c:v>
                </c:pt>
                <c:pt idx="7">
                  <c:v>95.923779602163378</c:v>
                </c:pt>
                <c:pt idx="8">
                  <c:v>97.267627755270752</c:v>
                </c:pt>
                <c:pt idx="9">
                  <c:v>98.168436111126582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9-4F67-A4B7-385D04499BA0}"/>
            </c:ext>
          </c:extLst>
        </c:ser>
        <c:ser>
          <c:idx val="1"/>
          <c:order val="1"/>
          <c:tx>
            <c:strRef>
              <c:f>'1_order'!$H$4:$H$4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'1_order'!$F$5:$F$14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'1_order'!$H$5:$H$14</c:f>
              <c:numCache>
                <c:formatCode>General</c:formatCode>
                <c:ptCount val="10"/>
                <c:pt idx="0">
                  <c:v>32.96799539779601</c:v>
                </c:pt>
                <c:pt idx="1">
                  <c:v>55.067103590101041</c:v>
                </c:pt>
                <c:pt idx="2">
                  <c:v>69.880578810612974</c:v>
                </c:pt>
                <c:pt idx="3">
                  <c:v>79.810348202172889</c:v>
                </c:pt>
                <c:pt idx="4">
                  <c:v>86.466471677711581</c:v>
                </c:pt>
                <c:pt idx="5">
                  <c:v>90.928204672163034</c:v>
                </c:pt>
                <c:pt idx="6">
                  <c:v>93.918993738341811</c:v>
                </c:pt>
                <c:pt idx="7">
                  <c:v>95.923779602824965</c:v>
                </c:pt>
                <c:pt idx="8">
                  <c:v>97.267627755769652</c:v>
                </c:pt>
                <c:pt idx="9">
                  <c:v>98.168436111498167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69-4F67-A4B7-385D04499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622863"/>
        <c:axId val="2024619391"/>
      </c:scatterChart>
      <c:valAx>
        <c:axId val="2024619391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pl-PL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24622863"/>
        <c:crossesAt val="0"/>
        <c:crossBetween val="midCat"/>
      </c:valAx>
      <c:valAx>
        <c:axId val="202462286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pl-PL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24619391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'2_order'!$G$4:$G$4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'2_order'!$F$5:$F$14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'2_order'!$G$5:$G$14</c:f>
              <c:numCache>
                <c:formatCode>General</c:formatCode>
                <c:ptCount val="10"/>
                <c:pt idx="0">
                  <c:v>95.454545454545453</c:v>
                </c:pt>
                <c:pt idx="1">
                  <c:v>97.61904761904762</c:v>
                </c:pt>
                <c:pt idx="2">
                  <c:v>98.387096774193552</c:v>
                </c:pt>
                <c:pt idx="3">
                  <c:v>98.780487804878049</c:v>
                </c:pt>
                <c:pt idx="4">
                  <c:v>99.019607843137265</c:v>
                </c:pt>
                <c:pt idx="5">
                  <c:v>99.180327868852459</c:v>
                </c:pt>
                <c:pt idx="6">
                  <c:v>99.295774647887328</c:v>
                </c:pt>
                <c:pt idx="7">
                  <c:v>99.382716049382708</c:v>
                </c:pt>
                <c:pt idx="8">
                  <c:v>99.45054945054946</c:v>
                </c:pt>
                <c:pt idx="9">
                  <c:v>99.504950495049499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0-4F0C-BA68-18E6704D8329}"/>
            </c:ext>
          </c:extLst>
        </c:ser>
        <c:ser>
          <c:idx val="1"/>
          <c:order val="1"/>
          <c:tx>
            <c:strRef>
              <c:f>'2_order'!$H$4:$H$4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'2_order'!$F$5:$F$14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'2_order'!$H$5:$H$14</c:f>
              <c:numCache>
                <c:formatCode>General</c:formatCode>
                <c:ptCount val="10"/>
                <c:pt idx="0">
                  <c:v>95.454262247617592</c:v>
                </c:pt>
                <c:pt idx="1">
                  <c:v>97.618824758060541</c:v>
                </c:pt>
                <c:pt idx="2">
                  <c:v>98.386927891693929</c:v>
                </c:pt>
                <c:pt idx="3">
                  <c:v>98.780353176285075</c:v>
                </c:pt>
                <c:pt idx="4">
                  <c:v>99.019496222480569</c:v>
                </c:pt>
                <c:pt idx="5">
                  <c:v>99.180232641754287</c:v>
                </c:pt>
                <c:pt idx="6">
                  <c:v>99.295691657456814</c:v>
                </c:pt>
                <c:pt idx="7">
                  <c:v>99.382642528653705</c:v>
                </c:pt>
                <c:pt idx="8">
                  <c:v>99.450483470081409</c:v>
                </c:pt>
                <c:pt idx="9">
                  <c:v>99.504890657875151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A0-4F0C-BA68-18E6704D8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620879"/>
        <c:axId val="2024622367"/>
      </c:scatterChart>
      <c:valAx>
        <c:axId val="2024622367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24620879"/>
        <c:crossesAt val="0"/>
        <c:crossBetween val="midCat"/>
      </c:valAx>
      <c:valAx>
        <c:axId val="2024620879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24622367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'3_order'!$G$4:$G$4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'3_order'!$F$5:$F$14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'3_order'!$G$5:$G$14</c:f>
              <c:numCache>
                <c:formatCode>General</c:formatCode>
                <c:ptCount val="10"/>
                <c:pt idx="0">
                  <c:v>42.284844025325505</c:v>
                </c:pt>
                <c:pt idx="1">
                  <c:v>59.182198207137894</c:v>
                </c:pt>
                <c:pt idx="2">
                  <c:v>66.67049214821175</c:v>
                </c:pt>
                <c:pt idx="3">
                  <c:v>71.134971370603751</c:v>
                </c:pt>
                <c:pt idx="4">
                  <c:v>74.181889070871833</c:v>
                </c:pt>
                <c:pt idx="5">
                  <c:v>76.431126588841224</c:v>
                </c:pt>
                <c:pt idx="6">
                  <c:v>78.179284381503535</c:v>
                </c:pt>
                <c:pt idx="7">
                  <c:v>79.588464053626211</c:v>
                </c:pt>
                <c:pt idx="8">
                  <c:v>80.755727325777855</c:v>
                </c:pt>
                <c:pt idx="9">
                  <c:v>81.743210083009245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3-4A46-B11C-8B0C2F2DA84D}"/>
            </c:ext>
          </c:extLst>
        </c:ser>
        <c:ser>
          <c:idx val="1"/>
          <c:order val="1"/>
          <c:tx>
            <c:strRef>
              <c:f>'3_order'!$H$4:$H$4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'3_order'!$F$5:$F$14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'3_order'!$H$5:$H$14</c:f>
              <c:numCache>
                <c:formatCode>General</c:formatCode>
                <c:ptCount val="10"/>
                <c:pt idx="0">
                  <c:v>42.284844967372237</c:v>
                </c:pt>
                <c:pt idx="1">
                  <c:v>59.182198824155897</c:v>
                </c:pt>
                <c:pt idx="2">
                  <c:v>66.670492638629668</c:v>
                </c:pt>
                <c:pt idx="3">
                  <c:v>71.134971789525025</c:v>
                </c:pt>
                <c:pt idx="4">
                  <c:v>74.181889442457077</c:v>
                </c:pt>
                <c:pt idx="5">
                  <c:v>76.431126926158143</c:v>
                </c:pt>
                <c:pt idx="6">
                  <c:v>78.179284692546759</c:v>
                </c:pt>
                <c:pt idx="7">
                  <c:v>79.588464343702441</c:v>
                </c:pt>
                <c:pt idx="8">
                  <c:v>80.755727598620425</c:v>
                </c:pt>
                <c:pt idx="9">
                  <c:v>81.743210341361731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63-4A46-B11C-8B0C2F2DA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619887"/>
        <c:axId val="2024618399"/>
      </c:scatterChart>
      <c:valAx>
        <c:axId val="202461839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24619887"/>
        <c:crossesAt val="0"/>
        <c:crossBetween val="midCat"/>
      </c:valAx>
      <c:valAx>
        <c:axId val="2024619887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24618399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Michaelis_Menten!$G$4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Michaelis_Menten!$F$5:$F$14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Michaelis_Menten!$G$5:$G$14</c:f>
              <c:numCache>
                <c:formatCode>General</c:formatCode>
                <c:ptCount val="10"/>
                <c:pt idx="0">
                  <c:v>33.333333333333336</c:v>
                </c:pt>
                <c:pt idx="1">
                  <c:v>50</c:v>
                </c:pt>
                <c:pt idx="2">
                  <c:v>60</c:v>
                </c:pt>
                <c:pt idx="3">
                  <c:v>66.666666666666671</c:v>
                </c:pt>
                <c:pt idx="4">
                  <c:v>71.428571428571431</c:v>
                </c:pt>
                <c:pt idx="5">
                  <c:v>75</c:v>
                </c:pt>
                <c:pt idx="6">
                  <c:v>77.777777777777771</c:v>
                </c:pt>
                <c:pt idx="7">
                  <c:v>80</c:v>
                </c:pt>
                <c:pt idx="8">
                  <c:v>81.818181818181813</c:v>
                </c:pt>
                <c:pt idx="9">
                  <c:v>83.333333333333329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1-4384-AD5B-16AEED9E9FE0}"/>
            </c:ext>
          </c:extLst>
        </c:ser>
        <c:ser>
          <c:idx val="1"/>
          <c:order val="1"/>
          <c:tx>
            <c:strRef>
              <c:f>Michaelis_Menten!$H$4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Michaelis_Menten!$F$5:$F$14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Michaelis_Menten!$H$5:$H$14</c:f>
              <c:numCache>
                <c:formatCode>General</c:formatCode>
                <c:ptCount val="10"/>
                <c:pt idx="0">
                  <c:v>33.333333333607889</c:v>
                </c:pt>
                <c:pt idx="1">
                  <c:v>50.000000000308873</c:v>
                </c:pt>
                <c:pt idx="2">
                  <c:v>60.000000000296524</c:v>
                </c:pt>
                <c:pt idx="3">
                  <c:v>66.666666666941225</c:v>
                </c:pt>
                <c:pt idx="4">
                  <c:v>71.428571428823574</c:v>
                </c:pt>
                <c:pt idx="5">
                  <c:v>75.000000000231651</c:v>
                </c:pt>
                <c:pt idx="6">
                  <c:v>77.777777777991318</c:v>
                </c:pt>
                <c:pt idx="7">
                  <c:v>80.000000000197673</c:v>
                </c:pt>
                <c:pt idx="8">
                  <c:v>81.818181818365602</c:v>
                </c:pt>
                <c:pt idx="9">
                  <c:v>83.333333333504925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E1-4384-AD5B-16AEED9E9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0719"/>
        <c:axId val="2084861711"/>
      </c:scatterChart>
      <c:valAx>
        <c:axId val="2084861711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0719"/>
        <c:crossesAt val="0"/>
        <c:crossBetween val="midCat"/>
      </c:valAx>
      <c:valAx>
        <c:axId val="2084860719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1711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Weibull!$G$4:$G$4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Weibull!$F$5:$F$14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Weibull!$G$5:$G$14</c:f>
              <c:numCache>
                <c:formatCode>General</c:formatCode>
                <c:ptCount val="10"/>
                <c:pt idx="0">
                  <c:v>39.346934028736655</c:v>
                </c:pt>
                <c:pt idx="1">
                  <c:v>50.693130860476018</c:v>
                </c:pt>
                <c:pt idx="2">
                  <c:v>57.937997394588514</c:v>
                </c:pt>
                <c:pt idx="3">
                  <c:v>63.212055882855765</c:v>
                </c:pt>
                <c:pt idx="4">
                  <c:v>67.307810464824215</c:v>
                </c:pt>
                <c:pt idx="5">
                  <c:v>70.616734412192699</c:v>
                </c:pt>
                <c:pt idx="6">
                  <c:v>73.363178367747111</c:v>
                </c:pt>
                <c:pt idx="7">
                  <c:v>75.688326556578573</c:v>
                </c:pt>
                <c:pt idx="8">
                  <c:v>77.686983985157028</c:v>
                </c:pt>
                <c:pt idx="9">
                  <c:v>79.425933891618556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B-4410-9025-8A6D55E01540}"/>
            </c:ext>
          </c:extLst>
        </c:ser>
        <c:ser>
          <c:idx val="1"/>
          <c:order val="1"/>
          <c:tx>
            <c:strRef>
              <c:f>Weibull!$H$4:$H$4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Weibull!$F$5:$F$14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Weibull!$H$5:$H$14</c:f>
              <c:numCache>
                <c:formatCode>General</c:formatCode>
                <c:ptCount val="10"/>
                <c:pt idx="0">
                  <c:v>39.346934026656413</c:v>
                </c:pt>
                <c:pt idx="1">
                  <c:v>50.693130858906621</c:v>
                </c:pt>
                <c:pt idx="2">
                  <c:v>57.937997393451312</c:v>
                </c:pt>
                <c:pt idx="3">
                  <c:v>63.212055882067332</c:v>
                </c:pt>
                <c:pt idx="4">
                  <c:v>67.307810464318322</c:v>
                </c:pt>
                <c:pt idx="5">
                  <c:v>70.616734411917847</c:v>
                </c:pt>
                <c:pt idx="6">
                  <c:v>73.363178367662769</c:v>
                </c:pt>
                <c:pt idx="7">
                  <c:v>75.688326556652484</c:v>
                </c:pt>
                <c:pt idx="8">
                  <c:v>77.686983985363085</c:v>
                </c:pt>
                <c:pt idx="9">
                  <c:v>79.425933891935443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6B-4410-9025-8A6D55E01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687"/>
        <c:axId val="2084860223"/>
      </c:scatterChart>
      <c:valAx>
        <c:axId val="2084860223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687"/>
        <c:crossesAt val="0"/>
        <c:crossBetween val="midCat"/>
      </c:valAx>
      <c:valAx>
        <c:axId val="2084864687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0223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Double_Weibull!$G$4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Double_Weibull!$F$5:$F$14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Double_Weibull!$G$5:$G$14</c:f>
              <c:numCache>
                <c:formatCode>General</c:formatCode>
                <c:ptCount val="10"/>
                <c:pt idx="0">
                  <c:v>42.11360030340483</c:v>
                </c:pt>
                <c:pt idx="1">
                  <c:v>53.888545260426149</c:v>
                </c:pt>
                <c:pt idx="2">
                  <c:v>62.099335283837554</c:v>
                </c:pt>
                <c:pt idx="3">
                  <c:v>68.565443183056871</c:v>
                </c:pt>
                <c:pt idx="4">
                  <c:v>73.958836159487277</c:v>
                </c:pt>
                <c:pt idx="5">
                  <c:v>78.613209205984148</c:v>
                </c:pt>
                <c:pt idx="6">
                  <c:v>82.721882823489508</c:v>
                </c:pt>
                <c:pt idx="7">
                  <c:v>86.408217732677755</c:v>
                </c:pt>
                <c:pt idx="8">
                  <c:v>89.756370456433771</c:v>
                </c:pt>
                <c:pt idx="9">
                  <c:v>92.82664273048529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F-4BD7-BCCC-B59A1BE8C1F6}"/>
            </c:ext>
          </c:extLst>
        </c:ser>
        <c:ser>
          <c:idx val="1"/>
          <c:order val="1"/>
          <c:tx>
            <c:strRef>
              <c:f>Double_Weibull!$H$4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Double_Weibull!$F$5:$F$14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Double_Weibull!$H$5:$H$14</c:f>
              <c:numCache>
                <c:formatCode>General</c:formatCode>
                <c:ptCount val="10"/>
                <c:pt idx="0">
                  <c:v>41.931554346397867</c:v>
                </c:pt>
                <c:pt idx="1">
                  <c:v>53.370614700565042</c:v>
                </c:pt>
                <c:pt idx="2">
                  <c:v>61.498843033090303</c:v>
                </c:pt>
                <c:pt idx="3">
                  <c:v>67.949855656511929</c:v>
                </c:pt>
                <c:pt idx="4">
                  <c:v>73.342946421130407</c:v>
                </c:pt>
                <c:pt idx="5">
                  <c:v>77.992618315556513</c:v>
                </c:pt>
                <c:pt idx="6">
                  <c:v>82.084655082468743</c:v>
                </c:pt>
                <c:pt idx="7">
                  <c:v>85.739653171685063</c:v>
                </c:pt>
                <c:pt idx="8">
                  <c:v>89.041138427034497</c:v>
                </c:pt>
                <c:pt idx="9">
                  <c:v>92.04977275006145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F-4BD7-BCCC-B59A1BE8C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2703"/>
        <c:axId val="2084859727"/>
      </c:scatterChart>
      <c:valAx>
        <c:axId val="2084859727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2703"/>
        <c:crossesAt val="0"/>
        <c:crossBetween val="midCat"/>
      </c:valAx>
      <c:valAx>
        <c:axId val="208486270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59727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Higuchi!$G$4:$G$4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Higuchi!$F$5:$F$14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Higuchi!$G$5:$G$14</c:f>
              <c:numCache>
                <c:formatCode>General</c:formatCode>
                <c:ptCount val="10"/>
                <c:pt idx="0">
                  <c:v>29</c:v>
                </c:pt>
                <c:pt idx="1">
                  <c:v>41.012193308819761</c:v>
                </c:pt>
                <c:pt idx="2">
                  <c:v>50.229473419497438</c:v>
                </c:pt>
                <c:pt idx="3">
                  <c:v>58</c:v>
                </c:pt>
                <c:pt idx="4">
                  <c:v>64.845971347493901</c:v>
                </c:pt>
                <c:pt idx="5">
                  <c:v>71.035202540712163</c:v>
                </c:pt>
                <c:pt idx="6">
                  <c:v>76.72678802087313</c:v>
                </c:pt>
                <c:pt idx="7">
                  <c:v>82.024386617639522</c:v>
                </c:pt>
                <c:pt idx="8">
                  <c:v>87</c:v>
                </c:pt>
                <c:pt idx="9">
                  <c:v>91.706052144883003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7-4741-9078-F6009CF88B27}"/>
            </c:ext>
          </c:extLst>
        </c:ser>
        <c:ser>
          <c:idx val="1"/>
          <c:order val="1"/>
          <c:tx>
            <c:strRef>
              <c:f>Higuchi!$H$4:$H$4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Higuchi!$F$5:$F$14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Higuchi!$H$5:$H$14</c:f>
              <c:numCache>
                <c:formatCode>General</c:formatCode>
                <c:ptCount val="10"/>
                <c:pt idx="0">
                  <c:v>28.996920537047998</c:v>
                </c:pt>
                <c:pt idx="1">
                  <c:v>41.007838290548214</c:v>
                </c:pt>
                <c:pt idx="2">
                  <c:v>50.224139633204544</c:v>
                </c:pt>
                <c:pt idx="3">
                  <c:v>57.993841074095997</c:v>
                </c:pt>
                <c:pt idx="4">
                  <c:v>64.839085458999037</c:v>
                </c:pt>
                <c:pt idx="5">
                  <c:v>71.027659427797943</c:v>
                </c:pt>
                <c:pt idx="6">
                  <c:v>76.7186405277305</c:v>
                </c:pt>
                <c:pt idx="7">
                  <c:v>82.015676581096429</c:v>
                </c:pt>
                <c:pt idx="8">
                  <c:v>86.990761611143995</c:v>
                </c:pt>
                <c:pt idx="9">
                  <c:v>91.69631402798457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17-4741-9078-F6009CF88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Hixson_Crowley!$G$4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Hixson_Crowley!$F$5:$F$14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Hixson_Crowley!$G$5:$G$14</c:f>
              <c:numCache>
                <c:formatCode>General</c:formatCode>
                <c:ptCount val="10"/>
                <c:pt idx="0">
                  <c:v>22.131199999999996</c:v>
                </c:pt>
                <c:pt idx="1">
                  <c:v>40.729600000000012</c:v>
                </c:pt>
                <c:pt idx="2">
                  <c:v>56.102399999999996</c:v>
                </c:pt>
                <c:pt idx="3">
                  <c:v>68.55680000000001</c:v>
                </c:pt>
                <c:pt idx="4">
                  <c:v>78.400000000000006</c:v>
                </c:pt>
                <c:pt idx="5">
                  <c:v>85.9392</c:v>
                </c:pt>
                <c:pt idx="6">
                  <c:v>91.481600000000014</c:v>
                </c:pt>
                <c:pt idx="7">
                  <c:v>95.334400000000002</c:v>
                </c:pt>
                <c:pt idx="8">
                  <c:v>97.8048</c:v>
                </c:pt>
                <c:pt idx="9">
                  <c:v>99.2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A-4601-9345-C80F1845BC8C}"/>
            </c:ext>
          </c:extLst>
        </c:ser>
        <c:ser>
          <c:idx val="1"/>
          <c:order val="1"/>
          <c:tx>
            <c:strRef>
              <c:f>Hixson_Crowley!$H$4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Hixson_Crowley!$F$5:$F$14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Hixson_Crowley!$H$5:$H$14</c:f>
              <c:numCache>
                <c:formatCode>General</c:formatCode>
                <c:ptCount val="10"/>
                <c:pt idx="0">
                  <c:v>22.131199999999996</c:v>
                </c:pt>
                <c:pt idx="1">
                  <c:v>40.729600000000012</c:v>
                </c:pt>
                <c:pt idx="2">
                  <c:v>56.102399999999996</c:v>
                </c:pt>
                <c:pt idx="3">
                  <c:v>68.55680000000001</c:v>
                </c:pt>
                <c:pt idx="4">
                  <c:v>78.400000000000006</c:v>
                </c:pt>
                <c:pt idx="5">
                  <c:v>85.9392</c:v>
                </c:pt>
                <c:pt idx="6">
                  <c:v>91.481600000000014</c:v>
                </c:pt>
                <c:pt idx="7">
                  <c:v>95.334400000000002</c:v>
                </c:pt>
                <c:pt idx="8">
                  <c:v>97.8048</c:v>
                </c:pt>
                <c:pt idx="9">
                  <c:v>99.2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A-4601-9345-C80F1845B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Korsmeyer_Peppas!$G$4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Korsmeyer_Peppas!$F$5:$F$14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Korsmeyer_Peppas!$G$5:$G$14</c:f>
              <c:numCache>
                <c:formatCode>General</c:formatCode>
                <c:ptCount val="10"/>
                <c:pt idx="0">
                  <c:v>25</c:v>
                </c:pt>
                <c:pt idx="1">
                  <c:v>35.355339059327378</c:v>
                </c:pt>
                <c:pt idx="2">
                  <c:v>43.301270189221931</c:v>
                </c:pt>
                <c:pt idx="3">
                  <c:v>50</c:v>
                </c:pt>
                <c:pt idx="4">
                  <c:v>55.901699437494742</c:v>
                </c:pt>
                <c:pt idx="5">
                  <c:v>61.237243569579448</c:v>
                </c:pt>
                <c:pt idx="6">
                  <c:v>66.143782776614771</c:v>
                </c:pt>
                <c:pt idx="7">
                  <c:v>70.710678118654755</c:v>
                </c:pt>
                <c:pt idx="8">
                  <c:v>75</c:v>
                </c:pt>
                <c:pt idx="9">
                  <c:v>79.05694150420949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7-4BC4-BB2C-FC945931A8F7}"/>
            </c:ext>
          </c:extLst>
        </c:ser>
        <c:ser>
          <c:idx val="1"/>
          <c:order val="1"/>
          <c:tx>
            <c:strRef>
              <c:f>Korsmeyer_Peppas!$H$4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Korsmeyer_Peppas!$F$5:$F$14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Korsmeyer_Peppas!$H$5:$H$14</c:f>
              <c:numCache>
                <c:formatCode>General</c:formatCode>
                <c:ptCount val="10"/>
                <c:pt idx="0">
                  <c:v>24.999314712287401</c:v>
                </c:pt>
                <c:pt idx="1">
                  <c:v>35.354580638494376</c:v>
                </c:pt>
                <c:pt idx="2">
                  <c:v>43.300492285681209</c:v>
                </c:pt>
                <c:pt idx="3">
                  <c:v>49.999225439145377</c:v>
                </c:pt>
                <c:pt idx="4">
                  <c:v>55.900940713609799</c:v>
                </c:pt>
                <c:pt idx="5">
                  <c:v>61.236508433096468</c:v>
                </c:pt>
                <c:pt idx="6">
                  <c:v>66.143076412351391</c:v>
                </c:pt>
                <c:pt idx="7">
                  <c:v>70.710004173901723</c:v>
                </c:pt>
                <c:pt idx="8">
                  <c:v>74.999361132918992</c:v>
                </c:pt>
                <c:pt idx="9">
                  <c:v>79.056339702608497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F7-4BC4-BB2C-FC945931A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Hill!$G$4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Hill!$F$5:$F$14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Hill!$G$5:$G$14</c:f>
              <c:numCache>
                <c:formatCode>General</c:formatCode>
                <c:ptCount val="10"/>
                <c:pt idx="0">
                  <c:v>31.151134457776362</c:v>
                </c:pt>
                <c:pt idx="1">
                  <c:v>44.054356833495184</c:v>
                </c:pt>
                <c:pt idx="2">
                  <c:v>53.955347594278223</c:v>
                </c:pt>
                <c:pt idx="3">
                  <c:v>62.302268915552723</c:v>
                </c:pt>
                <c:pt idx="4">
                  <c:v>69.656054223824</c:v>
                </c:pt>
                <c:pt idx="5">
                  <c:v>76.304384330382803</c:v>
                </c:pt>
                <c:pt idx="6">
                  <c:v>82.418154832811155</c:v>
                </c:pt>
                <c:pt idx="7">
                  <c:v>88.108713666990369</c:v>
                </c:pt>
                <c:pt idx="8">
                  <c:v>93.453403373329081</c:v>
                </c:pt>
                <c:pt idx="9">
                  <c:v>98.508536584727622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29-4646-B1AF-24BEA57FB72A}"/>
            </c:ext>
          </c:extLst>
        </c:ser>
        <c:ser>
          <c:idx val="1"/>
          <c:order val="1"/>
          <c:tx>
            <c:strRef>
              <c:f>Hill!$H$4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Hill!$F$5:$F$14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Hill!$H$5:$H$14</c:f>
              <c:numCache>
                <c:formatCode>General</c:formatCode>
                <c:ptCount val="10"/>
                <c:pt idx="0">
                  <c:v>31.151134457685988</c:v>
                </c:pt>
                <c:pt idx="1">
                  <c:v>44.054356833082892</c:v>
                </c:pt>
                <c:pt idx="2">
                  <c:v>53.955347593569478</c:v>
                </c:pt>
                <c:pt idx="3">
                  <c:v>62.302268914567357</c:v>
                </c:pt>
                <c:pt idx="4">
                  <c:v>69.656054222577509</c:v>
                </c:pt>
                <c:pt idx="5">
                  <c:v>76.304384328887764</c:v>
                </c:pt>
                <c:pt idx="6">
                  <c:v>82.418154831077956</c:v>
                </c:pt>
                <c:pt idx="7">
                  <c:v>88.108713665027878</c:v>
                </c:pt>
                <c:pt idx="8">
                  <c:v>93.453403371145029</c:v>
                </c:pt>
                <c:pt idx="9">
                  <c:v>98.50853658232873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29-4646-B1AF-24BEA57FB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Hopfenberg!$G$4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Hopfenberg!$F$5:$F$14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Hopfenberg!$G$5:$G$14</c:f>
              <c:numCache>
                <c:formatCode>General</c:formatCode>
                <c:ptCount val="10"/>
                <c:pt idx="0">
                  <c:v>21.647383353154105</c:v>
                </c:pt>
                <c:pt idx="1">
                  <c:v>37.907867694084509</c:v>
                </c:pt>
                <c:pt idx="2">
                  <c:v>50.282326470171014</c:v>
                </c:pt>
                <c:pt idx="3">
                  <c:v>59.812242798353907</c:v>
                </c:pt>
                <c:pt idx="4">
                  <c:v>67.231999999999999</c:v>
                </c:pt>
                <c:pt idx="5">
                  <c:v>73.067092565709572</c:v>
                </c:pt>
                <c:pt idx="6">
                  <c:v>77.698649799597987</c:v>
                </c:pt>
                <c:pt idx="7">
                  <c:v>81.406556791812918</c:v>
                </c:pt>
                <c:pt idx="8">
                  <c:v>84.398728710907406</c:v>
                </c:pt>
                <c:pt idx="9">
                  <c:v>86.831275720164598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D-4456-A8B9-C06C7A50C912}"/>
            </c:ext>
          </c:extLst>
        </c:ser>
        <c:ser>
          <c:idx val="1"/>
          <c:order val="1"/>
          <c:tx>
            <c:strRef>
              <c:f>Hopfenberg!$H$4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Hopfenberg!$F$5:$F$14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Hopfenberg!$H$5:$H$14</c:f>
              <c:numCache>
                <c:formatCode>General</c:formatCode>
                <c:ptCount val="10"/>
                <c:pt idx="0">
                  <c:v>21.289216778305931</c:v>
                </c:pt>
                <c:pt idx="1">
                  <c:v>37.374760714179885</c:v>
                </c:pt>
                <c:pt idx="2">
                  <c:v>49.679831739543154</c:v>
                </c:pt>
                <c:pt idx="3">
                  <c:v>59.200119913135339</c:v>
                </c:pt>
                <c:pt idx="4">
                  <c:v>66.642886438671425</c:v>
                </c:pt>
                <c:pt idx="5">
                  <c:v>72.517570822623355</c:v>
                </c:pt>
                <c:pt idx="6">
                  <c:v>77.19586763810365</c:v>
                </c:pt>
                <c:pt idx="7">
                  <c:v>80.952211291865027</c:v>
                </c:pt>
                <c:pt idx="8">
                  <c:v>83.991469648418075</c:v>
                </c:pt>
                <c:pt idx="9">
                  <c:v>86.468152496104167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8D-4456-A8B9-C06C7A50C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Peppas_Sahlin!$G$4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Peppas_Sahlin!$F$5:$F$14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Peppas_Sahlin!$G$5:$G$14</c:f>
              <c:numCache>
                <c:formatCode>General</c:formatCode>
                <c:ptCount val="10"/>
                <c:pt idx="0">
                  <c:v>11</c:v>
                </c:pt>
                <c:pt idx="1">
                  <c:v>19.898574777503818</c:v>
                </c:pt>
                <c:pt idx="2">
                  <c:v>28.730096963263492</c:v>
                </c:pt>
                <c:pt idx="3">
                  <c:v>37.679951406650083</c:v>
                </c:pt>
                <c:pt idx="4">
                  <c:v>46.803063209559213</c:v>
                </c:pt>
                <c:pt idx="5">
                  <c:v>56.118366910615364</c:v>
                </c:pt>
                <c:pt idx="6">
                  <c:v>65.631448936863407</c:v>
                </c:pt>
                <c:pt idx="7">
                  <c:v>75.342192011211637</c:v>
                </c:pt>
                <c:pt idx="8">
                  <c:v>85.247874830767159</c:v>
                </c:pt>
                <c:pt idx="9">
                  <c:v>95.344579656646104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DC-4AC7-B88F-85D501443932}"/>
            </c:ext>
          </c:extLst>
        </c:ser>
        <c:ser>
          <c:idx val="1"/>
          <c:order val="1"/>
          <c:tx>
            <c:strRef>
              <c:f>Peppas_Sahlin!$H$4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Peppas_Sahlin!$F$5:$F$14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Peppas_Sahlin!$H$5:$H$14</c:f>
              <c:numCache>
                <c:formatCode>General</c:formatCode>
                <c:ptCount val="10"/>
                <c:pt idx="0">
                  <c:v>11.00000000029981</c:v>
                </c:pt>
                <c:pt idx="1">
                  <c:v>19.898574778302709</c:v>
                </c:pt>
                <c:pt idx="2">
                  <c:v>28.730096964042708</c:v>
                </c:pt>
                <c:pt idx="3">
                  <c:v>37.679951407224408</c:v>
                </c:pt>
                <c:pt idx="4">
                  <c:v>46.803063209921824</c:v>
                </c:pt>
                <c:pt idx="5">
                  <c:v>56.118366910866598</c:v>
                </c:pt>
                <c:pt idx="6">
                  <c:v>65.631448937173246</c:v>
                </c:pt>
                <c:pt idx="7">
                  <c:v>75.34219201179782</c:v>
                </c:pt>
                <c:pt idx="8">
                  <c:v>85.24787483188129</c:v>
                </c:pt>
                <c:pt idx="9">
                  <c:v>95.344579658564655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DC-4AC7-B88F-85D501443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Quadratic!$G$4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Quadratic!$F$5:$F$14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Quadratic!$G$5:$G$14</c:f>
              <c:numCache>
                <c:formatCode>General</c:formatCode>
                <c:ptCount val="10"/>
                <c:pt idx="0">
                  <c:v>3.5999999999999996</c:v>
                </c:pt>
                <c:pt idx="1">
                  <c:v>8.3999999999999986</c:v>
                </c:pt>
                <c:pt idx="2">
                  <c:v>14.399999999999999</c:v>
                </c:pt>
                <c:pt idx="3">
                  <c:v>21.6</c:v>
                </c:pt>
                <c:pt idx="4">
                  <c:v>30</c:v>
                </c:pt>
                <c:pt idx="5">
                  <c:v>39.6</c:v>
                </c:pt>
                <c:pt idx="6">
                  <c:v>50.4</c:v>
                </c:pt>
                <c:pt idx="7">
                  <c:v>62.4</c:v>
                </c:pt>
                <c:pt idx="8">
                  <c:v>75.599999999999994</c:v>
                </c:pt>
                <c:pt idx="9">
                  <c:v>89.999999999999986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7-4FAF-B73F-A00221CA7776}"/>
            </c:ext>
          </c:extLst>
        </c:ser>
        <c:ser>
          <c:idx val="1"/>
          <c:order val="1"/>
          <c:tx>
            <c:strRef>
              <c:f>Quadratic!$H$4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Quadratic!$F$5:$F$14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Quadratic!$H$5:$H$14</c:f>
              <c:numCache>
                <c:formatCode>General</c:formatCode>
                <c:ptCount val="10"/>
                <c:pt idx="0">
                  <c:v>3.5999999999999996</c:v>
                </c:pt>
                <c:pt idx="1">
                  <c:v>8.3999999999999986</c:v>
                </c:pt>
                <c:pt idx="2">
                  <c:v>14.399999999999999</c:v>
                </c:pt>
                <c:pt idx="3">
                  <c:v>21.6</c:v>
                </c:pt>
                <c:pt idx="4">
                  <c:v>30</c:v>
                </c:pt>
                <c:pt idx="5">
                  <c:v>39.6</c:v>
                </c:pt>
                <c:pt idx="6">
                  <c:v>50.4</c:v>
                </c:pt>
                <c:pt idx="7">
                  <c:v>62.4</c:v>
                </c:pt>
                <c:pt idx="8">
                  <c:v>75.599999999999994</c:v>
                </c:pt>
                <c:pt idx="9">
                  <c:v>89.999999999999986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27-4FAF-B73F-A00221CA7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Logistic!$G$4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Logistic!$F$5:$F$14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Logistic!$G$5:$G$14</c:f>
              <c:numCache>
                <c:formatCode>General</c:formatCode>
                <c:ptCount val="10"/>
                <c:pt idx="0">
                  <c:v>25.3011942119122</c:v>
                </c:pt>
                <c:pt idx="1">
                  <c:v>25.548811636094026</c:v>
                </c:pt>
                <c:pt idx="2">
                  <c:v>26</c:v>
                </c:pt>
                <c:pt idx="3">
                  <c:v>26.822118800390509</c:v>
                </c:pt>
                <c:pt idx="4">
                  <c:v>28.320116922736545</c:v>
                </c:pt>
                <c:pt idx="5">
                  <c:v>31.049647464412946</c:v>
                </c:pt>
                <c:pt idx="6">
                  <c:v>36.023176380641601</c:v>
                </c:pt>
                <c:pt idx="7">
                  <c:v>45.085536923187668</c:v>
                </c:pt>
                <c:pt idx="8">
                  <c:v>61.598234443677974</c:v>
                </c:pt>
                <c:pt idx="9">
                  <c:v>91.686331040925154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D-4582-81D2-D5A01621B9F8}"/>
            </c:ext>
          </c:extLst>
        </c:ser>
        <c:ser>
          <c:idx val="1"/>
          <c:order val="1"/>
          <c:tx>
            <c:strRef>
              <c:f>Logistic!$H$4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Logistic!$F$5:$F$14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Logistic!$H$5:$H$14</c:f>
              <c:numCache>
                <c:formatCode>General</c:formatCode>
                <c:ptCount val="10"/>
                <c:pt idx="0">
                  <c:v>25.300879272979369</c:v>
                </c:pt>
                <c:pt idx="1">
                  <c:v>25.54852479581659</c:v>
                </c:pt>
                <c:pt idx="2">
                  <c:v>25.999757003665895</c:v>
                </c:pt>
                <c:pt idx="3">
                  <c:v>26.821942291200418</c:v>
                </c:pt>
                <c:pt idx="4">
                  <c:v>28.320037141876469</c:v>
                </c:pt>
                <c:pt idx="5">
                  <c:v>31.04969944020343</c:v>
                </c:pt>
                <c:pt idx="6">
                  <c:v>36.023387360928304</c:v>
                </c:pt>
                <c:pt idx="7">
                  <c:v>45.085889908560844</c:v>
                </c:pt>
                <c:pt idx="8">
                  <c:v>61.598577020195414</c:v>
                </c:pt>
                <c:pt idx="9">
                  <c:v>91.686164219602475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ED-4582-81D2-D5A01621B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Gompertz!$G$4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Gompertz!$F$5:$F$14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Gompertz!$G$5:$G$14</c:f>
              <c:numCache>
                <c:formatCode>General</c:formatCode>
                <c:ptCount val="10"/>
                <c:pt idx="0">
                  <c:v>0.67379469990854668</c:v>
                </c:pt>
                <c:pt idx="1">
                  <c:v>22.31794218472157</c:v>
                </c:pt>
                <c:pt idx="2">
                  <c:v>47.638711997142849</c:v>
                </c:pt>
                <c:pt idx="3">
                  <c:v>63.771260532653315</c:v>
                </c:pt>
                <c:pt idx="4">
                  <c:v>73.689815922967355</c:v>
                </c:pt>
                <c:pt idx="5">
                  <c:v>80.057536391998937</c:v>
                </c:pt>
                <c:pt idx="6">
                  <c:v>84.352096165165804</c:v>
                </c:pt>
                <c:pt idx="7">
                  <c:v>87.376798152346566</c:v>
                </c:pt>
                <c:pt idx="8">
                  <c:v>89.585947853062549</c:v>
                </c:pt>
                <c:pt idx="9">
                  <c:v>91.248996171737559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5-4AAB-89AC-B84871F92D01}"/>
            </c:ext>
          </c:extLst>
        </c:ser>
        <c:ser>
          <c:idx val="1"/>
          <c:order val="1"/>
          <c:tx>
            <c:strRef>
              <c:f>Gompertz!$H$4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Gompertz!$F$5:$F$14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Gompertz!$H$5:$H$14</c:f>
              <c:numCache>
                <c:formatCode>General</c:formatCode>
                <c:ptCount val="10"/>
                <c:pt idx="0">
                  <c:v>0.67379469990854668</c:v>
                </c:pt>
                <c:pt idx="1">
                  <c:v>22.31794218472157</c:v>
                </c:pt>
                <c:pt idx="2">
                  <c:v>47.638711997142849</c:v>
                </c:pt>
                <c:pt idx="3">
                  <c:v>63.771260532653315</c:v>
                </c:pt>
                <c:pt idx="4">
                  <c:v>73.689815922967355</c:v>
                </c:pt>
                <c:pt idx="5">
                  <c:v>80.057536391998937</c:v>
                </c:pt>
                <c:pt idx="6">
                  <c:v>84.352096165165804</c:v>
                </c:pt>
                <c:pt idx="7">
                  <c:v>87.376798152346566</c:v>
                </c:pt>
                <c:pt idx="8">
                  <c:v>89.585947853062549</c:v>
                </c:pt>
                <c:pt idx="9">
                  <c:v>91.248996171737559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5-4AAB-89AC-B84871F92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Probit!$G$4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Probit!$F$5:$F$14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Probit!$G$5:$G$14</c:f>
              <c:numCache>
                <c:formatCode>General</c:formatCode>
                <c:ptCount val="10"/>
                <c:pt idx="0">
                  <c:v>18</c:v>
                </c:pt>
                <c:pt idx="1">
                  <c:v>36.964889726830812</c:v>
                </c:pt>
                <c:pt idx="2">
                  <c:v>48.058639047338737</c:v>
                </c:pt>
                <c:pt idx="3">
                  <c:v>55.929779453661631</c:v>
                </c:pt>
                <c:pt idx="4">
                  <c:v>62.035110273169188</c:v>
                </c:pt>
                <c:pt idx="5">
                  <c:v>67.023528774169549</c:v>
                </c:pt>
                <c:pt idx="6">
                  <c:v>71.241176520898193</c:v>
                </c:pt>
                <c:pt idx="7">
                  <c:v>74.894669180492443</c:v>
                </c:pt>
                <c:pt idx="8">
                  <c:v>78.117278094677459</c:v>
                </c:pt>
                <c:pt idx="9">
                  <c:v>80.999999999999986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1-4B8C-B9B6-521CB7EDEF5D}"/>
            </c:ext>
          </c:extLst>
        </c:ser>
        <c:ser>
          <c:idx val="1"/>
          <c:order val="1"/>
          <c:tx>
            <c:strRef>
              <c:f>Probit!$H$4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Probit!$F$5:$F$14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Probit!$H$5:$H$14</c:f>
              <c:numCache>
                <c:formatCode>General</c:formatCode>
                <c:ptCount val="10"/>
                <c:pt idx="0">
                  <c:v>18.000001051073998</c:v>
                </c:pt>
                <c:pt idx="1">
                  <c:v>36.964891590360693</c:v>
                </c:pt>
                <c:pt idx="2">
                  <c:v>48.058641386124826</c:v>
                </c:pt>
                <c:pt idx="3">
                  <c:v>55.929782129647386</c:v>
                </c:pt>
                <c:pt idx="4">
                  <c:v>62.035113210707308</c:v>
                </c:pt>
                <c:pt idx="5">
                  <c:v>67.023531925411518</c:v>
                </c:pt>
                <c:pt idx="6">
                  <c:v>71.241179852824189</c:v>
                </c:pt>
                <c:pt idx="7">
                  <c:v>74.894672668934064</c:v>
                </c:pt>
                <c:pt idx="8">
                  <c:v>78.117281721175658</c:v>
                </c:pt>
                <c:pt idx="9">
                  <c:v>81.000003749993994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91-4B8C-B9B6-521CB7EDE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Makoid_Banakar!$G$4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Makoid_Banakar!$F$5:$F$14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Makoid_Banakar!$G$5:$G$14</c:f>
              <c:numCache>
                <c:formatCode>General</c:formatCode>
                <c:ptCount val="10"/>
                <c:pt idx="0">
                  <c:v>12.870647838739185</c:v>
                </c:pt>
                <c:pt idx="1">
                  <c:v>23.778500211851103</c:v>
                </c:pt>
                <c:pt idx="2">
                  <c:v>33.909676538301262</c:v>
                </c:pt>
                <c:pt idx="3">
                  <c:v>43.493620948077151</c:v>
                </c:pt>
                <c:pt idx="4">
                  <c:v>52.638272996005348</c:v>
                </c:pt>
                <c:pt idx="5">
                  <c:v>61.407555404096904</c:v>
                </c:pt>
                <c:pt idx="6">
                  <c:v>69.844300885208312</c:v>
                </c:pt>
                <c:pt idx="7">
                  <c:v>77.979560304688391</c:v>
                </c:pt>
                <c:pt idx="8">
                  <c:v>85.837113999702538</c:v>
                </c:pt>
                <c:pt idx="9">
                  <c:v>93.435928167527493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0-4015-9C92-618F13E7897A}"/>
            </c:ext>
          </c:extLst>
        </c:ser>
        <c:ser>
          <c:idx val="1"/>
          <c:order val="1"/>
          <c:tx>
            <c:strRef>
              <c:f>Makoid_Banakar!$H$4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Makoid_Banakar!$F$5:$F$14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Makoid_Banakar!$H$5:$H$14</c:f>
              <c:numCache>
                <c:formatCode>General</c:formatCode>
                <c:ptCount val="10"/>
                <c:pt idx="0">
                  <c:v>12.870647838739185</c:v>
                </c:pt>
                <c:pt idx="1">
                  <c:v>23.778500211851103</c:v>
                </c:pt>
                <c:pt idx="2">
                  <c:v>33.909676538301262</c:v>
                </c:pt>
                <c:pt idx="3">
                  <c:v>43.493620948077151</c:v>
                </c:pt>
                <c:pt idx="4">
                  <c:v>52.638272996005348</c:v>
                </c:pt>
                <c:pt idx="5">
                  <c:v>61.407555404096904</c:v>
                </c:pt>
                <c:pt idx="6">
                  <c:v>69.844300885208312</c:v>
                </c:pt>
                <c:pt idx="7">
                  <c:v>77.979560304688391</c:v>
                </c:pt>
                <c:pt idx="8">
                  <c:v>85.837113999702538</c:v>
                </c:pt>
                <c:pt idx="9">
                  <c:v>93.435928167527493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00-4015-9C92-618F13E7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Baker_Lonsdale!$G$4</c:f>
              <c:strCache>
                <c:ptCount val="1"/>
                <c:pt idx="0">
                  <c:v>Q (original)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</c:marker>
          <c:xVal>
            <c:numRef>
              <c:f>Baker_Lonsdale!$F$5:$F$14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Baker_Lonsdale!$G$5:$G$14</c:f>
              <c:numCache>
                <c:formatCode>General</c:formatCode>
                <c:ptCount val="10"/>
                <c:pt idx="0">
                  <c:v>18.17453723207635</c:v>
                </c:pt>
                <c:pt idx="1">
                  <c:v>26.174537232076347</c:v>
                </c:pt>
                <c:pt idx="2">
                  <c:v>34.174537232076347</c:v>
                </c:pt>
                <c:pt idx="3">
                  <c:v>42.174537232076347</c:v>
                </c:pt>
                <c:pt idx="4">
                  <c:v>50.174537232076347</c:v>
                </c:pt>
                <c:pt idx="5">
                  <c:v>58.174537232076354</c:v>
                </c:pt>
                <c:pt idx="6">
                  <c:v>66.174537232076361</c:v>
                </c:pt>
                <c:pt idx="7">
                  <c:v>74.174537232076347</c:v>
                </c:pt>
                <c:pt idx="8">
                  <c:v>82.174537232076347</c:v>
                </c:pt>
                <c:pt idx="9">
                  <c:v>90.174537232076361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E-4CC6-9732-2832F640AFBA}"/>
            </c:ext>
          </c:extLst>
        </c:ser>
        <c:ser>
          <c:idx val="1"/>
          <c:order val="1"/>
          <c:tx>
            <c:strRef>
              <c:f>Baker_Lonsdale!$H$4</c:f>
              <c:strCache>
                <c:ptCount val="1"/>
                <c:pt idx="0">
                  <c:v>Q (RkinetDS)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4"/>
          </c:marker>
          <c:xVal>
            <c:numRef>
              <c:f>Baker_Lonsdale!$F$5:$F$14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Baker_Lonsdale!$H$5:$H$14</c:f>
              <c:numCache>
                <c:formatCode>General</c:formatCode>
                <c:ptCount val="10"/>
                <c:pt idx="0">
                  <c:v>18.174537230000009</c:v>
                </c:pt>
                <c:pt idx="1">
                  <c:v>26.174537230000006</c:v>
                </c:pt>
                <c:pt idx="2">
                  <c:v>34.174537230000006</c:v>
                </c:pt>
                <c:pt idx="3">
                  <c:v>42.174537230000006</c:v>
                </c:pt>
                <c:pt idx="4">
                  <c:v>50.174537230000006</c:v>
                </c:pt>
                <c:pt idx="5">
                  <c:v>58.174537230000013</c:v>
                </c:pt>
                <c:pt idx="6">
                  <c:v>66.174537230000013</c:v>
                </c:pt>
                <c:pt idx="7">
                  <c:v>74.174537229999999</c:v>
                </c:pt>
                <c:pt idx="8">
                  <c:v>82.174537230000013</c:v>
                </c:pt>
                <c:pt idx="9">
                  <c:v>90.174537230000013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1E-4CC6-9732-2832F640A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4191"/>
        <c:axId val="2084863695"/>
      </c:scatterChart>
      <c:valAx>
        <c:axId val="208486369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Q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4191"/>
        <c:crossesAt val="0"/>
        <c:crossBetween val="midCat"/>
      </c:valAx>
      <c:valAx>
        <c:axId val="2084864191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l-PL"/>
          </a:p>
        </c:txPr>
        <c:crossAx val="2084863695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en-US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18728B-783F-A6A1-6C94-6E47B2F9D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9D01DE-BF00-7863-5A43-811088E04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160EF-E5C1-2D47-3992-072231E2C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350A0B-FC09-281D-7387-6CA0031D0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719D5-5AD5-4841-9FB2-27CF3EF10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26972-AA7E-1EB4-D36A-BE8B3D815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753E5A-C3D3-4D66-90A1-8B12A877B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8E50D-D83A-825C-3AB9-D1F2183B8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454AF4-98F5-42E3-B933-5B1AEB956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16A17-C5D5-4532-97D6-FE10093D4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0E63CB-4D28-4024-983D-5C51CC39E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B3785-BD95-408C-8C68-5EBC5FA3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2A50A-7D18-482F-A9B9-521DC4C7A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E683D-B8B8-4655-9731-9206835E3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877DF-715D-48E9-99FF-82A2111E0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2C390-FE41-4A76-BAC1-4E9AF51CF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1B5526-49C6-4963-AAC9-61B5AF544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EFF6DF-C628-4C6F-A610-D68F2DBAD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8638519" y="586038"/>
    <xdr:ext cx="5759622" cy="3239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4E32A-1A75-4F67-B3B6-988D523D3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2"/>
  <sheetViews>
    <sheetView workbookViewId="0">
      <selection activeCell="A55" sqref="A55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1</v>
      </c>
    </row>
    <row r="3" spans="2:12">
      <c r="B3" t="s">
        <v>2</v>
      </c>
      <c r="C3" t="s">
        <v>3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 t="shared" ref="G5:G14" si="0">C$7*$F5</f>
        <v>9</v>
      </c>
      <c r="H5">
        <f t="shared" ref="H5:H14" si="1">D$7*$F5</f>
        <v>9.0000064844123404</v>
      </c>
      <c r="I5">
        <f t="shared" ref="I5:I14" si="2">(H5-G5)^2</f>
        <v>4.2047603400498576E-11</v>
      </c>
    </row>
    <row r="6" spans="2:12">
      <c r="C6" t="s">
        <v>8</v>
      </c>
      <c r="D6" t="s">
        <v>9</v>
      </c>
      <c r="F6">
        <v>2</v>
      </c>
      <c r="G6">
        <f t="shared" si="0"/>
        <v>18</v>
      </c>
      <c r="H6">
        <f t="shared" si="1"/>
        <v>18.000012968824681</v>
      </c>
      <c r="I6">
        <f t="shared" si="2"/>
        <v>1.681904136019943E-10</v>
      </c>
    </row>
    <row r="7" spans="2:12">
      <c r="B7" t="s">
        <v>10</v>
      </c>
      <c r="C7">
        <v>9</v>
      </c>
      <c r="D7">
        <v>9.0000064844123404</v>
      </c>
      <c r="F7">
        <v>3</v>
      </c>
      <c r="G7">
        <f t="shared" si="0"/>
        <v>27</v>
      </c>
      <c r="H7">
        <f t="shared" si="1"/>
        <v>27.000019453237023</v>
      </c>
      <c r="I7">
        <f t="shared" si="2"/>
        <v>3.7842843067359896E-10</v>
      </c>
    </row>
    <row r="8" spans="2:12">
      <c r="F8">
        <v>4</v>
      </c>
      <c r="G8">
        <f t="shared" si="0"/>
        <v>36</v>
      </c>
      <c r="H8">
        <f t="shared" si="1"/>
        <v>36.000025937649362</v>
      </c>
      <c r="I8">
        <f t="shared" si="2"/>
        <v>6.7276165440797721E-10</v>
      </c>
    </row>
    <row r="9" spans="2:12">
      <c r="F9">
        <v>5</v>
      </c>
      <c r="G9">
        <f t="shared" si="0"/>
        <v>45</v>
      </c>
      <c r="H9">
        <f t="shared" si="1"/>
        <v>45.0000324220617</v>
      </c>
      <c r="I9">
        <f t="shared" si="2"/>
        <v>1.0511900848972781E-9</v>
      </c>
      <c r="K9">
        <f t="array" ref="K9:L13">LINEST(H$5:H$14,G$5:G$14,1,1)</f>
        <v>1.0000007204902601</v>
      </c>
      <c r="L9">
        <v>-7.1054273576010019E-15</v>
      </c>
    </row>
    <row r="10" spans="2:12">
      <c r="F10">
        <v>6</v>
      </c>
      <c r="G10">
        <f t="shared" si="0"/>
        <v>54</v>
      </c>
      <c r="H10">
        <f t="shared" si="1"/>
        <v>54.000038906474046</v>
      </c>
      <c r="I10">
        <f t="shared" si="2"/>
        <v>1.5137137226943958E-9</v>
      </c>
      <c r="K10">
        <v>4.1238817783214355E-17</v>
      </c>
      <c r="L10">
        <v>2.3029212160627839E-15</v>
      </c>
    </row>
    <row r="11" spans="2:12">
      <c r="F11">
        <v>7</v>
      </c>
      <c r="G11">
        <f t="shared" si="0"/>
        <v>63</v>
      </c>
      <c r="H11">
        <f t="shared" si="1"/>
        <v>63.000045390886385</v>
      </c>
      <c r="I11">
        <f t="shared" si="2"/>
        <v>2.0603325667856913E-9</v>
      </c>
      <c r="K11">
        <v>1</v>
      </c>
      <c r="L11">
        <v>3.371131474125594E-15</v>
      </c>
    </row>
    <row r="12" spans="2:12">
      <c r="F12">
        <v>8</v>
      </c>
      <c r="G12">
        <f t="shared" si="0"/>
        <v>72</v>
      </c>
      <c r="H12">
        <f t="shared" si="1"/>
        <v>72.000051875298723</v>
      </c>
      <c r="I12">
        <f t="shared" si="2"/>
        <v>2.6910466176319088E-9</v>
      </c>
      <c r="K12">
        <v>5.880147396223025E+32</v>
      </c>
      <c r="L12">
        <v>8</v>
      </c>
    </row>
    <row r="13" spans="2:12">
      <c r="F13">
        <v>9</v>
      </c>
      <c r="G13">
        <f t="shared" si="0"/>
        <v>81</v>
      </c>
      <c r="H13">
        <f t="shared" si="1"/>
        <v>81.000058359711062</v>
      </c>
      <c r="I13">
        <f t="shared" si="2"/>
        <v>3.4058558752330494E-9</v>
      </c>
      <c r="K13">
        <v>6682.5096293557945</v>
      </c>
      <c r="L13">
        <v>9.0916219326721611E-29</v>
      </c>
    </row>
    <row r="14" spans="2:12">
      <c r="F14">
        <v>10</v>
      </c>
      <c r="G14">
        <f t="shared" si="0"/>
        <v>90</v>
      </c>
      <c r="H14">
        <f t="shared" si="1"/>
        <v>90.000064844123401</v>
      </c>
      <c r="I14">
        <f t="shared" si="2"/>
        <v>4.2047603395891122E-9</v>
      </c>
    </row>
    <row r="15" spans="2:12">
      <c r="H15" t="s">
        <v>11</v>
      </c>
      <c r="I15" s="2">
        <f>AVERAGE(I5:I14)</f>
        <v>1.6188327308915504E-9</v>
      </c>
    </row>
    <row r="16" spans="2:12">
      <c r="H16" t="s">
        <v>12</v>
      </c>
      <c r="I16" s="3">
        <f>SQRT(I15)</f>
        <v>4.0234720464936132E-5</v>
      </c>
    </row>
    <row r="17" spans="1:9">
      <c r="H17" t="s">
        <v>13</v>
      </c>
      <c r="I17">
        <f>K11</f>
        <v>1</v>
      </c>
    </row>
    <row r="24" spans="1:9">
      <c r="A24" t="s">
        <v>14</v>
      </c>
    </row>
    <row r="26" spans="1:9">
      <c r="A26" t="s">
        <v>15</v>
      </c>
    </row>
    <row r="28" spans="1:9">
      <c r="A28" t="s">
        <v>16</v>
      </c>
    </row>
    <row r="29" spans="1:9">
      <c r="A29" t="s">
        <v>17</v>
      </c>
    </row>
    <row r="30" spans="1:9">
      <c r="A30" t="s">
        <v>18</v>
      </c>
    </row>
    <row r="31" spans="1:9">
      <c r="A31" t="s">
        <v>19</v>
      </c>
    </row>
    <row r="32" spans="1:9">
      <c r="A32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5" spans="1:1">
      <c r="A45" t="s">
        <v>31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2" spans="1:1">
      <c r="A52" t="s">
        <v>37</v>
      </c>
    </row>
    <row r="53" spans="1:1">
      <c r="A53" t="s">
        <v>38</v>
      </c>
    </row>
    <row r="54" spans="1:1">
      <c r="A54" t="s">
        <v>283</v>
      </c>
    </row>
    <row r="55" spans="1:1">
      <c r="A55" t="s">
        <v>37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52"/>
  <sheetViews>
    <sheetView workbookViewId="0">
      <selection activeCell="G14" sqref="F5:G14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136</v>
      </c>
    </row>
    <row r="3" spans="2:12">
      <c r="B3" t="s">
        <v>2</v>
      </c>
      <c r="C3" t="s">
        <v>137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 t="shared" ref="G5:G14" si="0">100*(1-EXP(-C$7*$F5))</f>
        <v>32.967995396436066</v>
      </c>
      <c r="H5">
        <f t="shared" ref="H5:H14" si="1">100*(1-EXP(-D$7*$F5))</f>
        <v>32.96799539779601</v>
      </c>
      <c r="I5">
        <f t="shared" ref="I5:I14" si="2">(H5-G5)^2</f>
        <v>1.8494456951922731E-18</v>
      </c>
    </row>
    <row r="6" spans="2:12">
      <c r="C6" t="s">
        <v>8</v>
      </c>
      <c r="D6" t="s">
        <v>9</v>
      </c>
      <c r="F6">
        <v>2</v>
      </c>
      <c r="G6">
        <f t="shared" si="0"/>
        <v>55.067103588277845</v>
      </c>
      <c r="H6">
        <f t="shared" si="1"/>
        <v>55.067103590101041</v>
      </c>
      <c r="I6">
        <f t="shared" si="2"/>
        <v>3.3240429854546321E-18</v>
      </c>
    </row>
    <row r="7" spans="2:12">
      <c r="B7" t="s">
        <v>138</v>
      </c>
      <c r="C7">
        <v>0.4</v>
      </c>
      <c r="D7">
        <v>0.40000000002028802</v>
      </c>
      <c r="F7">
        <v>3</v>
      </c>
      <c r="G7">
        <f t="shared" si="0"/>
        <v>69.880578808779802</v>
      </c>
      <c r="H7">
        <f t="shared" si="1"/>
        <v>69.880578810612974</v>
      </c>
      <c r="I7">
        <f t="shared" si="2"/>
        <v>3.360518982326069E-18</v>
      </c>
    </row>
    <row r="8" spans="2:12">
      <c r="F8">
        <v>4</v>
      </c>
      <c r="G8">
        <f t="shared" si="0"/>
        <v>79.810348200534463</v>
      </c>
      <c r="H8">
        <f t="shared" si="1"/>
        <v>79.810348202172889</v>
      </c>
      <c r="I8">
        <f t="shared" si="2"/>
        <v>2.6844406865766732E-18</v>
      </c>
    </row>
    <row r="9" spans="2:12">
      <c r="F9">
        <v>5</v>
      </c>
      <c r="G9">
        <f t="shared" si="0"/>
        <v>86.466471676338728</v>
      </c>
      <c r="H9">
        <f t="shared" si="1"/>
        <v>86.466471677711581</v>
      </c>
      <c r="I9">
        <f t="shared" si="2"/>
        <v>1.8847276402392345E-18</v>
      </c>
      <c r="K9">
        <f t="array" ref="K9:L13">LINEST(H$5:H$14,G$5:G$14,1,1)</f>
        <v>0.99999999998325551</v>
      </c>
      <c r="L9">
        <v>2.4929960318331723E-9</v>
      </c>
    </row>
    <row r="10" spans="2:12">
      <c r="F10">
        <v>6</v>
      </c>
      <c r="G10">
        <f t="shared" si="0"/>
        <v>90.928204671058751</v>
      </c>
      <c r="H10">
        <f t="shared" si="1"/>
        <v>90.928204672163034</v>
      </c>
      <c r="I10">
        <f t="shared" si="2"/>
        <v>1.2194406953033334E-18</v>
      </c>
      <c r="K10">
        <v>6.555586486749298E-12</v>
      </c>
      <c r="L10">
        <v>5.415280810600633E-10</v>
      </c>
    </row>
    <row r="11" spans="2:12">
      <c r="F11">
        <v>7</v>
      </c>
      <c r="G11">
        <f t="shared" si="0"/>
        <v>93.918993737478203</v>
      </c>
      <c r="H11">
        <f t="shared" si="1"/>
        <v>93.918993738341811</v>
      </c>
      <c r="I11">
        <f t="shared" si="2"/>
        <v>7.4581852185908505E-19</v>
      </c>
      <c r="K11">
        <v>1</v>
      </c>
      <c r="L11">
        <v>4.2347721579449987E-10</v>
      </c>
    </row>
    <row r="12" spans="2:12">
      <c r="F12">
        <v>8</v>
      </c>
      <c r="G12">
        <f t="shared" si="0"/>
        <v>95.923779602163378</v>
      </c>
      <c r="H12">
        <f t="shared" si="1"/>
        <v>95.923779602824965</v>
      </c>
      <c r="I12">
        <f t="shared" si="2"/>
        <v>4.376964869500356E-19</v>
      </c>
      <c r="K12">
        <v>2.326895594232446E+22</v>
      </c>
      <c r="L12">
        <v>8</v>
      </c>
    </row>
    <row r="13" spans="2:12">
      <c r="F13">
        <v>9</v>
      </c>
      <c r="G13">
        <f t="shared" si="0"/>
        <v>97.267627755270752</v>
      </c>
      <c r="H13">
        <f t="shared" si="1"/>
        <v>97.267627755769652</v>
      </c>
      <c r="I13">
        <f t="shared" si="2"/>
        <v>2.4890168543855327E-19</v>
      </c>
      <c r="K13">
        <v>4172.890566007296</v>
      </c>
      <c r="L13">
        <v>1.4346636183764912E-18</v>
      </c>
    </row>
    <row r="14" spans="2:12">
      <c r="F14">
        <v>10</v>
      </c>
      <c r="G14">
        <f t="shared" si="0"/>
        <v>98.168436111126582</v>
      </c>
      <c r="H14">
        <f t="shared" si="1"/>
        <v>98.168436111498167</v>
      </c>
      <c r="I14">
        <f t="shared" si="2"/>
        <v>1.3807573111430473E-19</v>
      </c>
    </row>
    <row r="15" spans="2:12">
      <c r="H15" t="s">
        <v>11</v>
      </c>
      <c r="I15" s="2">
        <f>AVERAGE(I5:I14)</f>
        <v>1.5893109110454194E-18</v>
      </c>
    </row>
    <row r="16" spans="2:12">
      <c r="H16" t="s">
        <v>12</v>
      </c>
      <c r="I16" s="3">
        <f>SQRT(I15)</f>
        <v>1.2606787501363777E-9</v>
      </c>
    </row>
    <row r="17" spans="1:9">
      <c r="H17" t="s">
        <v>13</v>
      </c>
      <c r="I17">
        <f>K11</f>
        <v>1</v>
      </c>
    </row>
    <row r="24" spans="1:9">
      <c r="A24" t="s">
        <v>14</v>
      </c>
    </row>
    <row r="26" spans="1:9">
      <c r="A26" t="s">
        <v>139</v>
      </c>
    </row>
    <row r="28" spans="1:9">
      <c r="A28" t="s">
        <v>16</v>
      </c>
    </row>
    <row r="29" spans="1:9">
      <c r="A29" t="s">
        <v>17</v>
      </c>
    </row>
    <row r="30" spans="1:9">
      <c r="A30" t="s">
        <v>18</v>
      </c>
    </row>
    <row r="31" spans="1:9">
      <c r="A31" t="s">
        <v>19</v>
      </c>
    </row>
    <row r="32" spans="1:9">
      <c r="A32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5" spans="1:1">
      <c r="A45" t="s">
        <v>31</v>
      </c>
    </row>
    <row r="46" spans="1:1">
      <c r="A46" t="s">
        <v>140</v>
      </c>
    </row>
    <row r="47" spans="1:1">
      <c r="A47" t="s">
        <v>141</v>
      </c>
    </row>
    <row r="48" spans="1:1">
      <c r="A48" t="s">
        <v>142</v>
      </c>
    </row>
    <row r="49" spans="1:1">
      <c r="A49" t="s">
        <v>143</v>
      </c>
    </row>
    <row r="50" spans="1:1">
      <c r="A50" t="s">
        <v>144</v>
      </c>
    </row>
    <row r="52" spans="1:1">
      <c r="A52" t="s">
        <v>37</v>
      </c>
    </row>
    <row r="53" spans="1:1">
      <c r="A53" t="s">
        <v>38</v>
      </c>
    </row>
    <row r="54" spans="1:1">
      <c r="A54" t="s">
        <v>283</v>
      </c>
    </row>
    <row r="55" spans="1:1">
      <c r="A55" t="s">
        <v>37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52"/>
  <sheetViews>
    <sheetView workbookViewId="0">
      <selection activeCell="C7" sqref="C7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145</v>
      </c>
    </row>
    <row r="3" spans="2:12">
      <c r="B3" t="s">
        <v>2</v>
      </c>
      <c r="C3" t="s">
        <v>146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 t="shared" ref="G5:G14" si="0">100*(1-C$7/(1+C$7*C$8*$F5))</f>
        <v>95.454545454545453</v>
      </c>
      <c r="H5">
        <f t="shared" ref="H5:H14" si="1">100*(1-D$7/(1+D$7*D$8*$F5))</f>
        <v>95.454262247617592</v>
      </c>
      <c r="I5">
        <f t="shared" ref="I5:I14" si="2">(H5-G5)^2</f>
        <v>8.020616398852319E-8</v>
      </c>
    </row>
    <row r="6" spans="2:12">
      <c r="C6" t="s">
        <v>8</v>
      </c>
      <c r="D6" t="s">
        <v>9</v>
      </c>
      <c r="F6">
        <v>2</v>
      </c>
      <c r="G6">
        <f t="shared" si="0"/>
        <v>97.61904761904762</v>
      </c>
      <c r="H6">
        <f t="shared" si="1"/>
        <v>97.618824758060541</v>
      </c>
      <c r="I6">
        <f t="shared" si="2"/>
        <v>4.9667019562181968E-8</v>
      </c>
    </row>
    <row r="7" spans="2:12">
      <c r="B7" t="s">
        <v>138</v>
      </c>
      <c r="C7">
        <v>0.5</v>
      </c>
      <c r="D7">
        <v>0.499702769894527</v>
      </c>
      <c r="F7">
        <v>3</v>
      </c>
      <c r="G7">
        <f t="shared" si="0"/>
        <v>98.387096774193552</v>
      </c>
      <c r="H7">
        <f t="shared" si="1"/>
        <v>98.386927891693929</v>
      </c>
      <c r="I7">
        <f t="shared" si="2"/>
        <v>2.8521298678647046E-8</v>
      </c>
    </row>
    <row r="8" spans="2:12">
      <c r="B8" t="s">
        <v>10</v>
      </c>
      <c r="C8">
        <v>20</v>
      </c>
      <c r="D8">
        <v>19.997439736259199</v>
      </c>
      <c r="F8">
        <v>4</v>
      </c>
      <c r="G8">
        <f t="shared" si="0"/>
        <v>98.780487804878049</v>
      </c>
      <c r="H8">
        <f t="shared" si="1"/>
        <v>98.780353176285075</v>
      </c>
      <c r="I8">
        <f t="shared" si="2"/>
        <v>1.812485804621154E-8</v>
      </c>
    </row>
    <row r="9" spans="2:12">
      <c r="F9">
        <v>5</v>
      </c>
      <c r="G9">
        <f t="shared" si="0"/>
        <v>99.019607843137265</v>
      </c>
      <c r="H9">
        <f t="shared" si="1"/>
        <v>99.019496222480569</v>
      </c>
      <c r="I9">
        <f t="shared" si="2"/>
        <v>1.2459171001298057E-8</v>
      </c>
      <c r="K9">
        <f t="array" ref="K9:L13">LINEST(H$5:H$14,G$5:G$14,1,1)</f>
        <v>1.0000570221988774</v>
      </c>
      <c r="L9">
        <v>-5.7526926252933208E-3</v>
      </c>
    </row>
    <row r="10" spans="2:12">
      <c r="F10">
        <v>6</v>
      </c>
      <c r="G10">
        <f t="shared" si="0"/>
        <v>99.180327868852459</v>
      </c>
      <c r="H10">
        <f t="shared" si="1"/>
        <v>99.180232641754287</v>
      </c>
      <c r="I10">
        <f t="shared" si="2"/>
        <v>9.0682002261331599E-9</v>
      </c>
      <c r="K10">
        <v>5.8051544005914176E-6</v>
      </c>
      <c r="L10">
        <v>5.7247328291226457E-4</v>
      </c>
    </row>
    <row r="11" spans="2:12">
      <c r="F11">
        <v>7</v>
      </c>
      <c r="G11">
        <f t="shared" si="0"/>
        <v>99.295774647887328</v>
      </c>
      <c r="H11">
        <f t="shared" si="1"/>
        <v>99.295691657456814</v>
      </c>
      <c r="I11">
        <f t="shared" si="2"/>
        <v>6.8874115568191806E-9</v>
      </c>
      <c r="K11">
        <v>0.99999999973043219</v>
      </c>
      <c r="L11">
        <v>2.1787092616915388E-5</v>
      </c>
    </row>
    <row r="12" spans="2:12">
      <c r="F12">
        <v>8</v>
      </c>
      <c r="G12">
        <f t="shared" si="0"/>
        <v>99.382716049382708</v>
      </c>
      <c r="H12">
        <f t="shared" si="1"/>
        <v>99.382642528653705</v>
      </c>
      <c r="I12">
        <f t="shared" si="2"/>
        <v>5.4052975932005414E-9</v>
      </c>
      <c r="K12">
        <v>29677135321.137676</v>
      </c>
      <c r="L12">
        <v>8</v>
      </c>
    </row>
    <row r="13" spans="2:12">
      <c r="F13">
        <v>9</v>
      </c>
      <c r="G13">
        <f t="shared" si="0"/>
        <v>99.45054945054946</v>
      </c>
      <c r="H13">
        <f t="shared" si="1"/>
        <v>99.450483470081409</v>
      </c>
      <c r="I13">
        <f t="shared" si="2"/>
        <v>4.353422164222746E-9</v>
      </c>
      <c r="K13">
        <v>14.087065573110435</v>
      </c>
      <c r="L13">
        <v>3.7974192375843926E-9</v>
      </c>
    </row>
    <row r="14" spans="2:12">
      <c r="F14">
        <v>10</v>
      </c>
      <c r="G14">
        <f t="shared" si="0"/>
        <v>99.504950495049499</v>
      </c>
      <c r="H14">
        <f t="shared" si="1"/>
        <v>99.504890657875151</v>
      </c>
      <c r="I14">
        <f t="shared" si="2"/>
        <v>3.5804874339381691E-9</v>
      </c>
    </row>
    <row r="15" spans="2:12">
      <c r="H15" t="s">
        <v>11</v>
      </c>
      <c r="I15" s="2">
        <f>AVERAGE(I5:I14)</f>
        <v>2.1827333025117562E-8</v>
      </c>
    </row>
    <row r="16" spans="2:12">
      <c r="H16" t="s">
        <v>12</v>
      </c>
      <c r="I16" s="3">
        <f>SQRT(I15)</f>
        <v>1.4774076290962343E-4</v>
      </c>
    </row>
    <row r="17" spans="1:9">
      <c r="H17" t="s">
        <v>13</v>
      </c>
      <c r="I17">
        <f>K11</f>
        <v>0.99999999973043219</v>
      </c>
    </row>
    <row r="24" spans="1:9">
      <c r="A24" t="s">
        <v>14</v>
      </c>
    </row>
    <row r="26" spans="1:9">
      <c r="A26" t="s">
        <v>147</v>
      </c>
    </row>
    <row r="28" spans="1:9">
      <c r="A28" t="s">
        <v>16</v>
      </c>
    </row>
    <row r="29" spans="1:9">
      <c r="A29" t="s">
        <v>17</v>
      </c>
    </row>
    <row r="30" spans="1:9">
      <c r="A30" t="s">
        <v>18</v>
      </c>
    </row>
    <row r="31" spans="1:9">
      <c r="A31" t="s">
        <v>19</v>
      </c>
    </row>
    <row r="32" spans="1:9">
      <c r="A32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5" spans="1:1">
      <c r="A45" t="s">
        <v>31</v>
      </c>
    </row>
    <row r="46" spans="1:1">
      <c r="A46" t="s">
        <v>148</v>
      </c>
    </row>
    <row r="47" spans="1:1">
      <c r="A47" t="s">
        <v>149</v>
      </c>
    </row>
    <row r="48" spans="1:1">
      <c r="A48" t="s">
        <v>150</v>
      </c>
    </row>
    <row r="49" spans="1:1">
      <c r="A49" t="s">
        <v>151</v>
      </c>
    </row>
    <row r="50" spans="1:1">
      <c r="A50" t="s">
        <v>152</v>
      </c>
    </row>
    <row r="52" spans="1:1">
      <c r="A52" t="s">
        <v>37</v>
      </c>
    </row>
    <row r="53" spans="1:1">
      <c r="A53" t="s">
        <v>38</v>
      </c>
    </row>
    <row r="54" spans="1:1">
      <c r="A54" t="s">
        <v>283</v>
      </c>
    </row>
    <row r="55" spans="1:1">
      <c r="A55" t="s">
        <v>37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52"/>
  <sheetViews>
    <sheetView topLeftCell="A33" workbookViewId="0">
      <selection activeCell="A55" sqref="A55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153</v>
      </c>
    </row>
    <row r="3" spans="2:12" ht="14.4">
      <c r="B3" t="s">
        <v>2</v>
      </c>
      <c r="C3" s="4" t="s">
        <v>154</v>
      </c>
    </row>
    <row r="4" spans="2:12" ht="14.4">
      <c r="C4" s="4"/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 t="shared" ref="G5:G14" si="0">100*(1-((1/(C$7*$F5+1/C$8^2))^(1/2)))</f>
        <v>42.284844025325505</v>
      </c>
      <c r="H5">
        <f t="shared" ref="H5:H14" si="1">100*(1-((1/(D$7*$F5+1/D$8^2))^(1/2)))</f>
        <v>42.284844967372237</v>
      </c>
      <c r="I5">
        <f t="shared" ref="I5:I14" si="2">(H5-G5)^2</f>
        <v>8.8745204560623004E-13</v>
      </c>
    </row>
    <row r="6" spans="2:12">
      <c r="C6" t="s">
        <v>8</v>
      </c>
      <c r="D6" t="s">
        <v>9</v>
      </c>
      <c r="F6">
        <v>2</v>
      </c>
      <c r="G6">
        <f t="shared" si="0"/>
        <v>59.182198207137894</v>
      </c>
      <c r="H6">
        <f t="shared" si="1"/>
        <v>59.182198824155897</v>
      </c>
      <c r="I6">
        <f t="shared" si="2"/>
        <v>3.8071121591878129E-13</v>
      </c>
    </row>
    <row r="7" spans="2:12">
      <c r="B7" t="s">
        <v>10</v>
      </c>
      <c r="C7">
        <v>3</v>
      </c>
      <c r="D7" s="5">
        <v>3.0000000834576799</v>
      </c>
      <c r="F7">
        <v>3</v>
      </c>
      <c r="G7">
        <f t="shared" si="0"/>
        <v>66.67049214821175</v>
      </c>
      <c r="H7">
        <f t="shared" si="1"/>
        <v>66.670492638629668</v>
      </c>
      <c r="I7">
        <f t="shared" si="2"/>
        <v>2.4050973412980103E-13</v>
      </c>
    </row>
    <row r="8" spans="2:12">
      <c r="B8" t="s">
        <v>138</v>
      </c>
      <c r="C8">
        <v>22</v>
      </c>
      <c r="D8">
        <v>-21.9999225689787</v>
      </c>
      <c r="F8">
        <v>4</v>
      </c>
      <c r="G8">
        <f t="shared" si="0"/>
        <v>71.134971370603751</v>
      </c>
      <c r="H8">
        <f t="shared" si="1"/>
        <v>71.134971789525025</v>
      </c>
      <c r="I8">
        <f t="shared" si="2"/>
        <v>1.7549503427786067E-13</v>
      </c>
    </row>
    <row r="9" spans="2:12">
      <c r="F9">
        <v>5</v>
      </c>
      <c r="G9">
        <f t="shared" si="0"/>
        <v>74.181889070871833</v>
      </c>
      <c r="H9">
        <f t="shared" si="1"/>
        <v>74.181889442457077</v>
      </c>
      <c r="I9">
        <f t="shared" si="2"/>
        <v>1.3807559382012863E-13</v>
      </c>
      <c r="K9">
        <f t="array" ref="K9:L13">LINEST(H$5:H$14,G$5:G$14,1,1)</f>
        <v>0.99999998284936398</v>
      </c>
      <c r="L9">
        <v>1.6489182570467165E-6</v>
      </c>
    </row>
    <row r="10" spans="2:12">
      <c r="F10">
        <v>6</v>
      </c>
      <c r="G10">
        <f t="shared" si="0"/>
        <v>76.431126588841224</v>
      </c>
      <c r="H10">
        <f t="shared" si="1"/>
        <v>76.431126926158143</v>
      </c>
      <c r="I10">
        <f t="shared" si="2"/>
        <v>1.1378270403626929E-13</v>
      </c>
      <c r="K10">
        <v>3.3645518470491283E-10</v>
      </c>
      <c r="L10">
        <v>2.4213114442383391E-8</v>
      </c>
    </row>
    <row r="11" spans="2:12">
      <c r="F11">
        <v>7</v>
      </c>
      <c r="G11">
        <f t="shared" si="0"/>
        <v>78.179284381503535</v>
      </c>
      <c r="H11">
        <f t="shared" si="1"/>
        <v>78.179284692546759</v>
      </c>
      <c r="I11">
        <f t="shared" si="2"/>
        <v>9.6747886684881925E-14</v>
      </c>
      <c r="K11">
        <v>1</v>
      </c>
      <c r="L11">
        <v>1.2400997502822192E-8</v>
      </c>
    </row>
    <row r="12" spans="2:12">
      <c r="F12">
        <v>8</v>
      </c>
      <c r="G12">
        <f t="shared" si="0"/>
        <v>79.588464053626211</v>
      </c>
      <c r="H12">
        <f t="shared" si="1"/>
        <v>79.588464343702441</v>
      </c>
      <c r="I12">
        <f t="shared" si="2"/>
        <v>8.4144219038775997E-14</v>
      </c>
      <c r="K12">
        <v>8.8337587590825615E+18</v>
      </c>
      <c r="L12">
        <v>8</v>
      </c>
    </row>
    <row r="13" spans="2:12">
      <c r="F13">
        <v>9</v>
      </c>
      <c r="G13">
        <f t="shared" si="0"/>
        <v>80.755727325777855</v>
      </c>
      <c r="H13">
        <f t="shared" si="1"/>
        <v>80.755727598620425</v>
      </c>
      <c r="I13">
        <f t="shared" si="2"/>
        <v>7.4443067933588072E-14</v>
      </c>
      <c r="K13">
        <v>1358.4972857286898</v>
      </c>
      <c r="L13">
        <v>1.2302779125200181E-15</v>
      </c>
    </row>
    <row r="14" spans="2:12">
      <c r="F14">
        <v>10</v>
      </c>
      <c r="G14">
        <f t="shared" si="0"/>
        <v>81.743210083009245</v>
      </c>
      <c r="H14">
        <f t="shared" si="1"/>
        <v>81.743210341361731</v>
      </c>
      <c r="I14">
        <f t="shared" si="2"/>
        <v>6.6746007059112502E-14</v>
      </c>
    </row>
    <row r="15" spans="2:12">
      <c r="H15" t="s">
        <v>11</v>
      </c>
      <c r="I15" s="2">
        <f>AVERAGE(I5:I14)</f>
        <v>2.2581075085054291E-13</v>
      </c>
    </row>
    <row r="16" spans="2:12">
      <c r="H16" t="s">
        <v>12</v>
      </c>
      <c r="I16" s="3">
        <f>SQRT(I15)</f>
        <v>4.7519548698461238E-7</v>
      </c>
    </row>
    <row r="17" spans="1:9">
      <c r="H17" t="s">
        <v>13</v>
      </c>
      <c r="I17">
        <f>K11</f>
        <v>1</v>
      </c>
    </row>
    <row r="24" spans="1:9">
      <c r="A24" t="s">
        <v>14</v>
      </c>
    </row>
    <row r="26" spans="1:9">
      <c r="A26" t="s">
        <v>155</v>
      </c>
    </row>
    <row r="28" spans="1:9">
      <c r="A28" t="s">
        <v>16</v>
      </c>
    </row>
    <row r="29" spans="1:9">
      <c r="A29" t="s">
        <v>17</v>
      </c>
    </row>
    <row r="30" spans="1:9">
      <c r="A30" t="s">
        <v>18</v>
      </c>
    </row>
    <row r="31" spans="1:9">
      <c r="A31" t="s">
        <v>19</v>
      </c>
    </row>
    <row r="32" spans="1:9">
      <c r="A32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5" spans="1:1">
      <c r="A45" t="s">
        <v>31</v>
      </c>
    </row>
    <row r="46" spans="1:1">
      <c r="A46" t="s">
        <v>156</v>
      </c>
    </row>
    <row r="47" spans="1:1">
      <c r="A47" t="s">
        <v>157</v>
      </c>
    </row>
    <row r="48" spans="1:1">
      <c r="A48" t="s">
        <v>158</v>
      </c>
    </row>
    <row r="49" spans="1:1">
      <c r="A49" t="s">
        <v>159</v>
      </c>
    </row>
    <row r="50" spans="1:1">
      <c r="A50" t="s">
        <v>160</v>
      </c>
    </row>
    <row r="52" spans="1:1">
      <c r="A52" t="s">
        <v>37</v>
      </c>
    </row>
    <row r="53" spans="1:1">
      <c r="A53" t="s">
        <v>38</v>
      </c>
    </row>
    <row r="54" spans="1:1">
      <c r="A54" t="s">
        <v>283</v>
      </c>
    </row>
    <row r="55" spans="1:1">
      <c r="A55" t="s">
        <v>37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28AB-D659-441C-B7DD-B7D6012C010A}">
  <dimension ref="A2:L159"/>
  <sheetViews>
    <sheetView topLeftCell="A34" workbookViewId="0">
      <selection activeCell="A56" sqref="A56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161</v>
      </c>
    </row>
    <row r="3" spans="2:12">
      <c r="B3" t="s">
        <v>2</v>
      </c>
      <c r="C3" t="s">
        <v>246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(100*$F5)/(C$7+$F5)</f>
        <v>33.333333333333336</v>
      </c>
      <c r="H5">
        <f>(100*$F5)/(D$7+$F5)</f>
        <v>33.333333333607889</v>
      </c>
      <c r="I5">
        <f t="shared" ref="I5:I14" si="0">(H5-G5)^2</f>
        <v>7.5379741375735654E-20</v>
      </c>
    </row>
    <row r="6" spans="2:12">
      <c r="C6" t="s">
        <v>8</v>
      </c>
      <c r="D6" t="s">
        <v>9</v>
      </c>
      <c r="F6">
        <v>2</v>
      </c>
      <c r="G6">
        <f t="shared" ref="G6:G14" si="1">(100*$F6)/(C$7+$F6)</f>
        <v>50</v>
      </c>
      <c r="H6">
        <f t="shared" ref="H6:H14" si="2">(100*$F6)/(D$7+$F6)</f>
        <v>50.000000000308873</v>
      </c>
      <c r="I6">
        <f t="shared" si="0"/>
        <v>9.5402485178665437E-20</v>
      </c>
    </row>
    <row r="7" spans="2:12">
      <c r="B7" t="s">
        <v>10</v>
      </c>
      <c r="C7">
        <v>2</v>
      </c>
      <c r="D7">
        <v>1.99999999997529</v>
      </c>
      <c r="F7">
        <v>3</v>
      </c>
      <c r="G7">
        <f t="shared" si="1"/>
        <v>60</v>
      </c>
      <c r="H7">
        <f t="shared" si="2"/>
        <v>60.000000000296524</v>
      </c>
      <c r="I7">
        <f t="shared" si="0"/>
        <v>8.7926301392459904E-20</v>
      </c>
    </row>
    <row r="8" spans="2:12">
      <c r="F8">
        <v>4</v>
      </c>
      <c r="G8">
        <f t="shared" si="1"/>
        <v>66.666666666666671</v>
      </c>
      <c r="H8">
        <f t="shared" si="2"/>
        <v>66.666666666941225</v>
      </c>
      <c r="I8">
        <f t="shared" si="0"/>
        <v>7.5379741375735654E-20</v>
      </c>
    </row>
    <row r="9" spans="2:12">
      <c r="F9">
        <v>5</v>
      </c>
      <c r="G9">
        <f t="shared" si="1"/>
        <v>71.428571428571431</v>
      </c>
      <c r="H9">
        <f t="shared" si="2"/>
        <v>71.428571428823574</v>
      </c>
      <c r="I9">
        <f t="shared" si="0"/>
        <v>6.3576190891630583E-20</v>
      </c>
      <c r="K9">
        <f t="array" ref="K9:L13">LINEST(H$5:H$14,G$5:G$14,1,1)</f>
        <v>0.9999999999976078</v>
      </c>
      <c r="L9">
        <v>4.0300562886841362E-10</v>
      </c>
    </row>
    <row r="10" spans="2:12">
      <c r="F10">
        <v>6</v>
      </c>
      <c r="G10">
        <f t="shared" si="1"/>
        <v>75</v>
      </c>
      <c r="H10">
        <f t="shared" si="2"/>
        <v>75.000000000231651</v>
      </c>
      <c r="I10">
        <f t="shared" si="0"/>
        <v>5.3662251920010685E-20</v>
      </c>
      <c r="K10">
        <v>6.4045418897150075E-13</v>
      </c>
      <c r="L10">
        <v>4.4588970017951317E-11</v>
      </c>
    </row>
    <row r="11" spans="2:12">
      <c r="F11">
        <v>7</v>
      </c>
      <c r="G11">
        <f t="shared" si="1"/>
        <v>77.777777777777771</v>
      </c>
      <c r="H11">
        <f t="shared" si="2"/>
        <v>77.777777777991318</v>
      </c>
      <c r="I11">
        <f t="shared" si="0"/>
        <v>4.5602113558414485E-20</v>
      </c>
      <c r="K11">
        <v>1</v>
      </c>
      <c r="L11">
        <v>3.083457777993427E-11</v>
      </c>
    </row>
    <row r="12" spans="2:12">
      <c r="F12">
        <v>8</v>
      </c>
      <c r="G12">
        <f t="shared" si="1"/>
        <v>80</v>
      </c>
      <c r="H12">
        <f t="shared" si="2"/>
        <v>80.000000000197673</v>
      </c>
      <c r="I12">
        <f t="shared" si="0"/>
        <v>3.9074610615166376E-20</v>
      </c>
      <c r="K12">
        <v>2.4379447483558767E+24</v>
      </c>
      <c r="L12">
        <v>8</v>
      </c>
    </row>
    <row r="13" spans="2:12">
      <c r="F13">
        <v>9</v>
      </c>
      <c r="G13">
        <f t="shared" si="1"/>
        <v>81.818181818181813</v>
      </c>
      <c r="H13">
        <f t="shared" si="2"/>
        <v>81.818181818365602</v>
      </c>
      <c r="I13">
        <f t="shared" si="0"/>
        <v>3.377839065140724E-20</v>
      </c>
      <c r="K13">
        <v>2317.9276219100389</v>
      </c>
      <c r="L13">
        <v>7.6061694949345306E-21</v>
      </c>
    </row>
    <row r="14" spans="2:12">
      <c r="F14">
        <v>10</v>
      </c>
      <c r="G14">
        <f t="shared" si="1"/>
        <v>83.333333333333329</v>
      </c>
      <c r="H14">
        <f t="shared" si="2"/>
        <v>83.333333333504925</v>
      </c>
      <c r="I14">
        <f t="shared" si="0"/>
        <v>2.944521147489674E-20</v>
      </c>
    </row>
    <row r="15" spans="2:12">
      <c r="H15" t="s">
        <v>11</v>
      </c>
      <c r="I15" s="2">
        <f>AVERAGE(I5:I14)</f>
        <v>5.9922703843412271E-20</v>
      </c>
    </row>
    <row r="16" spans="2:12">
      <c r="H16" t="s">
        <v>12</v>
      </c>
      <c r="I16" s="3">
        <f>SQRT(I15)</f>
        <v>2.4479114331080746E-10</v>
      </c>
    </row>
    <row r="17" spans="1:9">
      <c r="H17" t="s">
        <v>13</v>
      </c>
      <c r="I17">
        <f>K11</f>
        <v>1</v>
      </c>
    </row>
    <row r="25" spans="1:9">
      <c r="A25" t="s">
        <v>14</v>
      </c>
    </row>
    <row r="27" spans="1:9">
      <c r="A27" t="s">
        <v>247</v>
      </c>
    </row>
    <row r="29" spans="1:9">
      <c r="A29" t="s">
        <v>16</v>
      </c>
    </row>
    <row r="30" spans="1:9">
      <c r="A30" t="s">
        <v>17</v>
      </c>
    </row>
    <row r="31" spans="1:9">
      <c r="A31" t="s">
        <v>18</v>
      </c>
    </row>
    <row r="32" spans="1:9">
      <c r="A32" t="s">
        <v>19</v>
      </c>
    </row>
    <row r="33" spans="1:1">
      <c r="A33" t="s">
        <v>20</v>
      </c>
    </row>
    <row r="34" spans="1:1">
      <c r="A34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6" spans="1:1">
      <c r="A46" t="s">
        <v>31</v>
      </c>
    </row>
    <row r="47" spans="1:1">
      <c r="A47" t="s">
        <v>162</v>
      </c>
    </row>
    <row r="48" spans="1:1">
      <c r="A48" t="s">
        <v>248</v>
      </c>
    </row>
    <row r="49" spans="1:1">
      <c r="A49" t="s">
        <v>249</v>
      </c>
    </row>
    <row r="50" spans="1:1">
      <c r="A50" t="s">
        <v>250</v>
      </c>
    </row>
    <row r="51" spans="1:1">
      <c r="A51" t="s">
        <v>251</v>
      </c>
    </row>
    <row r="53" spans="1:1">
      <c r="A53" t="s">
        <v>37</v>
      </c>
    </row>
    <row r="54" spans="1:1">
      <c r="A54" t="s">
        <v>38</v>
      </c>
    </row>
    <row r="55" spans="1:1">
      <c r="A55" t="s">
        <v>283</v>
      </c>
    </row>
    <row r="56" spans="1:1">
      <c r="A56" t="s">
        <v>37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253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88</v>
      </c>
    </row>
    <row r="108" spans="1:1">
      <c r="A108" t="s">
        <v>89</v>
      </c>
    </row>
    <row r="109" spans="1:1">
      <c r="A109" t="s">
        <v>90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96</v>
      </c>
    </row>
    <row r="116" spans="1:1">
      <c r="A116" t="s">
        <v>254</v>
      </c>
    </row>
    <row r="117" spans="1:1">
      <c r="A117" t="s">
        <v>97</v>
      </c>
    </row>
    <row r="118" spans="1:1">
      <c r="A118" t="s">
        <v>255</v>
      </c>
    </row>
    <row r="119" spans="1:1">
      <c r="A119" t="s">
        <v>98</v>
      </c>
    </row>
    <row r="120" spans="1:1">
      <c r="A120" t="s">
        <v>256</v>
      </c>
    </row>
    <row r="121" spans="1:1">
      <c r="A121" t="s">
        <v>100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5" spans="1:1">
      <c r="A125" t="s">
        <v>104</v>
      </c>
    </row>
    <row r="126" spans="1:1">
      <c r="A126" t="s">
        <v>105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112</v>
      </c>
    </row>
    <row r="134" spans="1:1">
      <c r="A134" t="s">
        <v>113</v>
      </c>
    </row>
    <row r="135" spans="1:1">
      <c r="A135" t="s">
        <v>257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258</v>
      </c>
    </row>
    <row r="145" spans="1:1">
      <c r="A145" t="s">
        <v>259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260</v>
      </c>
    </row>
    <row r="151" spans="1:1">
      <c r="A151" t="s">
        <v>129</v>
      </c>
    </row>
    <row r="152" spans="1:1">
      <c r="A152" t="s">
        <v>261</v>
      </c>
    </row>
    <row r="153" spans="1:1">
      <c r="A153" t="s">
        <v>130</v>
      </c>
    </row>
    <row r="154" spans="1:1">
      <c r="A154" t="s">
        <v>262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263</v>
      </c>
    </row>
  </sheetData>
  <pageMargins left="0" right="0" top="0.39370000000000005" bottom="0.39370000000000005" header="0" footer="0"/>
  <pageSetup paperSize="9" fitToWidth="0" fitToHeight="0" orientation="portrait" r:id="rId1"/>
  <headerFooter>
    <oddHeader>&amp;C&amp;A</oddHeader>
    <oddFooter>&amp;CStrona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153"/>
  <sheetViews>
    <sheetView topLeftCell="A31" workbookViewId="0">
      <selection activeCell="A56" sqref="A56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163</v>
      </c>
    </row>
    <row r="3" spans="2:12">
      <c r="B3" t="s">
        <v>2</v>
      </c>
      <c r="C3" t="s">
        <v>164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100*(1-EXP(-(($F5^C$7))/C$8))</f>
        <v>39.346934028736655</v>
      </c>
      <c r="H5">
        <f>100*(1-EXP(-(($F5^D$7))/D$8))</f>
        <v>39.346934026656413</v>
      </c>
      <c r="I5">
        <f t="shared" ref="I5:I14" si="0">(H5-G5)^2</f>
        <v>4.3274057660276095E-18</v>
      </c>
    </row>
    <row r="6" spans="2:12">
      <c r="C6" t="s">
        <v>8</v>
      </c>
      <c r="D6" t="s">
        <v>9</v>
      </c>
      <c r="F6">
        <v>2</v>
      </c>
      <c r="G6">
        <f t="shared" ref="G6:G14" si="1">100*(1-EXP(-(($F6^C$7))/C$8))</f>
        <v>50.693130860476018</v>
      </c>
      <c r="H6">
        <f t="shared" ref="H6:H14" si="2">100*(1-EXP(-(($F6^D$7))/D$8))</f>
        <v>50.693130858906621</v>
      </c>
      <c r="I6">
        <f t="shared" si="0"/>
        <v>2.4630071217525313E-18</v>
      </c>
    </row>
    <row r="7" spans="2:12">
      <c r="B7" t="s">
        <v>165</v>
      </c>
      <c r="C7">
        <v>0.5</v>
      </c>
      <c r="D7">
        <v>0.50000000003402101</v>
      </c>
      <c r="F7">
        <v>3</v>
      </c>
      <c r="G7">
        <f t="shared" si="1"/>
        <v>57.937997394588514</v>
      </c>
      <c r="H7">
        <f t="shared" si="2"/>
        <v>57.937997393451312</v>
      </c>
      <c r="I7">
        <f t="shared" si="0"/>
        <v>1.2932291445930346E-18</v>
      </c>
    </row>
    <row r="8" spans="2:12">
      <c r="B8" t="s">
        <v>166</v>
      </c>
      <c r="C8">
        <v>2</v>
      </c>
      <c r="D8">
        <v>2.0000000001371898</v>
      </c>
      <c r="F8">
        <v>4</v>
      </c>
      <c r="G8">
        <f t="shared" si="1"/>
        <v>63.212055882855765</v>
      </c>
      <c r="H8">
        <f t="shared" si="2"/>
        <v>63.212055882067332</v>
      </c>
      <c r="I8">
        <f t="shared" si="0"/>
        <v>6.216256973917945E-19</v>
      </c>
    </row>
    <row r="9" spans="2:12">
      <c r="F9">
        <v>5</v>
      </c>
      <c r="G9">
        <f t="shared" si="1"/>
        <v>67.307810464824215</v>
      </c>
      <c r="H9">
        <f t="shared" si="2"/>
        <v>67.307810464318322</v>
      </c>
      <c r="I9">
        <f t="shared" si="0"/>
        <v>2.5592693522772754E-19</v>
      </c>
      <c r="K9">
        <f t="array" ref="K9:L13">LINEST(H$5:H$14,G$5:G$14,1,1)</f>
        <v>1.0000000000618037</v>
      </c>
      <c r="L9">
        <v>-4.6342165660462342E-9</v>
      </c>
    </row>
    <row r="10" spans="2:12">
      <c r="F10">
        <v>6</v>
      </c>
      <c r="G10">
        <f t="shared" si="1"/>
        <v>70.616734412192699</v>
      </c>
      <c r="H10">
        <f t="shared" si="2"/>
        <v>70.616734411917847</v>
      </c>
      <c r="I10">
        <f t="shared" si="0"/>
        <v>7.5543699437967139E-20</v>
      </c>
      <c r="K10">
        <v>1.7256308355514059E-12</v>
      </c>
      <c r="L10">
        <v>1.1503920260689766E-10</v>
      </c>
    </row>
    <row r="11" spans="2:12">
      <c r="F11">
        <v>7</v>
      </c>
      <c r="G11">
        <f t="shared" si="1"/>
        <v>73.363178367747111</v>
      </c>
      <c r="H11">
        <f t="shared" si="2"/>
        <v>73.363178367662769</v>
      </c>
      <c r="I11">
        <f t="shared" si="0"/>
        <v>7.1134755889174002E-21</v>
      </c>
      <c r="K11">
        <v>1</v>
      </c>
      <c r="L11">
        <v>6.6904021653791159E-11</v>
      </c>
    </row>
    <row r="12" spans="2:12">
      <c r="F12">
        <v>8</v>
      </c>
      <c r="G12">
        <f t="shared" si="1"/>
        <v>75.688326556578573</v>
      </c>
      <c r="H12">
        <f t="shared" si="2"/>
        <v>75.688326556652484</v>
      </c>
      <c r="I12">
        <f t="shared" si="0"/>
        <v>5.4627849777795489E-21</v>
      </c>
      <c r="K12">
        <v>3.3581818865060737E+23</v>
      </c>
      <c r="L12">
        <v>8</v>
      </c>
    </row>
    <row r="13" spans="2:12">
      <c r="F13">
        <v>9</v>
      </c>
      <c r="G13">
        <f t="shared" si="1"/>
        <v>77.686983985157028</v>
      </c>
      <c r="H13">
        <f t="shared" si="2"/>
        <v>77.686983985363085</v>
      </c>
      <c r="I13">
        <f t="shared" si="0"/>
        <v>4.2459649362615739E-20</v>
      </c>
      <c r="K13">
        <v>1503.1719515909338</v>
      </c>
      <c r="L13">
        <v>3.5809184907607657E-20</v>
      </c>
    </row>
    <row r="14" spans="2:12">
      <c r="F14">
        <v>10</v>
      </c>
      <c r="G14">
        <f t="shared" si="1"/>
        <v>79.425933891618556</v>
      </c>
      <c r="H14">
        <f t="shared" si="2"/>
        <v>79.425933891935443</v>
      </c>
      <c r="I14">
        <f t="shared" si="0"/>
        <v>1.0041790903036032E-19</v>
      </c>
    </row>
    <row r="15" spans="2:12">
      <c r="H15" t="s">
        <v>11</v>
      </c>
      <c r="I15" s="2">
        <f>AVERAGE(I5:I14)</f>
        <v>9.192192183390338E-19</v>
      </c>
    </row>
    <row r="16" spans="2:12">
      <c r="H16" t="s">
        <v>12</v>
      </c>
      <c r="I16" s="3">
        <f>SQRT(I15)</f>
        <v>9.5875920769452532E-10</v>
      </c>
    </row>
    <row r="17" spans="1:9">
      <c r="H17" t="s">
        <v>13</v>
      </c>
      <c r="I17">
        <f>K11</f>
        <v>1</v>
      </c>
    </row>
    <row r="25" spans="1:9">
      <c r="A25" t="s">
        <v>14</v>
      </c>
    </row>
    <row r="27" spans="1:9">
      <c r="A27" t="s">
        <v>167</v>
      </c>
    </row>
    <row r="29" spans="1:9">
      <c r="A29" t="s">
        <v>16</v>
      </c>
    </row>
    <row r="30" spans="1:9">
      <c r="A30" t="s">
        <v>17</v>
      </c>
    </row>
    <row r="31" spans="1:9">
      <c r="A31" t="s">
        <v>18</v>
      </c>
    </row>
    <row r="32" spans="1:9">
      <c r="A32" t="s">
        <v>19</v>
      </c>
    </row>
    <row r="33" spans="1:1">
      <c r="A33" t="s">
        <v>20</v>
      </c>
    </row>
    <row r="34" spans="1:1">
      <c r="A34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6" spans="1:1">
      <c r="A46" t="s">
        <v>31</v>
      </c>
    </row>
    <row r="47" spans="1:1">
      <c r="A47" t="s">
        <v>168</v>
      </c>
    </row>
    <row r="48" spans="1:1">
      <c r="A48" t="s">
        <v>169</v>
      </c>
    </row>
    <row r="49" spans="1:1">
      <c r="A49" t="s">
        <v>170</v>
      </c>
    </row>
    <row r="50" spans="1:1">
      <c r="A50" t="s">
        <v>171</v>
      </c>
    </row>
    <row r="51" spans="1:1">
      <c r="A51" t="s">
        <v>172</v>
      </c>
    </row>
    <row r="53" spans="1:1">
      <c r="A53" t="s">
        <v>37</v>
      </c>
    </row>
    <row r="54" spans="1:1">
      <c r="A54" t="s">
        <v>38</v>
      </c>
    </row>
    <row r="55" spans="1:1">
      <c r="A55" t="s">
        <v>283</v>
      </c>
    </row>
    <row r="56" spans="1:1">
      <c r="A56" t="s">
        <v>37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108</v>
      </c>
    </row>
    <row r="127" spans="1:1">
      <c r="A127" t="s">
        <v>109</v>
      </c>
    </row>
    <row r="128" spans="1:1">
      <c r="A128" t="s">
        <v>110</v>
      </c>
    </row>
    <row r="129" spans="1:1">
      <c r="A129" t="s">
        <v>111</v>
      </c>
    </row>
    <row r="130" spans="1:1">
      <c r="A130" t="s">
        <v>112</v>
      </c>
    </row>
    <row r="131" spans="1:1">
      <c r="A131" t="s">
        <v>113</v>
      </c>
    </row>
    <row r="132" spans="1:1">
      <c r="A132" t="s">
        <v>114</v>
      </c>
    </row>
    <row r="133" spans="1:1">
      <c r="A133" t="s">
        <v>115</v>
      </c>
    </row>
    <row r="134" spans="1:1">
      <c r="A134" t="s">
        <v>116</v>
      </c>
    </row>
    <row r="135" spans="1:1">
      <c r="A135" t="s">
        <v>117</v>
      </c>
    </row>
    <row r="136" spans="1:1">
      <c r="A136" t="s">
        <v>118</v>
      </c>
    </row>
    <row r="137" spans="1:1">
      <c r="A137" t="s">
        <v>119</v>
      </c>
    </row>
    <row r="138" spans="1:1">
      <c r="A138" t="s">
        <v>120</v>
      </c>
    </row>
    <row r="139" spans="1:1">
      <c r="A139" t="s">
        <v>121</v>
      </c>
    </row>
    <row r="140" spans="1:1">
      <c r="A140" t="s">
        <v>122</v>
      </c>
    </row>
    <row r="141" spans="1:1">
      <c r="A141" t="s">
        <v>123</v>
      </c>
    </row>
    <row r="142" spans="1:1">
      <c r="A142" t="s">
        <v>124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52A7-EBAC-441E-89C7-3CFA5C1BF41E}">
  <dimension ref="A2:L157"/>
  <sheetViews>
    <sheetView workbookViewId="0">
      <selection activeCell="F5" sqref="F5:G14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173</v>
      </c>
    </row>
    <row r="3" spans="2:12">
      <c r="B3" t="s">
        <v>2</v>
      </c>
      <c r="C3" t="s">
        <v>285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100*(C$7*(1-EXP(-(($F5^(C$8)))/C$9))+C$10*(1-EXP(-(($F5^(C$11)))/C$12)))</f>
        <v>42.11360030340483</v>
      </c>
      <c r="H5">
        <f>100*(D$7*(1-EXP(-(($F5^D$8))/D$9))+D$10*(1-EXP(-(($F5^D$11))/D$12)))</f>
        <v>41.931554346397867</v>
      </c>
      <c r="I5">
        <f t="shared" ref="I5:I14" si="0">(H5-G5)^2</f>
        <v>3.3140730462581029E-2</v>
      </c>
    </row>
    <row r="6" spans="2:12">
      <c r="C6" t="s">
        <v>8</v>
      </c>
      <c r="D6" t="s">
        <v>9</v>
      </c>
      <c r="F6">
        <v>2</v>
      </c>
      <c r="G6">
        <f t="shared" ref="G6:G14" si="1">100*(C$7*(1-EXP(-(($F6^(C$8)))/C$9))+C$10*(1-EXP(-(($F6^(C$11)))/C$12)))</f>
        <v>53.888545260426149</v>
      </c>
      <c r="H6">
        <f t="shared" ref="G6:H14" si="2">100*(D$7*(1-EXP(-(($F6^D$8))/D$9))+D$10*(1-EXP(-(($F6^D$11))/D$12)))</f>
        <v>53.370614700565042</v>
      </c>
      <c r="I6">
        <f t="shared" si="0"/>
        <v>0.26825206483803932</v>
      </c>
    </row>
    <row r="7" spans="2:12">
      <c r="B7" t="s">
        <v>138</v>
      </c>
      <c r="C7">
        <v>3</v>
      </c>
      <c r="D7">
        <v>3.946577</v>
      </c>
      <c r="F7">
        <v>3</v>
      </c>
      <c r="G7">
        <f t="shared" si="1"/>
        <v>62.099335283837554</v>
      </c>
      <c r="H7">
        <f t="shared" si="2"/>
        <v>61.498843033090303</v>
      </c>
      <c r="I7">
        <f t="shared" si="0"/>
        <v>0.3605909432074999</v>
      </c>
    </row>
    <row r="8" spans="2:12">
      <c r="B8" t="s">
        <v>174</v>
      </c>
      <c r="C8">
        <v>0.3</v>
      </c>
      <c r="D8">
        <v>0.22051970000000001</v>
      </c>
      <c r="F8">
        <v>4</v>
      </c>
      <c r="G8">
        <f t="shared" si="1"/>
        <v>68.565443183056871</v>
      </c>
      <c r="H8">
        <f t="shared" si="2"/>
        <v>67.949855656511929</v>
      </c>
      <c r="I8">
        <f t="shared" si="0"/>
        <v>0.37894800283772018</v>
      </c>
    </row>
    <row r="9" spans="2:12">
      <c r="B9" t="s">
        <v>177</v>
      </c>
      <c r="C9">
        <v>12</v>
      </c>
      <c r="D9">
        <v>14.750019999999999</v>
      </c>
      <c r="F9">
        <v>5</v>
      </c>
      <c r="G9">
        <f t="shared" si="1"/>
        <v>73.958836159487277</v>
      </c>
      <c r="H9">
        <f t="shared" si="2"/>
        <v>73.342946421130407</v>
      </c>
      <c r="I9">
        <f t="shared" si="0"/>
        <v>0.37932016981329381</v>
      </c>
      <c r="K9">
        <f t="array" ref="K9:L13">LINEST(H$5:H$14,G$5:G$14,1,1)</f>
        <v>0.99128153024163179</v>
      </c>
      <c r="L9">
        <v>4.223523968849463E-2</v>
      </c>
    </row>
    <row r="10" spans="2:12">
      <c r="B10" t="s">
        <v>175</v>
      </c>
      <c r="C10">
        <v>1</v>
      </c>
      <c r="D10">
        <v>0.90673579999999998</v>
      </c>
      <c r="F10">
        <v>6</v>
      </c>
      <c r="G10">
        <f t="shared" si="1"/>
        <v>78.613209205984148</v>
      </c>
      <c r="H10">
        <f t="shared" si="2"/>
        <v>77.992618315556513</v>
      </c>
      <c r="I10">
        <f t="shared" si="0"/>
        <v>0.38513305328176561</v>
      </c>
      <c r="K10">
        <v>1.559042062810079E-3</v>
      </c>
      <c r="L10">
        <v>0.11652971831698127</v>
      </c>
    </row>
    <row r="11" spans="2:12">
      <c r="B11" t="s">
        <v>176</v>
      </c>
      <c r="C11">
        <v>0.5</v>
      </c>
      <c r="D11">
        <v>0.61409879999999994</v>
      </c>
      <c r="F11">
        <v>7</v>
      </c>
      <c r="G11">
        <f t="shared" si="1"/>
        <v>82.721882823489508</v>
      </c>
      <c r="H11">
        <f t="shared" si="2"/>
        <v>82.084655082468743</v>
      </c>
      <c r="I11">
        <f t="shared" si="0"/>
        <v>0.40605919392642825</v>
      </c>
      <c r="K11">
        <v>0.9999802119486163</v>
      </c>
      <c r="L11">
        <v>7.6982760216458043E-2</v>
      </c>
    </row>
    <row r="12" spans="2:12">
      <c r="B12" t="s">
        <v>178</v>
      </c>
      <c r="C12">
        <v>5</v>
      </c>
      <c r="D12">
        <v>5.1289939999999996</v>
      </c>
      <c r="F12">
        <v>8</v>
      </c>
      <c r="G12">
        <f t="shared" si="1"/>
        <v>86.408217732677755</v>
      </c>
      <c r="H12">
        <f t="shared" si="2"/>
        <v>85.739653171685063</v>
      </c>
      <c r="I12">
        <f t="shared" si="0"/>
        <v>0.44697857221535131</v>
      </c>
      <c r="K12">
        <v>404276.3757016132</v>
      </c>
      <c r="L12">
        <v>8</v>
      </c>
    </row>
    <row r="13" spans="2:12">
      <c r="F13">
        <v>9</v>
      </c>
      <c r="G13">
        <f t="shared" si="1"/>
        <v>89.756370456433771</v>
      </c>
      <c r="H13">
        <f t="shared" si="2"/>
        <v>89.041138427034497</v>
      </c>
      <c r="I13">
        <f t="shared" si="0"/>
        <v>0.51155685587860455</v>
      </c>
      <c r="K13">
        <v>2395.8814275598352</v>
      </c>
      <c r="L13">
        <v>4.7410762964357402E-2</v>
      </c>
    </row>
    <row r="14" spans="2:12">
      <c r="F14">
        <v>10</v>
      </c>
      <c r="G14">
        <f t="shared" si="1"/>
        <v>92.82664273048529</v>
      </c>
      <c r="H14">
        <f t="shared" si="2"/>
        <v>92.04977275006145</v>
      </c>
      <c r="I14">
        <f t="shared" si="0"/>
        <v>0.60352696648373672</v>
      </c>
    </row>
    <row r="15" spans="2:12">
      <c r="H15" t="s">
        <v>11</v>
      </c>
      <c r="I15" s="2">
        <f>AVERAGE(I5:I14)</f>
        <v>0.37735065529450201</v>
      </c>
    </row>
    <row r="16" spans="2:12">
      <c r="H16" t="s">
        <v>12</v>
      </c>
      <c r="I16" s="3">
        <f>SQRT(I15)</f>
        <v>0.61428873935186379</v>
      </c>
    </row>
    <row r="17" spans="1:9">
      <c r="H17" t="s">
        <v>13</v>
      </c>
      <c r="I17">
        <f>K11</f>
        <v>0.9999802119486163</v>
      </c>
    </row>
    <row r="23" spans="1:9">
      <c r="A23" t="s">
        <v>14</v>
      </c>
    </row>
    <row r="25" spans="1:9">
      <c r="A25" t="s">
        <v>286</v>
      </c>
    </row>
    <row r="27" spans="1:9">
      <c r="A27" t="s">
        <v>16</v>
      </c>
    </row>
    <row r="28" spans="1:9">
      <c r="A28" t="s">
        <v>17</v>
      </c>
    </row>
    <row r="29" spans="1:9">
      <c r="A29" t="s">
        <v>18</v>
      </c>
    </row>
    <row r="30" spans="1:9">
      <c r="A30" t="s">
        <v>19</v>
      </c>
    </row>
    <row r="31" spans="1:9">
      <c r="A31" t="s">
        <v>20</v>
      </c>
    </row>
    <row r="32" spans="1:9">
      <c r="A32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4" spans="1:1">
      <c r="A44" t="s">
        <v>31</v>
      </c>
    </row>
    <row r="45" spans="1:1">
      <c r="A45" t="s">
        <v>179</v>
      </c>
    </row>
    <row r="46" spans="1:1">
      <c r="A46" t="s">
        <v>180</v>
      </c>
    </row>
    <row r="47" spans="1:1">
      <c r="A47" t="s">
        <v>287</v>
      </c>
    </row>
    <row r="48" spans="1:1">
      <c r="A48" t="s">
        <v>288</v>
      </c>
    </row>
    <row r="49" spans="1:1">
      <c r="A49" t="s">
        <v>289</v>
      </c>
    </row>
    <row r="51" spans="1:1">
      <c r="A51" t="s">
        <v>37</v>
      </c>
    </row>
    <row r="52" spans="1:1">
      <c r="A52" t="s">
        <v>38</v>
      </c>
    </row>
    <row r="53" spans="1:1">
      <c r="A53" t="s">
        <v>252</v>
      </c>
    </row>
    <row r="54" spans="1:1">
      <c r="A54" t="s">
        <v>37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52</v>
      </c>
    </row>
    <row r="69" spans="1:1">
      <c r="A69" t="s">
        <v>53</v>
      </c>
    </row>
    <row r="70" spans="1:1">
      <c r="A70" t="s">
        <v>54</v>
      </c>
    </row>
    <row r="71" spans="1:1">
      <c r="A71" t="s">
        <v>55</v>
      </c>
    </row>
    <row r="72" spans="1:1">
      <c r="A72" t="s">
        <v>56</v>
      </c>
    </row>
    <row r="73" spans="1:1">
      <c r="A73" t="s">
        <v>57</v>
      </c>
    </row>
    <row r="74" spans="1:1">
      <c r="A74" t="s">
        <v>58</v>
      </c>
    </row>
    <row r="75" spans="1:1">
      <c r="A75" t="s">
        <v>59</v>
      </c>
    </row>
    <row r="76" spans="1:1">
      <c r="A76" t="s">
        <v>60</v>
      </c>
    </row>
    <row r="77" spans="1:1">
      <c r="A77" t="s">
        <v>61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253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254</v>
      </c>
    </row>
    <row r="115" spans="1:1">
      <c r="A115" t="s">
        <v>97</v>
      </c>
    </row>
    <row r="116" spans="1:1">
      <c r="A116" t="s">
        <v>255</v>
      </c>
    </row>
    <row r="117" spans="1:1">
      <c r="A117" t="s">
        <v>98</v>
      </c>
    </row>
    <row r="118" spans="1:1">
      <c r="A118" t="s">
        <v>256</v>
      </c>
    </row>
    <row r="119" spans="1:1">
      <c r="A119" t="s">
        <v>100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109</v>
      </c>
    </row>
    <row r="129" spans="1:1">
      <c r="A129" t="s">
        <v>110</v>
      </c>
    </row>
    <row r="130" spans="1:1">
      <c r="A130" t="s">
        <v>111</v>
      </c>
    </row>
    <row r="131" spans="1:1">
      <c r="A131" t="s">
        <v>112</v>
      </c>
    </row>
    <row r="132" spans="1:1">
      <c r="A132" t="s">
        <v>113</v>
      </c>
    </row>
    <row r="133" spans="1:1">
      <c r="A133" t="s">
        <v>257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258</v>
      </c>
    </row>
    <row r="143" spans="1:1">
      <c r="A143" t="s">
        <v>259</v>
      </c>
    </row>
    <row r="144" spans="1:1">
      <c r="A144" t="s">
        <v>124</v>
      </c>
    </row>
    <row r="145" spans="1:1">
      <c r="A145" t="s">
        <v>125</v>
      </c>
    </row>
    <row r="146" spans="1:1">
      <c r="A146" t="s">
        <v>126</v>
      </c>
    </row>
    <row r="147" spans="1:1">
      <c r="A147" t="s">
        <v>127</v>
      </c>
    </row>
    <row r="148" spans="1:1">
      <c r="A148" t="s">
        <v>260</v>
      </c>
    </row>
    <row r="149" spans="1:1">
      <c r="A149" t="s">
        <v>129</v>
      </c>
    </row>
    <row r="150" spans="1:1">
      <c r="A150" t="s">
        <v>261</v>
      </c>
    </row>
    <row r="151" spans="1:1">
      <c r="A151" t="s">
        <v>130</v>
      </c>
    </row>
    <row r="152" spans="1:1">
      <c r="A152" t="s">
        <v>262</v>
      </c>
    </row>
    <row r="153" spans="1:1">
      <c r="A153" t="s">
        <v>131</v>
      </c>
    </row>
    <row r="154" spans="1:1">
      <c r="A154" t="s">
        <v>132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268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153"/>
  <sheetViews>
    <sheetView topLeftCell="A37" workbookViewId="0">
      <selection activeCell="A56" sqref="A56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183</v>
      </c>
    </row>
    <row r="3" spans="2:12">
      <c r="B3" t="s">
        <v>2</v>
      </c>
      <c r="C3" t="s">
        <v>182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C$7*$F5^(1/2)</f>
        <v>29</v>
      </c>
      <c r="H5">
        <f>D$7*$F5^(1/2)</f>
        <v>28.996920537047998</v>
      </c>
      <c r="I5">
        <f t="shared" ref="I5:I14" si="0">(H5-G5)^2</f>
        <v>9.4830920727508828E-6</v>
      </c>
    </row>
    <row r="6" spans="2:12">
      <c r="C6" t="s">
        <v>8</v>
      </c>
      <c r="D6" t="s">
        <v>9</v>
      </c>
      <c r="F6">
        <v>2</v>
      </c>
      <c r="G6">
        <f t="shared" ref="G6:G14" si="1">C$7*$F6^(1/2)</f>
        <v>41.012193308819761</v>
      </c>
      <c r="H6">
        <f t="shared" ref="H6:H14" si="2">D$7*$F6^(1/2)</f>
        <v>41.007838290548214</v>
      </c>
      <c r="I6">
        <f t="shared" si="0"/>
        <v>1.896618414550286E-5</v>
      </c>
    </row>
    <row r="7" spans="2:12">
      <c r="B7" t="s">
        <v>10</v>
      </c>
      <c r="C7">
        <v>29</v>
      </c>
      <c r="D7">
        <v>28.996920537047998</v>
      </c>
      <c r="F7">
        <v>3</v>
      </c>
      <c r="G7">
        <f t="shared" si="1"/>
        <v>50.229473419497438</v>
      </c>
      <c r="H7">
        <f t="shared" si="2"/>
        <v>50.224139633204544</v>
      </c>
      <c r="I7">
        <f t="shared" si="0"/>
        <v>2.8449276218265632E-5</v>
      </c>
    </row>
    <row r="8" spans="2:12">
      <c r="F8">
        <v>4</v>
      </c>
      <c r="G8">
        <f t="shared" si="1"/>
        <v>58</v>
      </c>
      <c r="H8">
        <f t="shared" si="2"/>
        <v>57.993841074095997</v>
      </c>
      <c r="I8">
        <f t="shared" si="0"/>
        <v>3.7932368291003531E-5</v>
      </c>
    </row>
    <row r="9" spans="2:12">
      <c r="F9">
        <v>5</v>
      </c>
      <c r="G9">
        <f t="shared" si="1"/>
        <v>64.845971347493901</v>
      </c>
      <c r="H9">
        <f t="shared" si="2"/>
        <v>64.839085458999037</v>
      </c>
      <c r="I9">
        <f t="shared" si="0"/>
        <v>4.7415460363699499E-5</v>
      </c>
      <c r="K9">
        <f t="array" ref="K9:L13">LINEST(H$5:H$14,G$5:G$14,1,1)</f>
        <v>0.99989381162234481</v>
      </c>
      <c r="L9">
        <v>1.4210854715202004E-14</v>
      </c>
    </row>
    <row r="10" spans="2:12">
      <c r="F10">
        <v>6</v>
      </c>
      <c r="G10">
        <f t="shared" si="1"/>
        <v>71.035202540712163</v>
      </c>
      <c r="H10">
        <f t="shared" si="2"/>
        <v>71.027659427797943</v>
      </c>
      <c r="I10">
        <f t="shared" si="0"/>
        <v>5.6898552436676668E-5</v>
      </c>
      <c r="K10">
        <v>1.2940917240160111E-16</v>
      </c>
      <c r="L10">
        <v>8.8012509146235672E-15</v>
      </c>
    </row>
    <row r="11" spans="2:12">
      <c r="F11">
        <v>7</v>
      </c>
      <c r="G11">
        <f t="shared" si="1"/>
        <v>76.72678802087313</v>
      </c>
      <c r="H11">
        <f t="shared" si="2"/>
        <v>76.7186405277305</v>
      </c>
      <c r="I11">
        <f t="shared" si="0"/>
        <v>6.6381644509202369E-5</v>
      </c>
      <c r="K11">
        <v>1</v>
      </c>
      <c r="L11">
        <v>7.9766260026863628E-15</v>
      </c>
    </row>
    <row r="12" spans="2:12">
      <c r="F12">
        <v>8</v>
      </c>
      <c r="G12">
        <f t="shared" si="1"/>
        <v>82.024386617639522</v>
      </c>
      <c r="H12">
        <f t="shared" si="2"/>
        <v>82.015676581096429</v>
      </c>
      <c r="I12">
        <f t="shared" si="0"/>
        <v>7.586473658201144E-5</v>
      </c>
      <c r="K12">
        <v>5.9700455049394517E+31</v>
      </c>
      <c r="L12">
        <v>8</v>
      </c>
    </row>
    <row r="13" spans="2:12">
      <c r="F13">
        <v>9</v>
      </c>
      <c r="G13">
        <f t="shared" si="1"/>
        <v>87</v>
      </c>
      <c r="H13">
        <f t="shared" si="2"/>
        <v>86.990761611143995</v>
      </c>
      <c r="I13">
        <f t="shared" si="0"/>
        <v>8.5347828654757938E-5</v>
      </c>
      <c r="K13">
        <v>3798.5347277166038</v>
      </c>
      <c r="L13">
        <v>5.0901249909385787E-28</v>
      </c>
    </row>
    <row r="14" spans="2:12">
      <c r="F14">
        <v>10</v>
      </c>
      <c r="G14">
        <f t="shared" si="1"/>
        <v>91.706052144883003</v>
      </c>
      <c r="H14">
        <f t="shared" si="2"/>
        <v>91.69631402798457</v>
      </c>
      <c r="I14">
        <f t="shared" si="0"/>
        <v>9.4830920727541205E-5</v>
      </c>
    </row>
    <row r="15" spans="2:12">
      <c r="H15" t="s">
        <v>11</v>
      </c>
      <c r="I15" s="2">
        <f>AVERAGE(I5:I14)</f>
        <v>5.2157006400141209E-5</v>
      </c>
    </row>
    <row r="16" spans="2:12">
      <c r="H16" t="s">
        <v>12</v>
      </c>
      <c r="I16" s="3">
        <f>SQRT(I15)</f>
        <v>7.2219807809313094E-3</v>
      </c>
    </row>
    <row r="17" spans="1:9">
      <c r="H17" t="s">
        <v>13</v>
      </c>
      <c r="I17">
        <f>K11</f>
        <v>1</v>
      </c>
    </row>
    <row r="25" spans="1:9">
      <c r="A25" t="s">
        <v>14</v>
      </c>
    </row>
    <row r="27" spans="1:9">
      <c r="A27" t="s">
        <v>184</v>
      </c>
    </row>
    <row r="29" spans="1:9">
      <c r="A29" t="s">
        <v>16</v>
      </c>
    </row>
    <row r="30" spans="1:9">
      <c r="A30" t="s">
        <v>17</v>
      </c>
    </row>
    <row r="31" spans="1:9">
      <c r="A31" t="s">
        <v>18</v>
      </c>
    </row>
    <row r="32" spans="1:9">
      <c r="A32" t="s">
        <v>19</v>
      </c>
    </row>
    <row r="33" spans="1:1">
      <c r="A33" t="s">
        <v>20</v>
      </c>
    </row>
    <row r="34" spans="1:1">
      <c r="A34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6" spans="1:1">
      <c r="A46" t="s">
        <v>31</v>
      </c>
    </row>
    <row r="47" spans="1:1">
      <c r="A47" t="s">
        <v>185</v>
      </c>
    </row>
    <row r="48" spans="1:1">
      <c r="A48" t="s">
        <v>186</v>
      </c>
    </row>
    <row r="49" spans="1:1">
      <c r="A49" t="s">
        <v>187</v>
      </c>
    </row>
    <row r="50" spans="1:1">
      <c r="A50" t="s">
        <v>188</v>
      </c>
    </row>
    <row r="51" spans="1:1">
      <c r="A51" t="s">
        <v>189</v>
      </c>
    </row>
    <row r="53" spans="1:1">
      <c r="A53" t="s">
        <v>37</v>
      </c>
    </row>
    <row r="54" spans="1:1">
      <c r="A54" t="s">
        <v>38</v>
      </c>
    </row>
    <row r="55" spans="1:1">
      <c r="A55" t="s">
        <v>283</v>
      </c>
    </row>
    <row r="56" spans="1:1">
      <c r="A56" t="s">
        <v>37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108</v>
      </c>
    </row>
    <row r="127" spans="1:1">
      <c r="A127" t="s">
        <v>109</v>
      </c>
    </row>
    <row r="128" spans="1:1">
      <c r="A128" t="s">
        <v>110</v>
      </c>
    </row>
    <row r="129" spans="1:1">
      <c r="A129" t="s">
        <v>111</v>
      </c>
    </row>
    <row r="130" spans="1:1">
      <c r="A130" t="s">
        <v>112</v>
      </c>
    </row>
    <row r="131" spans="1:1">
      <c r="A131" t="s">
        <v>113</v>
      </c>
    </row>
    <row r="132" spans="1:1">
      <c r="A132" t="s">
        <v>114</v>
      </c>
    </row>
    <row r="133" spans="1:1">
      <c r="A133" t="s">
        <v>115</v>
      </c>
    </row>
    <row r="134" spans="1:1">
      <c r="A134" t="s">
        <v>116</v>
      </c>
    </row>
    <row r="135" spans="1:1">
      <c r="A135" t="s">
        <v>117</v>
      </c>
    </row>
    <row r="136" spans="1:1">
      <c r="A136" t="s">
        <v>118</v>
      </c>
    </row>
    <row r="137" spans="1:1">
      <c r="A137" t="s">
        <v>119</v>
      </c>
    </row>
    <row r="138" spans="1:1">
      <c r="A138" t="s">
        <v>120</v>
      </c>
    </row>
    <row r="139" spans="1:1">
      <c r="A139" t="s">
        <v>121</v>
      </c>
    </row>
    <row r="140" spans="1:1">
      <c r="A140" t="s">
        <v>122</v>
      </c>
    </row>
    <row r="141" spans="1:1">
      <c r="A141" t="s">
        <v>123</v>
      </c>
    </row>
    <row r="142" spans="1:1">
      <c r="A142" t="s">
        <v>124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181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D8A6-1B07-45B8-B81C-6393A1A1A971}">
  <dimension ref="A2:L151"/>
  <sheetViews>
    <sheetView topLeftCell="A31" workbookViewId="0">
      <selection activeCell="A54" sqref="A54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190</v>
      </c>
    </row>
    <row r="3" spans="2:12">
      <c r="B3" t="s">
        <v>2</v>
      </c>
      <c r="C3" t="s">
        <v>191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100*(1-(1-C$7*$F5)^3)</f>
        <v>22.131199999999996</v>
      </c>
      <c r="H5">
        <f>100*(1-(1-D$7*$F5)^3)</f>
        <v>22.131199999999996</v>
      </c>
      <c r="I5">
        <f t="shared" ref="I5:I14" si="0">(H5-G5)^2</f>
        <v>0</v>
      </c>
    </row>
    <row r="6" spans="2:12">
      <c r="C6" t="s">
        <v>8</v>
      </c>
      <c r="D6" t="s">
        <v>9</v>
      </c>
      <c r="F6">
        <v>2</v>
      </c>
      <c r="G6">
        <f t="shared" ref="G6:G14" si="1">100*(1-(1-C$7*$F6)^3)</f>
        <v>40.729600000000012</v>
      </c>
      <c r="H6">
        <f t="shared" ref="H6:H14" si="2">100*(1-(1-D$7*$F6)^3)</f>
        <v>40.729600000000012</v>
      </c>
      <c r="I6">
        <f t="shared" si="0"/>
        <v>0</v>
      </c>
    </row>
    <row r="7" spans="2:12">
      <c r="B7" t="s">
        <v>10</v>
      </c>
      <c r="C7">
        <v>0.08</v>
      </c>
      <c r="D7">
        <v>0.08</v>
      </c>
      <c r="F7">
        <v>3</v>
      </c>
      <c r="G7">
        <f t="shared" si="1"/>
        <v>56.102399999999996</v>
      </c>
      <c r="H7">
        <f t="shared" si="2"/>
        <v>56.102399999999996</v>
      </c>
      <c r="I7">
        <f t="shared" si="0"/>
        <v>0</v>
      </c>
    </row>
    <row r="8" spans="2:12">
      <c r="F8">
        <v>4</v>
      </c>
      <c r="G8">
        <f t="shared" si="1"/>
        <v>68.55680000000001</v>
      </c>
      <c r="H8">
        <f t="shared" si="2"/>
        <v>68.55680000000001</v>
      </c>
      <c r="I8">
        <f t="shared" si="0"/>
        <v>0</v>
      </c>
    </row>
    <row r="9" spans="2:12">
      <c r="F9">
        <v>5</v>
      </c>
      <c r="G9">
        <f t="shared" si="1"/>
        <v>78.400000000000006</v>
      </c>
      <c r="H9">
        <f t="shared" si="2"/>
        <v>78.400000000000006</v>
      </c>
      <c r="I9">
        <f t="shared" si="0"/>
        <v>0</v>
      </c>
      <c r="K9">
        <f t="array" ref="K9:L13">LINEST(H$5:H$14,G$5:G$14,1,1)</f>
        <v>0.99999999999999967</v>
      </c>
      <c r="L9">
        <v>2.8421709430404007E-14</v>
      </c>
    </row>
    <row r="10" spans="2:12">
      <c r="F10">
        <v>6</v>
      </c>
      <c r="G10">
        <f t="shared" si="1"/>
        <v>85.9392</v>
      </c>
      <c r="H10">
        <f t="shared" si="2"/>
        <v>85.9392</v>
      </c>
      <c r="I10">
        <f t="shared" si="0"/>
        <v>0</v>
      </c>
      <c r="K10">
        <v>7.3233055834913644E-17</v>
      </c>
      <c r="L10">
        <v>5.6911207342800484E-15</v>
      </c>
    </row>
    <row r="11" spans="2:12">
      <c r="F11">
        <v>7</v>
      </c>
      <c r="G11">
        <f t="shared" si="1"/>
        <v>91.481600000000014</v>
      </c>
      <c r="H11">
        <f t="shared" si="2"/>
        <v>91.481600000000014</v>
      </c>
      <c r="I11">
        <f t="shared" si="0"/>
        <v>0</v>
      </c>
      <c r="K11">
        <v>1</v>
      </c>
      <c r="L11">
        <v>5.7987236600001584E-15</v>
      </c>
    </row>
    <row r="12" spans="2:12">
      <c r="F12">
        <v>8</v>
      </c>
      <c r="G12">
        <f t="shared" si="1"/>
        <v>95.334400000000002</v>
      </c>
      <c r="H12">
        <f t="shared" si="2"/>
        <v>95.334400000000002</v>
      </c>
      <c r="I12">
        <f t="shared" si="0"/>
        <v>0</v>
      </c>
      <c r="K12">
        <v>1.8646000300912422E+32</v>
      </c>
      <c r="L12">
        <v>8</v>
      </c>
    </row>
    <row r="13" spans="2:12">
      <c r="F13">
        <v>9</v>
      </c>
      <c r="G13">
        <f t="shared" si="1"/>
        <v>97.8048</v>
      </c>
      <c r="H13">
        <f t="shared" si="2"/>
        <v>97.8048</v>
      </c>
      <c r="I13">
        <f t="shared" si="0"/>
        <v>0</v>
      </c>
      <c r="K13">
        <v>6269.7541632000002</v>
      </c>
      <c r="L13">
        <v>2.6900156868036503E-28</v>
      </c>
    </row>
    <row r="14" spans="2:12">
      <c r="F14">
        <v>10</v>
      </c>
      <c r="G14">
        <f t="shared" si="1"/>
        <v>99.2</v>
      </c>
      <c r="H14">
        <f t="shared" si="2"/>
        <v>99.2</v>
      </c>
      <c r="I14">
        <f t="shared" si="0"/>
        <v>0</v>
      </c>
    </row>
    <row r="15" spans="2:12">
      <c r="H15" t="s">
        <v>11</v>
      </c>
      <c r="I15" s="2">
        <f>AVERAGE(I5:I14)</f>
        <v>0</v>
      </c>
    </row>
    <row r="16" spans="2:12">
      <c r="H16" t="s">
        <v>12</v>
      </c>
      <c r="I16" s="3">
        <f>SQRT(I15)</f>
        <v>0</v>
      </c>
    </row>
    <row r="17" spans="1:9">
      <c r="H17" t="s">
        <v>13</v>
      </c>
      <c r="I17">
        <f>K11</f>
        <v>1</v>
      </c>
    </row>
    <row r="23" spans="1:9">
      <c r="A23" t="s">
        <v>14</v>
      </c>
    </row>
    <row r="25" spans="1:9">
      <c r="A25" t="s">
        <v>193</v>
      </c>
    </row>
    <row r="27" spans="1:9">
      <c r="A27" t="s">
        <v>16</v>
      </c>
    </row>
    <row r="28" spans="1:9">
      <c r="A28" t="s">
        <v>17</v>
      </c>
    </row>
    <row r="29" spans="1:9">
      <c r="A29" t="s">
        <v>18</v>
      </c>
    </row>
    <row r="30" spans="1:9">
      <c r="A30" t="s">
        <v>19</v>
      </c>
    </row>
    <row r="31" spans="1:9">
      <c r="A31" t="s">
        <v>20</v>
      </c>
    </row>
    <row r="32" spans="1:9">
      <c r="A32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4" spans="1:1">
      <c r="A44" t="s">
        <v>31</v>
      </c>
    </row>
    <row r="45" spans="1:1">
      <c r="A45" t="s">
        <v>192</v>
      </c>
    </row>
    <row r="46" spans="1:1">
      <c r="A46" t="s">
        <v>194</v>
      </c>
    </row>
    <row r="47" spans="1:1">
      <c r="A47" t="s">
        <v>195</v>
      </c>
    </row>
    <row r="48" spans="1:1">
      <c r="A48" t="s">
        <v>196</v>
      </c>
    </row>
    <row r="49" spans="1:1">
      <c r="A49" t="s">
        <v>197</v>
      </c>
    </row>
    <row r="51" spans="1:1">
      <c r="A51" t="s">
        <v>37</v>
      </c>
    </row>
    <row r="52" spans="1:1">
      <c r="A52" t="s">
        <v>38</v>
      </c>
    </row>
    <row r="53" spans="1:1">
      <c r="A53" t="s">
        <v>283</v>
      </c>
    </row>
    <row r="54" spans="1:1">
      <c r="A54" t="s">
        <v>37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52</v>
      </c>
    </row>
    <row r="69" spans="1:1">
      <c r="A69" t="s">
        <v>53</v>
      </c>
    </row>
    <row r="70" spans="1:1">
      <c r="A70" t="s">
        <v>54</v>
      </c>
    </row>
    <row r="71" spans="1:1">
      <c r="A71" t="s">
        <v>55</v>
      </c>
    </row>
    <row r="72" spans="1:1">
      <c r="A72" t="s">
        <v>56</v>
      </c>
    </row>
    <row r="73" spans="1:1">
      <c r="A73" t="s">
        <v>57</v>
      </c>
    </row>
    <row r="74" spans="1:1">
      <c r="A74" t="s">
        <v>58</v>
      </c>
    </row>
    <row r="75" spans="1:1">
      <c r="A75" t="s">
        <v>59</v>
      </c>
    </row>
    <row r="76" spans="1:1">
      <c r="A76" t="s">
        <v>60</v>
      </c>
    </row>
    <row r="77" spans="1:1">
      <c r="A77" t="s">
        <v>61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74</v>
      </c>
    </row>
    <row r="91" spans="1:1">
      <c r="A91" t="s">
        <v>75</v>
      </c>
    </row>
    <row r="92" spans="1:1">
      <c r="A92" t="s">
        <v>76</v>
      </c>
    </row>
    <row r="93" spans="1:1">
      <c r="A93" t="s">
        <v>77</v>
      </c>
    </row>
    <row r="94" spans="1:1">
      <c r="A94" t="s">
        <v>78</v>
      </c>
    </row>
    <row r="95" spans="1:1">
      <c r="A95" t="s">
        <v>79</v>
      </c>
    </row>
    <row r="96" spans="1:1">
      <c r="A96" t="s">
        <v>80</v>
      </c>
    </row>
    <row r="97" spans="1:1">
      <c r="A97" t="s">
        <v>81</v>
      </c>
    </row>
    <row r="98" spans="1:1">
      <c r="A98" t="s">
        <v>82</v>
      </c>
    </row>
    <row r="99" spans="1:1">
      <c r="A99" t="s">
        <v>83</v>
      </c>
    </row>
    <row r="100" spans="1:1">
      <c r="A100" t="s">
        <v>84</v>
      </c>
    </row>
    <row r="101" spans="1:1">
      <c r="A101" t="s">
        <v>85</v>
      </c>
    </row>
    <row r="102" spans="1:1">
      <c r="A102" t="s">
        <v>86</v>
      </c>
    </row>
    <row r="103" spans="1:1">
      <c r="A103" t="s">
        <v>87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90</v>
      </c>
    </row>
    <row r="107" spans="1:1">
      <c r="A107" t="s">
        <v>91</v>
      </c>
    </row>
    <row r="108" spans="1:1">
      <c r="A108" t="s">
        <v>92</v>
      </c>
    </row>
    <row r="109" spans="1:1">
      <c r="A109" t="s">
        <v>93</v>
      </c>
    </row>
    <row r="110" spans="1:1">
      <c r="A110" t="s">
        <v>94</v>
      </c>
    </row>
    <row r="111" spans="1:1">
      <c r="A111" t="s">
        <v>95</v>
      </c>
    </row>
    <row r="112" spans="1:1">
      <c r="A112" t="s">
        <v>96</v>
      </c>
    </row>
    <row r="113" spans="1:1">
      <c r="A113" t="s">
        <v>97</v>
      </c>
    </row>
    <row r="114" spans="1:1">
      <c r="A114" t="s">
        <v>98</v>
      </c>
    </row>
    <row r="115" spans="1:1">
      <c r="A115" t="s">
        <v>99</v>
      </c>
    </row>
    <row r="116" spans="1:1">
      <c r="A116" t="s">
        <v>100</v>
      </c>
    </row>
    <row r="117" spans="1:1">
      <c r="A117" t="s">
        <v>101</v>
      </c>
    </row>
    <row r="118" spans="1:1">
      <c r="A118" t="s">
        <v>102</v>
      </c>
    </row>
    <row r="119" spans="1:1">
      <c r="A119" t="s">
        <v>103</v>
      </c>
    </row>
    <row r="120" spans="1:1">
      <c r="A120" t="s">
        <v>104</v>
      </c>
    </row>
    <row r="121" spans="1:1">
      <c r="A121" t="s">
        <v>105</v>
      </c>
    </row>
    <row r="122" spans="1:1">
      <c r="A122" t="s">
        <v>106</v>
      </c>
    </row>
    <row r="123" spans="1:1">
      <c r="A123" t="s">
        <v>107</v>
      </c>
    </row>
    <row r="124" spans="1:1">
      <c r="A124" t="s">
        <v>108</v>
      </c>
    </row>
    <row r="125" spans="1:1">
      <c r="A125" t="s">
        <v>109</v>
      </c>
    </row>
    <row r="126" spans="1:1">
      <c r="A126" t="s">
        <v>110</v>
      </c>
    </row>
    <row r="127" spans="1:1">
      <c r="A127" t="s">
        <v>111</v>
      </c>
    </row>
    <row r="128" spans="1:1">
      <c r="A128" t="s">
        <v>112</v>
      </c>
    </row>
    <row r="129" spans="1:1">
      <c r="A129" t="s">
        <v>113</v>
      </c>
    </row>
    <row r="130" spans="1:1">
      <c r="A130" t="s">
        <v>114</v>
      </c>
    </row>
    <row r="131" spans="1:1">
      <c r="A131" t="s">
        <v>115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119</v>
      </c>
    </row>
    <row r="136" spans="1:1">
      <c r="A136" t="s">
        <v>120</v>
      </c>
    </row>
    <row r="137" spans="1:1">
      <c r="A137" t="s">
        <v>121</v>
      </c>
    </row>
    <row r="138" spans="1:1">
      <c r="A138" t="s">
        <v>122</v>
      </c>
    </row>
    <row r="139" spans="1:1">
      <c r="A139" t="s">
        <v>123</v>
      </c>
    </row>
    <row r="140" spans="1:1">
      <c r="A140" t="s">
        <v>124</v>
      </c>
    </row>
    <row r="141" spans="1:1">
      <c r="A141" t="s">
        <v>125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181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6E2B-F3E2-4670-BC17-5F441895081A}">
  <dimension ref="A2:L159"/>
  <sheetViews>
    <sheetView topLeftCell="A37" workbookViewId="0">
      <selection activeCell="A56" sqref="A56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198</v>
      </c>
    </row>
    <row r="3" spans="2:12">
      <c r="B3" t="s">
        <v>2</v>
      </c>
      <c r="C3" t="s">
        <v>199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C$7*$F5^C$8</f>
        <v>25</v>
      </c>
      <c r="H5">
        <f>D$7*$F5^D$8</f>
        <v>24.999314712287401</v>
      </c>
      <c r="I5">
        <f t="shared" ref="I5:I14" si="0">(H5-G5)^2</f>
        <v>4.6961924903964561E-7</v>
      </c>
    </row>
    <row r="6" spans="2:12">
      <c r="C6" t="s">
        <v>8</v>
      </c>
      <c r="D6" t="s">
        <v>9</v>
      </c>
      <c r="F6">
        <v>2</v>
      </c>
      <c r="G6">
        <f t="shared" ref="G6:G14" si="1">C$7*$F6^C$8</f>
        <v>35.355339059327378</v>
      </c>
      <c r="H6">
        <f t="shared" ref="H6:H14" si="2">D$7*$F6^D$8</f>
        <v>35.354580638494376</v>
      </c>
      <c r="I6">
        <f t="shared" si="0"/>
        <v>5.7520215993083173E-7</v>
      </c>
    </row>
    <row r="7" spans="2:12">
      <c r="B7" t="s">
        <v>166</v>
      </c>
      <c r="C7">
        <v>25</v>
      </c>
      <c r="D7">
        <v>24.999314712287401</v>
      </c>
      <c r="F7">
        <v>3</v>
      </c>
      <c r="G7">
        <f t="shared" si="1"/>
        <v>43.301270189221931</v>
      </c>
      <c r="H7">
        <f t="shared" si="2"/>
        <v>43.300492285681209</v>
      </c>
      <c r="I7">
        <f t="shared" si="0"/>
        <v>6.0513391866858824E-7</v>
      </c>
    </row>
    <row r="8" spans="2:12">
      <c r="B8" t="s">
        <v>200</v>
      </c>
      <c r="C8">
        <v>0.5</v>
      </c>
      <c r="D8">
        <v>0.50000859885711002</v>
      </c>
      <c r="F8">
        <v>4</v>
      </c>
      <c r="G8">
        <f t="shared" si="1"/>
        <v>50</v>
      </c>
      <c r="H8">
        <f t="shared" si="2"/>
        <v>49.999225439145377</v>
      </c>
      <c r="I8">
        <f t="shared" si="0"/>
        <v>5.9994451751434115E-7</v>
      </c>
    </row>
    <row r="9" spans="2:12">
      <c r="F9">
        <v>5</v>
      </c>
      <c r="G9">
        <f t="shared" si="1"/>
        <v>55.901699437494742</v>
      </c>
      <c r="H9">
        <f t="shared" si="2"/>
        <v>55.900940713609799</v>
      </c>
      <c r="I9">
        <f t="shared" si="0"/>
        <v>5.7566193358219341E-7</v>
      </c>
      <c r="K9">
        <f t="array" ref="K9:L13">LINEST(H$5:H$14,G$5:G$14,1,1)</f>
        <v>1.0000020441629136</v>
      </c>
      <c r="L9">
        <v>-8.2592315324347965E-4</v>
      </c>
    </row>
    <row r="10" spans="2:12">
      <c r="F10">
        <v>6</v>
      </c>
      <c r="G10">
        <f t="shared" si="1"/>
        <v>61.237243569579448</v>
      </c>
      <c r="H10">
        <f t="shared" si="2"/>
        <v>61.236508433096468</v>
      </c>
      <c r="I10">
        <f t="shared" si="0"/>
        <v>5.4042564860846995E-7</v>
      </c>
      <c r="K10">
        <v>9.6442295505962411E-7</v>
      </c>
      <c r="L10">
        <v>5.65443078443393E-5</v>
      </c>
    </row>
    <row r="11" spans="2:12">
      <c r="F11">
        <v>7</v>
      </c>
      <c r="G11">
        <f t="shared" si="1"/>
        <v>66.143782776614771</v>
      </c>
      <c r="H11">
        <f t="shared" si="2"/>
        <v>66.143076412351391</v>
      </c>
      <c r="I11">
        <f t="shared" si="0"/>
        <v>4.9895047257974177E-7</v>
      </c>
      <c r="K11">
        <v>0.99999999999255906</v>
      </c>
      <c r="L11">
        <v>5.1246442196717011E-5</v>
      </c>
    </row>
    <row r="12" spans="2:12">
      <c r="F12">
        <v>8</v>
      </c>
      <c r="G12">
        <f t="shared" si="1"/>
        <v>70.710678118654755</v>
      </c>
      <c r="H12">
        <f t="shared" si="2"/>
        <v>70.710004173901723</v>
      </c>
      <c r="I12">
        <f t="shared" si="0"/>
        <v>4.5420153013959809E-7</v>
      </c>
      <c r="K12">
        <v>1075144154056.7803</v>
      </c>
      <c r="L12">
        <v>8</v>
      </c>
    </row>
    <row r="13" spans="2:12">
      <c r="F13">
        <v>9</v>
      </c>
      <c r="G13">
        <f t="shared" si="1"/>
        <v>75</v>
      </c>
      <c r="H13">
        <f t="shared" si="2"/>
        <v>74.999361132918992</v>
      </c>
      <c r="I13">
        <f t="shared" si="0"/>
        <v>4.0815114719599304E-7</v>
      </c>
      <c r="K13">
        <v>2823.5412527302969</v>
      </c>
      <c r="L13">
        <v>2.1009582702571663E-8</v>
      </c>
    </row>
    <row r="14" spans="2:12">
      <c r="F14">
        <v>10</v>
      </c>
      <c r="G14">
        <f t="shared" si="1"/>
        <v>79.05694150420949</v>
      </c>
      <c r="H14">
        <f t="shared" si="2"/>
        <v>79.056339702608497</v>
      </c>
      <c r="I14">
        <f t="shared" si="0"/>
        <v>3.6216516695799379E-7</v>
      </c>
    </row>
    <row r="15" spans="2:12">
      <c r="H15" t="s">
        <v>11</v>
      </c>
      <c r="I15" s="2">
        <f>AVERAGE(I5:I14)</f>
        <v>5.0894557442173966E-7</v>
      </c>
    </row>
    <row r="16" spans="2:12">
      <c r="H16" t="s">
        <v>12</v>
      </c>
      <c r="I16" s="3">
        <f>SQRT(I15)</f>
        <v>7.1340421530976367E-4</v>
      </c>
    </row>
    <row r="17" spans="1:9">
      <c r="H17" t="s">
        <v>13</v>
      </c>
      <c r="I17">
        <f>K11</f>
        <v>0.99999999999255906</v>
      </c>
    </row>
    <row r="25" spans="1:9">
      <c r="A25" t="s">
        <v>14</v>
      </c>
    </row>
    <row r="27" spans="1:9">
      <c r="A27" t="s">
        <v>264</v>
      </c>
    </row>
    <row r="29" spans="1:9">
      <c r="A29" t="s">
        <v>16</v>
      </c>
    </row>
    <row r="30" spans="1:9">
      <c r="A30" t="s">
        <v>17</v>
      </c>
    </row>
    <row r="31" spans="1:9">
      <c r="A31" t="s">
        <v>18</v>
      </c>
    </row>
    <row r="32" spans="1:9">
      <c r="A32" t="s">
        <v>19</v>
      </c>
    </row>
    <row r="33" spans="1:1">
      <c r="A33" t="s">
        <v>20</v>
      </c>
    </row>
    <row r="34" spans="1:1">
      <c r="A34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6" spans="1:1">
      <c r="A46" t="s">
        <v>31</v>
      </c>
    </row>
    <row r="47" spans="1:1">
      <c r="A47" t="s">
        <v>202</v>
      </c>
    </row>
    <row r="48" spans="1:1">
      <c r="A48" t="s">
        <v>203</v>
      </c>
    </row>
    <row r="49" spans="1:1">
      <c r="A49" t="s">
        <v>265</v>
      </c>
    </row>
    <row r="50" spans="1:1">
      <c r="A50" t="s">
        <v>266</v>
      </c>
    </row>
    <row r="51" spans="1:1">
      <c r="A51" t="s">
        <v>267</v>
      </c>
    </row>
    <row r="53" spans="1:1">
      <c r="A53" t="s">
        <v>37</v>
      </c>
    </row>
    <row r="54" spans="1:1">
      <c r="A54" t="s">
        <v>38</v>
      </c>
    </row>
    <row r="55" spans="1:1">
      <c r="A55" t="s">
        <v>283</v>
      </c>
    </row>
    <row r="56" spans="1:1">
      <c r="A56" t="s">
        <v>37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253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88</v>
      </c>
    </row>
    <row r="108" spans="1:1">
      <c r="A108" t="s">
        <v>89</v>
      </c>
    </row>
    <row r="109" spans="1:1">
      <c r="A109" t="s">
        <v>90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96</v>
      </c>
    </row>
    <row r="116" spans="1:1">
      <c r="A116" t="s">
        <v>254</v>
      </c>
    </row>
    <row r="117" spans="1:1">
      <c r="A117" t="s">
        <v>97</v>
      </c>
    </row>
    <row r="118" spans="1:1">
      <c r="A118" t="s">
        <v>255</v>
      </c>
    </row>
    <row r="119" spans="1:1">
      <c r="A119" t="s">
        <v>98</v>
      </c>
    </row>
    <row r="120" spans="1:1">
      <c r="A120" t="s">
        <v>256</v>
      </c>
    </row>
    <row r="121" spans="1:1">
      <c r="A121" t="s">
        <v>100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5" spans="1:1">
      <c r="A125" t="s">
        <v>104</v>
      </c>
    </row>
    <row r="126" spans="1:1">
      <c r="A126" t="s">
        <v>105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112</v>
      </c>
    </row>
    <row r="134" spans="1:1">
      <c r="A134" t="s">
        <v>113</v>
      </c>
    </row>
    <row r="135" spans="1:1">
      <c r="A135" t="s">
        <v>257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258</v>
      </c>
    </row>
    <row r="145" spans="1:1">
      <c r="A145" t="s">
        <v>259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260</v>
      </c>
    </row>
    <row r="151" spans="1:1">
      <c r="A151" t="s">
        <v>129</v>
      </c>
    </row>
    <row r="152" spans="1:1">
      <c r="A152" t="s">
        <v>261</v>
      </c>
    </row>
    <row r="153" spans="1:1">
      <c r="A153" t="s">
        <v>130</v>
      </c>
    </row>
    <row r="154" spans="1:1">
      <c r="A154" t="s">
        <v>262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268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3FA5-29FB-434C-899E-4608C186113C}">
  <dimension ref="A2:L159"/>
  <sheetViews>
    <sheetView topLeftCell="A31" workbookViewId="0">
      <selection activeCell="A56" sqref="A56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204</v>
      </c>
    </row>
    <row r="3" spans="2:12">
      <c r="B3" t="s">
        <v>2</v>
      </c>
      <c r="C3" t="s">
        <v>269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100*$F5^C$7/C$8^C$7+$F5^C$7</f>
        <v>31.151134457776362</v>
      </c>
      <c r="H5">
        <f>100*$F5^D$7/D$8^D$7+$F5^D$7</f>
        <v>31.151134457685988</v>
      </c>
      <c r="I5">
        <f t="shared" ref="I5:I14" si="0">(H5-G5)^2</f>
        <v>8.1674473251035801E-21</v>
      </c>
    </row>
    <row r="6" spans="2:12">
      <c r="C6" t="s">
        <v>8</v>
      </c>
      <c r="D6" t="s">
        <v>9</v>
      </c>
      <c r="F6">
        <v>2</v>
      </c>
      <c r="G6">
        <f>100*$F6^C$7/C$8^C$7+$F6^C$7</f>
        <v>44.054356833495184</v>
      </c>
      <c r="H6">
        <f>100*$F6^D$7/D$8^D$7+$F6^D$7</f>
        <v>44.054356833082892</v>
      </c>
      <c r="I6">
        <f t="shared" si="0"/>
        <v>1.6998504158890819E-19</v>
      </c>
    </row>
    <row r="7" spans="2:12">
      <c r="B7" t="s">
        <v>200</v>
      </c>
      <c r="C7">
        <v>0.5</v>
      </c>
      <c r="D7">
        <v>0.49999999999068401</v>
      </c>
      <c r="F7">
        <v>3</v>
      </c>
      <c r="G7">
        <f>100*$F7^C$7/C$8^C$7+$F7^C$7</f>
        <v>53.955347594278223</v>
      </c>
      <c r="H7">
        <f>100*$F7^D$7/D$8^D$7+$F7^D$7</f>
        <v>53.955347593569478</v>
      </c>
      <c r="I7">
        <f t="shared" si="0"/>
        <v>5.023195638146315E-19</v>
      </c>
    </row>
    <row r="8" spans="2:12">
      <c r="B8" t="s">
        <v>10</v>
      </c>
      <c r="C8">
        <v>11</v>
      </c>
      <c r="D8">
        <v>11.000000000557399</v>
      </c>
      <c r="F8">
        <v>4</v>
      </c>
      <c r="G8">
        <f>100*$F8^C$7/C$8^C$7+$F8^C$7</f>
        <v>62.302268915552723</v>
      </c>
      <c r="H8">
        <f>100*$F8^D$7/D$8^D$7+$F8^D$7</f>
        <v>62.302268914567357</v>
      </c>
      <c r="I8">
        <f t="shared" si="0"/>
        <v>9.7094705083120012E-19</v>
      </c>
    </row>
    <row r="9" spans="2:12">
      <c r="F9">
        <v>5</v>
      </c>
      <c r="G9">
        <f>100*$F9^C$7/C$8^C$7+$F9^C$7</f>
        <v>69.656054223824</v>
      </c>
      <c r="H9">
        <f>100*$F9^D$7/D$8^D$7+$F9^D$7</f>
        <v>69.656054222577509</v>
      </c>
      <c r="I9">
        <f t="shared" si="0"/>
        <v>1.553739589932266E-18</v>
      </c>
      <c r="K9">
        <f t="array" ref="K9:L13">LINEST(H$5:H$14,G$5:G$14,1,1)</f>
        <v>0.99999999996518596</v>
      </c>
      <c r="L9">
        <v>1.1149836609547492E-9</v>
      </c>
    </row>
    <row r="10" spans="2:12">
      <c r="F10">
        <v>6</v>
      </c>
      <c r="G10">
        <f>100*$F10^C$7/C$8^C$7+$F10^C$7</f>
        <v>76.304384330382803</v>
      </c>
      <c r="H10">
        <f>100*$F10^D$7/D$8^D$7+$F10^D$7</f>
        <v>76.304384328887764</v>
      </c>
      <c r="I10">
        <f t="shared" si="0"/>
        <v>2.2351408922820493E-18</v>
      </c>
      <c r="K10">
        <v>1.0448508030378783E-12</v>
      </c>
      <c r="L10">
        <v>7.6332501152245861E-11</v>
      </c>
    </row>
    <row r="11" spans="2:12">
      <c r="F11">
        <v>7</v>
      </c>
      <c r="G11">
        <f>100*$F11^C$7/C$8^C$7+$F11^C$7</f>
        <v>82.418154832811155</v>
      </c>
      <c r="H11">
        <f>100*$F11^D$7/D$8^D$7+$F11^D$7</f>
        <v>82.418154831077956</v>
      </c>
      <c r="I11">
        <f t="shared" si="0"/>
        <v>3.0039769489939926E-18</v>
      </c>
      <c r="K11">
        <v>1</v>
      </c>
      <c r="L11">
        <v>6.9180599377007188E-11</v>
      </c>
    </row>
    <row r="12" spans="2:12">
      <c r="F12">
        <v>8</v>
      </c>
      <c r="G12">
        <f>100*$F12^C$7/C$8^C$7+$F12^C$7</f>
        <v>88.108713666990369</v>
      </c>
      <c r="H12">
        <f>100*$F12^D$7/D$8^D$7+$F12^D$7</f>
        <v>88.108713665027878</v>
      </c>
      <c r="I12">
        <f t="shared" si="0"/>
        <v>3.8513694118434561E-18</v>
      </c>
      <c r="K12">
        <v>9.1599148876520432E+23</v>
      </c>
      <c r="L12">
        <v>8</v>
      </c>
    </row>
    <row r="13" spans="2:12">
      <c r="F13">
        <v>9</v>
      </c>
      <c r="G13">
        <f>100*$F13^C$7/C$8^C$7+$F13^C$7</f>
        <v>93.453403373329081</v>
      </c>
      <c r="H13">
        <f>100*$F13^D$7/D$8^D$7+$F13^D$7</f>
        <v>93.453403371145029</v>
      </c>
      <c r="I13">
        <f t="shared" si="0"/>
        <v>4.7700833585274418E-18</v>
      </c>
      <c r="K13">
        <v>4383.8943480388261</v>
      </c>
      <c r="L13">
        <v>3.8287642641295744E-20</v>
      </c>
    </row>
    <row r="14" spans="2:12">
      <c r="F14">
        <v>10</v>
      </c>
      <c r="G14">
        <f>100*$F14^C$7/C$8^C$7+$F14^C$7</f>
        <v>98.508536584727622</v>
      </c>
      <c r="H14">
        <f>100*$F14^D$7/D$8^D$7+$F14^D$7</f>
        <v>98.50853658232873</v>
      </c>
      <c r="I14">
        <f t="shared" si="0"/>
        <v>5.7546816373775333E-18</v>
      </c>
    </row>
    <row r="15" spans="2:12">
      <c r="H15" t="s">
        <v>11</v>
      </c>
      <c r="I15" s="2">
        <f>AVERAGE(I5:I14)</f>
        <v>2.2820410942516583E-18</v>
      </c>
    </row>
    <row r="16" spans="2:12">
      <c r="H16" t="s">
        <v>12</v>
      </c>
      <c r="I16" s="3">
        <f>SQRT(I15)</f>
        <v>1.5106426097034528E-9</v>
      </c>
    </row>
    <row r="17" spans="1:9">
      <c r="H17" t="s">
        <v>13</v>
      </c>
      <c r="I17">
        <f>K11</f>
        <v>1</v>
      </c>
    </row>
    <row r="25" spans="1:9">
      <c r="A25" t="s">
        <v>14</v>
      </c>
    </row>
    <row r="27" spans="1:9">
      <c r="A27" t="s">
        <v>270</v>
      </c>
    </row>
    <row r="29" spans="1:9">
      <c r="A29" t="s">
        <v>16</v>
      </c>
    </row>
    <row r="30" spans="1:9">
      <c r="A30" t="s">
        <v>17</v>
      </c>
    </row>
    <row r="31" spans="1:9">
      <c r="A31" t="s">
        <v>18</v>
      </c>
    </row>
    <row r="32" spans="1:9">
      <c r="A32" t="s">
        <v>19</v>
      </c>
    </row>
    <row r="33" spans="1:1">
      <c r="A33" t="s">
        <v>20</v>
      </c>
    </row>
    <row r="34" spans="1:1">
      <c r="A34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6" spans="1:1">
      <c r="A46" t="s">
        <v>31</v>
      </c>
    </row>
    <row r="47" spans="1:1">
      <c r="A47" t="s">
        <v>205</v>
      </c>
    </row>
    <row r="48" spans="1:1">
      <c r="A48" t="s">
        <v>271</v>
      </c>
    </row>
    <row r="49" spans="1:1">
      <c r="A49" t="s">
        <v>272</v>
      </c>
    </row>
    <row r="50" spans="1:1">
      <c r="A50" t="s">
        <v>273</v>
      </c>
    </row>
    <row r="51" spans="1:1">
      <c r="A51" t="s">
        <v>274</v>
      </c>
    </row>
    <row r="53" spans="1:1">
      <c r="A53" t="s">
        <v>37</v>
      </c>
    </row>
    <row r="54" spans="1:1">
      <c r="A54" t="s">
        <v>38</v>
      </c>
    </row>
    <row r="55" spans="1:1">
      <c r="A55" t="s">
        <v>283</v>
      </c>
    </row>
    <row r="56" spans="1:1">
      <c r="A56" t="s">
        <v>37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253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88</v>
      </c>
    </row>
    <row r="108" spans="1:1">
      <c r="A108" t="s">
        <v>89</v>
      </c>
    </row>
    <row r="109" spans="1:1">
      <c r="A109" t="s">
        <v>90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96</v>
      </c>
    </row>
    <row r="116" spans="1:1">
      <c r="A116" t="s">
        <v>254</v>
      </c>
    </row>
    <row r="117" spans="1:1">
      <c r="A117" t="s">
        <v>97</v>
      </c>
    </row>
    <row r="118" spans="1:1">
      <c r="A118" t="s">
        <v>255</v>
      </c>
    </row>
    <row r="119" spans="1:1">
      <c r="A119" t="s">
        <v>98</v>
      </c>
    </row>
    <row r="120" spans="1:1">
      <c r="A120" t="s">
        <v>256</v>
      </c>
    </row>
    <row r="121" spans="1:1">
      <c r="A121" t="s">
        <v>100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5" spans="1:1">
      <c r="A125" t="s">
        <v>104</v>
      </c>
    </row>
    <row r="126" spans="1:1">
      <c r="A126" t="s">
        <v>105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112</v>
      </c>
    </row>
    <row r="134" spans="1:1">
      <c r="A134" t="s">
        <v>113</v>
      </c>
    </row>
    <row r="135" spans="1:1">
      <c r="A135" t="s">
        <v>257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258</v>
      </c>
    </row>
    <row r="145" spans="1:1">
      <c r="A145" t="s">
        <v>259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260</v>
      </c>
    </row>
    <row r="151" spans="1:1">
      <c r="A151" t="s">
        <v>129</v>
      </c>
    </row>
    <row r="152" spans="1:1">
      <c r="A152" t="s">
        <v>261</v>
      </c>
    </row>
    <row r="153" spans="1:1">
      <c r="A153" t="s">
        <v>130</v>
      </c>
    </row>
    <row r="154" spans="1:1">
      <c r="A154" t="s">
        <v>262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268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EB1D-D467-4D82-AF61-6CBABEDEBC42}">
  <dimension ref="A2:L159"/>
  <sheetViews>
    <sheetView workbookViewId="0">
      <selection activeCell="A25" sqref="A25:A159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206</v>
      </c>
    </row>
    <row r="3" spans="2:12">
      <c r="B3" t="s">
        <v>2</v>
      </c>
      <c r="C3" t="s">
        <v>290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100*(1-(1-(C$7*$F5))^(C$8))</f>
        <v>21.647383353154105</v>
      </c>
      <c r="H5">
        <f>100*(1-(1-D$7*$F5)^D$8)</f>
        <v>21.289216778305931</v>
      </c>
      <c r="I5">
        <f t="shared" ref="I5:I14" si="0">(H5-G5)^2</f>
        <v>0.1282832953384721</v>
      </c>
    </row>
    <row r="6" spans="2:12">
      <c r="C6" t="s">
        <v>8</v>
      </c>
      <c r="D6" t="s">
        <v>9</v>
      </c>
      <c r="F6">
        <v>2</v>
      </c>
      <c r="G6">
        <f t="shared" ref="G6:G14" si="1">100*(1-(1-(C$7*$F6))^(C$8))</f>
        <v>37.907867694084509</v>
      </c>
      <c r="H6">
        <f t="shared" ref="G6:H14" si="2">100*(1-(1-D$7*$F6)^D$8)</f>
        <v>37.374760714179885</v>
      </c>
      <c r="I6">
        <f t="shared" si="0"/>
        <v>0.28420305202302842</v>
      </c>
    </row>
    <row r="7" spans="2:12">
      <c r="B7" t="s">
        <v>10</v>
      </c>
      <c r="C7">
        <v>-0.05</v>
      </c>
      <c r="D7">
        <v>-4.826681E-2</v>
      </c>
      <c r="F7">
        <v>3</v>
      </c>
      <c r="G7">
        <f t="shared" si="1"/>
        <v>50.282326470171014</v>
      </c>
      <c r="H7">
        <f t="shared" si="2"/>
        <v>49.679831739543154</v>
      </c>
      <c r="I7">
        <f t="shared" si="0"/>
        <v>0.36299990043433822</v>
      </c>
    </row>
    <row r="8" spans="2:12">
      <c r="B8" t="s">
        <v>200</v>
      </c>
      <c r="C8">
        <v>-5</v>
      </c>
      <c r="D8">
        <v>-5.0784779999999996</v>
      </c>
      <c r="F8">
        <v>4</v>
      </c>
      <c r="G8">
        <f t="shared" si="1"/>
        <v>59.812242798353907</v>
      </c>
      <c r="H8">
        <f t="shared" si="2"/>
        <v>59.200119913135339</v>
      </c>
      <c r="I8">
        <f t="shared" si="0"/>
        <v>0.37469442660830427</v>
      </c>
    </row>
    <row r="9" spans="2:12">
      <c r="F9">
        <v>5</v>
      </c>
      <c r="G9">
        <f t="shared" si="1"/>
        <v>67.231999999999999</v>
      </c>
      <c r="H9">
        <f t="shared" si="2"/>
        <v>66.642886438671425</v>
      </c>
      <c r="I9">
        <f t="shared" si="0"/>
        <v>0.34705478814123558</v>
      </c>
      <c r="K9">
        <f t="array" ref="K9:L13">LINEST(H$5:H$14,G$5:G$14,1,1)</f>
        <v>1.0004208515241346</v>
      </c>
      <c r="L9">
        <v>-0.52415009724303019</v>
      </c>
    </row>
    <row r="10" spans="2:12">
      <c r="F10">
        <v>6</v>
      </c>
      <c r="G10">
        <f t="shared" si="1"/>
        <v>73.067092565709572</v>
      </c>
      <c r="H10">
        <f t="shared" si="2"/>
        <v>72.517570822623355</v>
      </c>
      <c r="I10">
        <f t="shared" si="0"/>
        <v>0.30197414612451423</v>
      </c>
      <c r="K10">
        <v>1.5742611446967491E-3</v>
      </c>
      <c r="L10">
        <v>0.10583590102597615</v>
      </c>
    </row>
    <row r="11" spans="2:12">
      <c r="F11">
        <v>7</v>
      </c>
      <c r="G11">
        <f t="shared" si="1"/>
        <v>77.698649799597987</v>
      </c>
      <c r="H11">
        <f t="shared" si="2"/>
        <v>77.19586763810365</v>
      </c>
      <c r="I11">
        <f t="shared" si="0"/>
        <v>0.2527899019169183</v>
      </c>
      <c r="K11">
        <v>0.99998019068460309</v>
      </c>
      <c r="L11">
        <v>0.10203497812119608</v>
      </c>
    </row>
    <row r="12" spans="2:12">
      <c r="F12">
        <v>8</v>
      </c>
      <c r="G12">
        <f t="shared" si="1"/>
        <v>81.406556791812918</v>
      </c>
      <c r="H12">
        <f t="shared" si="2"/>
        <v>80.952211291865027</v>
      </c>
      <c r="I12">
        <f t="shared" si="0"/>
        <v>0.2064298333228991</v>
      </c>
      <c r="K12">
        <v>403842.40268951003</v>
      </c>
      <c r="L12">
        <v>8</v>
      </c>
    </row>
    <row r="13" spans="2:12">
      <c r="F13">
        <v>9</v>
      </c>
      <c r="G13">
        <f t="shared" si="1"/>
        <v>84.398728710907406</v>
      </c>
      <c r="H13">
        <f t="shared" si="2"/>
        <v>83.991469648418075</v>
      </c>
      <c r="I13">
        <f t="shared" si="0"/>
        <v>0.1658599439796887</v>
      </c>
      <c r="K13">
        <v>4204.4584839654071</v>
      </c>
      <c r="L13">
        <v>8.3289094081543696E-2</v>
      </c>
    </row>
    <row r="14" spans="2:12">
      <c r="F14">
        <v>10</v>
      </c>
      <c r="G14">
        <f t="shared" si="1"/>
        <v>86.831275720164598</v>
      </c>
      <c r="H14">
        <f t="shared" si="2"/>
        <v>86.468152496104167</v>
      </c>
      <c r="I14">
        <f t="shared" si="0"/>
        <v>0.13185847585204163</v>
      </c>
    </row>
    <row r="15" spans="2:12">
      <c r="H15" t="s">
        <v>11</v>
      </c>
      <c r="I15" s="2">
        <f>AVERAGE(I5:I14)</f>
        <v>0.25561477637414404</v>
      </c>
    </row>
    <row r="16" spans="2:12">
      <c r="H16" t="s">
        <v>12</v>
      </c>
      <c r="I16" s="3">
        <f>SQRT(I15)</f>
        <v>0.5055835997875564</v>
      </c>
    </row>
    <row r="17" spans="1:9">
      <c r="H17" t="s">
        <v>13</v>
      </c>
      <c r="I17">
        <f>K11</f>
        <v>0.99998019068460309</v>
      </c>
    </row>
    <row r="25" spans="1:9">
      <c r="A25" t="s">
        <v>14</v>
      </c>
    </row>
    <row r="27" spans="1:9">
      <c r="A27" t="s">
        <v>291</v>
      </c>
    </row>
    <row r="29" spans="1:9">
      <c r="A29" t="s">
        <v>16</v>
      </c>
    </row>
    <row r="30" spans="1:9">
      <c r="A30" t="s">
        <v>17</v>
      </c>
    </row>
    <row r="31" spans="1:9">
      <c r="A31" t="s">
        <v>18</v>
      </c>
    </row>
    <row r="32" spans="1:9">
      <c r="A32" t="s">
        <v>19</v>
      </c>
    </row>
    <row r="33" spans="1:1">
      <c r="A33" t="s">
        <v>20</v>
      </c>
    </row>
    <row r="34" spans="1:1">
      <c r="A34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6" spans="1:1">
      <c r="A46" t="s">
        <v>31</v>
      </c>
    </row>
    <row r="47" spans="1:1">
      <c r="A47" t="s">
        <v>207</v>
      </c>
    </row>
    <row r="48" spans="1:1">
      <c r="A48" t="s">
        <v>208</v>
      </c>
    </row>
    <row r="49" spans="1:1">
      <c r="A49" t="s">
        <v>292</v>
      </c>
    </row>
    <row r="50" spans="1:1">
      <c r="A50" t="s">
        <v>293</v>
      </c>
    </row>
    <row r="51" spans="1:1">
      <c r="A51" t="s">
        <v>294</v>
      </c>
    </row>
    <row r="53" spans="1:1">
      <c r="A53" t="s">
        <v>37</v>
      </c>
    </row>
    <row r="54" spans="1:1">
      <c r="A54" t="s">
        <v>38</v>
      </c>
    </row>
    <row r="55" spans="1:1">
      <c r="A55" t="s">
        <v>252</v>
      </c>
    </row>
    <row r="56" spans="1:1">
      <c r="A56" t="s">
        <v>37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253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88</v>
      </c>
    </row>
    <row r="108" spans="1:1">
      <c r="A108" t="s">
        <v>89</v>
      </c>
    </row>
    <row r="109" spans="1:1">
      <c r="A109" t="s">
        <v>90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96</v>
      </c>
    </row>
    <row r="116" spans="1:1">
      <c r="A116" t="s">
        <v>254</v>
      </c>
    </row>
    <row r="117" spans="1:1">
      <c r="A117" t="s">
        <v>97</v>
      </c>
    </row>
    <row r="118" spans="1:1">
      <c r="A118" t="s">
        <v>255</v>
      </c>
    </row>
    <row r="119" spans="1:1">
      <c r="A119" t="s">
        <v>98</v>
      </c>
    </row>
    <row r="120" spans="1:1">
      <c r="A120" t="s">
        <v>256</v>
      </c>
    </row>
    <row r="121" spans="1:1">
      <c r="A121" t="s">
        <v>100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5" spans="1:1">
      <c r="A125" t="s">
        <v>104</v>
      </c>
    </row>
    <row r="126" spans="1:1">
      <c r="A126" t="s">
        <v>105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112</v>
      </c>
    </row>
    <row r="134" spans="1:1">
      <c r="A134" t="s">
        <v>113</v>
      </c>
    </row>
    <row r="135" spans="1:1">
      <c r="A135" t="s">
        <v>257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258</v>
      </c>
    </row>
    <row r="145" spans="1:1">
      <c r="A145" t="s">
        <v>259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260</v>
      </c>
    </row>
    <row r="151" spans="1:1">
      <c r="A151" t="s">
        <v>129</v>
      </c>
    </row>
    <row r="152" spans="1:1">
      <c r="A152" t="s">
        <v>261</v>
      </c>
    </row>
    <row r="153" spans="1:1">
      <c r="A153" t="s">
        <v>130</v>
      </c>
    </row>
    <row r="154" spans="1:1">
      <c r="A154" t="s">
        <v>262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268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A9E3-957E-46E9-962D-617DD48AD190}">
  <dimension ref="A2:L152"/>
  <sheetViews>
    <sheetView topLeftCell="A28" workbookViewId="0">
      <selection activeCell="A55" sqref="A55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209</v>
      </c>
    </row>
    <row r="3" spans="2:12">
      <c r="B3" t="s">
        <v>2</v>
      </c>
      <c r="C3" t="s">
        <v>210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C$7*$F5^C$9+C$8*$F5^(2*C$9)</f>
        <v>11</v>
      </c>
      <c r="H5">
        <f>D$7*$F5^D$9+D$8*$F5^(2*D$9)</f>
        <v>11.00000000029981</v>
      </c>
      <c r="I5">
        <f t="shared" ref="I5:I14" si="0">(H5-G5)^2</f>
        <v>8.9886008901416029E-20</v>
      </c>
    </row>
    <row r="6" spans="2:12">
      <c r="C6" t="s">
        <v>8</v>
      </c>
      <c r="D6" t="s">
        <v>9</v>
      </c>
      <c r="F6">
        <v>2</v>
      </c>
      <c r="G6">
        <f t="shared" ref="G6:G14" si="1">C$7*$F6^C$9+C$8*$F6^(2*C$9)</f>
        <v>19.898574777503818</v>
      </c>
      <c r="H6">
        <f t="shared" ref="H6:H14" si="2">D$7*$F6^D$9+D$8*$F6^(2*D$9)</f>
        <v>19.898574778302709</v>
      </c>
      <c r="I6">
        <f t="shared" si="0"/>
        <v>6.3822781974649611E-19</v>
      </c>
    </row>
    <row r="7" spans="2:12">
      <c r="B7" t="s">
        <v>166</v>
      </c>
      <c r="C7">
        <v>9</v>
      </c>
      <c r="D7">
        <v>9.0000000092994608</v>
      </c>
      <c r="F7">
        <v>3</v>
      </c>
      <c r="G7">
        <f t="shared" si="1"/>
        <v>28.730096963263492</v>
      </c>
      <c r="H7">
        <f t="shared" si="2"/>
        <v>28.730096964042708</v>
      </c>
      <c r="I7">
        <f t="shared" si="0"/>
        <v>6.0717865179997073E-19</v>
      </c>
    </row>
    <row r="8" spans="2:12">
      <c r="B8" t="s">
        <v>165</v>
      </c>
      <c r="C8">
        <v>2</v>
      </c>
      <c r="D8">
        <v>1.9999999910003501</v>
      </c>
      <c r="F8">
        <v>4</v>
      </c>
      <c r="G8">
        <f t="shared" si="1"/>
        <v>37.679951406650083</v>
      </c>
      <c r="H8">
        <f t="shared" si="2"/>
        <v>37.679951407224408</v>
      </c>
      <c r="I8">
        <f t="shared" si="0"/>
        <v>3.2984873225218276E-19</v>
      </c>
    </row>
    <row r="9" spans="2:12">
      <c r="B9" t="s">
        <v>176</v>
      </c>
      <c r="C9">
        <v>0.7</v>
      </c>
      <c r="D9">
        <v>0.70000000054106004</v>
      </c>
      <c r="F9">
        <v>5</v>
      </c>
      <c r="G9">
        <f t="shared" si="1"/>
        <v>46.803063209559213</v>
      </c>
      <c r="H9">
        <f t="shared" si="2"/>
        <v>46.803063209921824</v>
      </c>
      <c r="I9">
        <f t="shared" si="0"/>
        <v>1.3148693627880649E-19</v>
      </c>
      <c r="K9">
        <f t="array" ref="K9:L13">LINEST(H$5:H$14,G$5:G$14,1,1)</f>
        <v>1.0000000000099363</v>
      </c>
      <c r="L9">
        <v>1.8099655108017032E-10</v>
      </c>
    </row>
    <row r="10" spans="2:12">
      <c r="F10">
        <v>6</v>
      </c>
      <c r="G10">
        <f t="shared" si="1"/>
        <v>56.118366910615364</v>
      </c>
      <c r="H10">
        <f t="shared" si="2"/>
        <v>56.118366910866598</v>
      </c>
      <c r="I10">
        <f t="shared" si="0"/>
        <v>6.3118372271976625E-20</v>
      </c>
      <c r="K10">
        <v>5.2910943378854418E-12</v>
      </c>
      <c r="L10">
        <v>3.1052760721596211E-10</v>
      </c>
    </row>
    <row r="11" spans="2:12">
      <c r="F11">
        <v>7</v>
      </c>
      <c r="G11">
        <f t="shared" si="1"/>
        <v>65.631448936863407</v>
      </c>
      <c r="H11">
        <f t="shared" si="2"/>
        <v>65.631448937173246</v>
      </c>
      <c r="I11">
        <f t="shared" si="0"/>
        <v>9.6000370356066485E-20</v>
      </c>
      <c r="K11">
        <v>1</v>
      </c>
      <c r="L11">
        <v>4.4947988900737981E-10</v>
      </c>
    </row>
    <row r="12" spans="2:12">
      <c r="F12">
        <v>8</v>
      </c>
      <c r="G12">
        <f t="shared" si="1"/>
        <v>75.342192011211637</v>
      </c>
      <c r="H12">
        <f t="shared" si="2"/>
        <v>75.34219201179782</v>
      </c>
      <c r="I12">
        <f t="shared" si="0"/>
        <v>3.4361114977390287E-19</v>
      </c>
      <c r="K12">
        <v>3.5719797672179457E+22</v>
      </c>
      <c r="L12">
        <v>8</v>
      </c>
    </row>
    <row r="13" spans="2:12">
      <c r="F13">
        <v>9</v>
      </c>
      <c r="G13">
        <f t="shared" si="1"/>
        <v>85.247874830767159</v>
      </c>
      <c r="H13">
        <f t="shared" si="2"/>
        <v>85.24787483188129</v>
      </c>
      <c r="I13">
        <f t="shared" si="0"/>
        <v>1.2412879067123872E-18</v>
      </c>
      <c r="K13">
        <v>7216.5482578921683</v>
      </c>
      <c r="L13">
        <v>1.616257364976692E-18</v>
      </c>
    </row>
    <row r="14" spans="2:12">
      <c r="F14">
        <v>10</v>
      </c>
      <c r="G14">
        <f t="shared" si="1"/>
        <v>95.344579656646104</v>
      </c>
      <c r="H14">
        <f t="shared" si="2"/>
        <v>95.344579658564655</v>
      </c>
      <c r="I14">
        <f t="shared" si="0"/>
        <v>3.680836603063908E-18</v>
      </c>
    </row>
    <row r="15" spans="2:12">
      <c r="H15" t="s">
        <v>11</v>
      </c>
      <c r="I15" s="2">
        <f>AVERAGE(I5:I14)</f>
        <v>7.2214825511571129E-19</v>
      </c>
    </row>
    <row r="16" spans="2:12">
      <c r="H16" t="s">
        <v>12</v>
      </c>
      <c r="I16" s="3">
        <f>SQRT(I15)</f>
        <v>8.4979306605532574E-10</v>
      </c>
    </row>
    <row r="17" spans="1:9">
      <c r="H17" t="s">
        <v>13</v>
      </c>
      <c r="I17">
        <f>K11</f>
        <v>1</v>
      </c>
    </row>
    <row r="24" spans="1:9">
      <c r="A24" t="s">
        <v>14</v>
      </c>
    </row>
    <row r="26" spans="1:9">
      <c r="A26" t="s">
        <v>211</v>
      </c>
    </row>
    <row r="28" spans="1:9">
      <c r="A28" t="s">
        <v>16</v>
      </c>
    </row>
    <row r="29" spans="1:9">
      <c r="A29" t="s">
        <v>201</v>
      </c>
    </row>
    <row r="30" spans="1:9">
      <c r="A30" t="s">
        <v>18</v>
      </c>
    </row>
    <row r="31" spans="1:9">
      <c r="A31" t="s">
        <v>19</v>
      </c>
    </row>
    <row r="32" spans="1:9">
      <c r="A32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5" spans="1:1">
      <c r="A45" t="s">
        <v>31</v>
      </c>
    </row>
    <row r="46" spans="1:1">
      <c r="A46" t="s">
        <v>212</v>
      </c>
    </row>
    <row r="47" spans="1:1">
      <c r="A47" t="s">
        <v>213</v>
      </c>
    </row>
    <row r="48" spans="1:1">
      <c r="A48" t="s">
        <v>214</v>
      </c>
    </row>
    <row r="49" spans="1:1">
      <c r="A49" t="s">
        <v>215</v>
      </c>
    </row>
    <row r="50" spans="1:1">
      <c r="A50" t="s">
        <v>216</v>
      </c>
    </row>
    <row r="52" spans="1:1">
      <c r="A52" t="s">
        <v>37</v>
      </c>
    </row>
    <row r="53" spans="1:1">
      <c r="A53" t="s">
        <v>38</v>
      </c>
    </row>
    <row r="54" spans="1:1">
      <c r="A54" t="s">
        <v>283</v>
      </c>
    </row>
    <row r="55" spans="1:1">
      <c r="A55" t="s">
        <v>37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181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1FD6-9D05-4B48-A9EE-1A5CEB642D68}">
  <dimension ref="A2:L153"/>
  <sheetViews>
    <sheetView topLeftCell="A28" workbookViewId="0">
      <selection activeCell="A56" sqref="A56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217</v>
      </c>
    </row>
    <row r="3" spans="2:12">
      <c r="B3" t="s">
        <v>2</v>
      </c>
      <c r="C3" t="s">
        <v>218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100*(C$7*$F5^2+C$8*$F5)</f>
        <v>3.5999999999999996</v>
      </c>
      <c r="H5">
        <f>100*(D$7*$F5^2+D$8*$F5)</f>
        <v>3.5999999999999996</v>
      </c>
      <c r="I5">
        <f t="shared" ref="I5:I14" si="0">(H5-G5)^2</f>
        <v>0</v>
      </c>
    </row>
    <row r="6" spans="2:12">
      <c r="C6" t="s">
        <v>8</v>
      </c>
      <c r="D6" t="s">
        <v>9</v>
      </c>
      <c r="F6">
        <v>2</v>
      </c>
      <c r="G6">
        <f t="shared" ref="G6:G14" si="1">100*(C$7*$F6^2+C$8*$F6)</f>
        <v>8.3999999999999986</v>
      </c>
      <c r="H6">
        <f t="shared" ref="H6:H14" si="2">100*(D$7*$F6^2+D$8*$F6)</f>
        <v>8.3999999999999986</v>
      </c>
      <c r="I6">
        <f t="shared" si="0"/>
        <v>0</v>
      </c>
    </row>
    <row r="7" spans="2:12">
      <c r="B7" t="s">
        <v>166</v>
      </c>
      <c r="C7">
        <v>6.0000000000000001E-3</v>
      </c>
      <c r="D7">
        <v>6.0000000000000001E-3</v>
      </c>
      <c r="F7">
        <v>3</v>
      </c>
      <c r="G7">
        <f t="shared" si="1"/>
        <v>14.399999999999999</v>
      </c>
      <c r="H7">
        <f t="shared" si="2"/>
        <v>14.399999999999999</v>
      </c>
      <c r="I7">
        <f t="shared" si="0"/>
        <v>0</v>
      </c>
    </row>
    <row r="8" spans="2:12">
      <c r="B8" t="s">
        <v>165</v>
      </c>
      <c r="C8">
        <v>0.03</v>
      </c>
      <c r="D8">
        <v>0.03</v>
      </c>
      <c r="F8">
        <v>4</v>
      </c>
      <c r="G8">
        <f t="shared" si="1"/>
        <v>21.6</v>
      </c>
      <c r="H8">
        <f t="shared" si="2"/>
        <v>21.6</v>
      </c>
      <c r="I8">
        <f t="shared" si="0"/>
        <v>0</v>
      </c>
    </row>
    <row r="9" spans="2:12">
      <c r="F9">
        <v>5</v>
      </c>
      <c r="G9">
        <f t="shared" si="1"/>
        <v>30</v>
      </c>
      <c r="H9">
        <f t="shared" si="2"/>
        <v>30</v>
      </c>
      <c r="I9">
        <f t="shared" si="0"/>
        <v>0</v>
      </c>
      <c r="K9">
        <f t="array" ref="K9:L13">LINEST(H$5:H$14,G$5:G$14,1,1)</f>
        <v>0.99999999999999989</v>
      </c>
      <c r="L9">
        <v>7.1054273576010019E-15</v>
      </c>
    </row>
    <row r="10" spans="2:12">
      <c r="F10">
        <v>6</v>
      </c>
      <c r="G10">
        <f t="shared" si="1"/>
        <v>39.6</v>
      </c>
      <c r="H10">
        <f t="shared" si="2"/>
        <v>39.6</v>
      </c>
      <c r="I10">
        <f t="shared" si="0"/>
        <v>0</v>
      </c>
      <c r="K10">
        <v>7.3250402929856306E-17</v>
      </c>
      <c r="L10">
        <v>3.5490466540714829E-15</v>
      </c>
    </row>
    <row r="11" spans="2:12">
      <c r="F11">
        <v>7</v>
      </c>
      <c r="G11">
        <f t="shared" si="1"/>
        <v>50.4</v>
      </c>
      <c r="H11">
        <f t="shared" si="2"/>
        <v>50.4</v>
      </c>
      <c r="I11">
        <f t="shared" si="0"/>
        <v>0</v>
      </c>
      <c r="K11">
        <v>1</v>
      </c>
      <c r="L11">
        <v>6.4665130443335274E-15</v>
      </c>
    </row>
    <row r="12" spans="2:12">
      <c r="F12">
        <v>8</v>
      </c>
      <c r="G12">
        <f t="shared" si="1"/>
        <v>62.4</v>
      </c>
      <c r="H12">
        <f t="shared" si="2"/>
        <v>62.4</v>
      </c>
      <c r="I12">
        <f t="shared" si="0"/>
        <v>0</v>
      </c>
      <c r="K12">
        <v>1.8637169888394568E+32</v>
      </c>
      <c r="L12">
        <v>8</v>
      </c>
    </row>
    <row r="13" spans="2:12">
      <c r="F13">
        <v>9</v>
      </c>
      <c r="G13">
        <f t="shared" si="1"/>
        <v>75.599999999999994</v>
      </c>
      <c r="H13">
        <f t="shared" si="2"/>
        <v>75.599999999999994</v>
      </c>
      <c r="I13">
        <f t="shared" si="0"/>
        <v>0</v>
      </c>
      <c r="K13">
        <v>7793.279999999997</v>
      </c>
      <c r="L13">
        <v>3.3452632762028532E-28</v>
      </c>
    </row>
    <row r="14" spans="2:12">
      <c r="F14">
        <v>10</v>
      </c>
      <c r="G14">
        <f t="shared" si="1"/>
        <v>89.999999999999986</v>
      </c>
      <c r="H14">
        <f t="shared" si="2"/>
        <v>89.999999999999986</v>
      </c>
      <c r="I14">
        <f t="shared" si="0"/>
        <v>0</v>
      </c>
    </row>
    <row r="15" spans="2:12">
      <c r="H15" t="s">
        <v>11</v>
      </c>
      <c r="I15" s="2">
        <f>AVERAGE(I5:I14)</f>
        <v>0</v>
      </c>
    </row>
    <row r="16" spans="2:12">
      <c r="H16" t="s">
        <v>12</v>
      </c>
      <c r="I16" s="3">
        <f>SQRT(I15)</f>
        <v>0</v>
      </c>
    </row>
    <row r="17" spans="1:9">
      <c r="H17" t="s">
        <v>13</v>
      </c>
      <c r="I17">
        <f>K11</f>
        <v>1</v>
      </c>
    </row>
    <row r="25" spans="1:9">
      <c r="A25" t="s">
        <v>14</v>
      </c>
    </row>
    <row r="27" spans="1:9">
      <c r="A27" t="s">
        <v>219</v>
      </c>
    </row>
    <row r="29" spans="1:9">
      <c r="A29" t="s">
        <v>16</v>
      </c>
    </row>
    <row r="30" spans="1:9">
      <c r="A30" t="s">
        <v>201</v>
      </c>
    </row>
    <row r="31" spans="1:9">
      <c r="A31" t="s">
        <v>18</v>
      </c>
    </row>
    <row r="32" spans="1:9">
      <c r="A32" t="s">
        <v>19</v>
      </c>
    </row>
    <row r="33" spans="1:1">
      <c r="A33" t="s">
        <v>20</v>
      </c>
    </row>
    <row r="34" spans="1:1">
      <c r="A34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6" spans="1:1">
      <c r="A46" t="s">
        <v>31</v>
      </c>
    </row>
    <row r="47" spans="1:1">
      <c r="A47" t="s">
        <v>220</v>
      </c>
    </row>
    <row r="48" spans="1:1">
      <c r="A48" t="s">
        <v>221</v>
      </c>
    </row>
    <row r="49" spans="1:1">
      <c r="A49" t="s">
        <v>222</v>
      </c>
    </row>
    <row r="50" spans="1:1">
      <c r="A50" t="s">
        <v>223</v>
      </c>
    </row>
    <row r="51" spans="1:1">
      <c r="A51" t="s">
        <v>224</v>
      </c>
    </row>
    <row r="53" spans="1:1">
      <c r="A53" t="s">
        <v>37</v>
      </c>
    </row>
    <row r="54" spans="1:1">
      <c r="A54" t="s">
        <v>38</v>
      </c>
    </row>
    <row r="55" spans="1:1">
      <c r="A55" t="s">
        <v>283</v>
      </c>
    </row>
    <row r="56" spans="1:1">
      <c r="A56" t="s">
        <v>37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108</v>
      </c>
    </row>
    <row r="127" spans="1:1">
      <c r="A127" t="s">
        <v>109</v>
      </c>
    </row>
    <row r="128" spans="1:1">
      <c r="A128" t="s">
        <v>110</v>
      </c>
    </row>
    <row r="129" spans="1:1">
      <c r="A129" t="s">
        <v>111</v>
      </c>
    </row>
    <row r="130" spans="1:1">
      <c r="A130" t="s">
        <v>112</v>
      </c>
    </row>
    <row r="131" spans="1:1">
      <c r="A131" t="s">
        <v>113</v>
      </c>
    </row>
    <row r="132" spans="1:1">
      <c r="A132" t="s">
        <v>114</v>
      </c>
    </row>
    <row r="133" spans="1:1">
      <c r="A133" t="s">
        <v>115</v>
      </c>
    </row>
    <row r="134" spans="1:1">
      <c r="A134" t="s">
        <v>116</v>
      </c>
    </row>
    <row r="135" spans="1:1">
      <c r="A135" t="s">
        <v>117</v>
      </c>
    </row>
    <row r="136" spans="1:1">
      <c r="A136" t="s">
        <v>118</v>
      </c>
    </row>
    <row r="137" spans="1:1">
      <c r="A137" t="s">
        <v>119</v>
      </c>
    </row>
    <row r="138" spans="1:1">
      <c r="A138" t="s">
        <v>120</v>
      </c>
    </row>
    <row r="139" spans="1:1">
      <c r="A139" t="s">
        <v>121</v>
      </c>
    </row>
    <row r="140" spans="1:1">
      <c r="A140" t="s">
        <v>122</v>
      </c>
    </row>
    <row r="141" spans="1:1">
      <c r="A141" t="s">
        <v>123</v>
      </c>
    </row>
    <row r="142" spans="1:1">
      <c r="A142" t="s">
        <v>124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74CC-3EAA-44B9-9ABA-D0EE26A602F3}">
  <dimension ref="A2:L158"/>
  <sheetViews>
    <sheetView topLeftCell="A31" workbookViewId="0">
      <selection activeCell="A55" sqref="A55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225</v>
      </c>
    </row>
    <row r="3" spans="2:12">
      <c r="B3" t="s">
        <v>2</v>
      </c>
      <c r="C3" t="s">
        <v>226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C$7/1+EXP(-C$8*($F5-C$9))</f>
        <v>25.3011942119122</v>
      </c>
      <c r="H5">
        <f>D$7/1+EXP(-D$8*($F5-D$9))</f>
        <v>25.300879272979369</v>
      </c>
      <c r="I5">
        <f t="shared" ref="I5:I14" si="0">(H5-G5)^2</f>
        <v>9.918653141298741E-8</v>
      </c>
    </row>
    <row r="6" spans="2:12">
      <c r="C6" t="s">
        <v>8</v>
      </c>
      <c r="D6" t="s">
        <v>9</v>
      </c>
      <c r="F6">
        <v>2</v>
      </c>
      <c r="G6">
        <f t="shared" ref="G6:H14" si="1">C$7/1+EXP(-C$8*($F6-C$9))</f>
        <v>25.548811636094026</v>
      </c>
      <c r="H6">
        <f t="shared" si="1"/>
        <v>25.54852479581659</v>
      </c>
      <c r="I6">
        <f t="shared" si="0"/>
        <v>8.2277344759609942E-8</v>
      </c>
    </row>
    <row r="7" spans="2:12">
      <c r="B7" t="s">
        <v>138</v>
      </c>
      <c r="C7">
        <v>25</v>
      </c>
      <c r="D7">
        <v>24.999639999999999</v>
      </c>
      <c r="F7">
        <v>3</v>
      </c>
      <c r="G7">
        <f t="shared" si="1"/>
        <v>26</v>
      </c>
      <c r="H7">
        <f t="shared" si="1"/>
        <v>25.999757003665895</v>
      </c>
      <c r="I7">
        <f t="shared" si="0"/>
        <v>5.9047218388503906E-8</v>
      </c>
    </row>
    <row r="8" spans="2:12">
      <c r="B8" t="s">
        <v>10</v>
      </c>
      <c r="C8">
        <v>-0.6</v>
      </c>
      <c r="D8">
        <v>-0.59998370000000001</v>
      </c>
      <c r="F8">
        <v>4</v>
      </c>
      <c r="G8">
        <f t="shared" si="1"/>
        <v>26.822118800390509</v>
      </c>
      <c r="H8">
        <f t="shared" si="1"/>
        <v>26.821942291200418</v>
      </c>
      <c r="I8">
        <f t="shared" si="0"/>
        <v>3.1155494186479215E-8</v>
      </c>
    </row>
    <row r="9" spans="2:12">
      <c r="B9" t="s">
        <v>227</v>
      </c>
      <c r="C9">
        <v>3</v>
      </c>
      <c r="D9">
        <v>2.9998049999999998</v>
      </c>
      <c r="F9">
        <v>5</v>
      </c>
      <c r="G9">
        <f t="shared" si="1"/>
        <v>28.320116922736545</v>
      </c>
      <c r="H9">
        <f t="shared" si="1"/>
        <v>28.320037141876469</v>
      </c>
      <c r="I9">
        <f t="shared" si="0"/>
        <v>6.3649856345523398E-9</v>
      </c>
      <c r="K9">
        <f t="array" ref="K9:L13">LINEST(H$5:H$14,G$5:G$14,1,1)</f>
        <v>1.000003489787848</v>
      </c>
      <c r="L9">
        <v>-1.6963333685282578E-4</v>
      </c>
    </row>
    <row r="10" spans="2:12">
      <c r="F10">
        <v>6</v>
      </c>
      <c r="G10">
        <f t="shared" si="1"/>
        <v>31.049647464412946</v>
      </c>
      <c r="H10">
        <f t="shared" si="1"/>
        <v>31.04969944020343</v>
      </c>
      <c r="I10">
        <f t="shared" si="0"/>
        <v>2.701482796435987E-9</v>
      </c>
      <c r="K10">
        <v>3.9929274504034788E-6</v>
      </c>
      <c r="L10">
        <v>1.7850452863371621E-4</v>
      </c>
    </row>
    <row r="11" spans="2:12">
      <c r="F11">
        <v>7</v>
      </c>
      <c r="G11">
        <f t="shared" si="1"/>
        <v>36.023176380641601</v>
      </c>
      <c r="H11">
        <f t="shared" si="1"/>
        <v>36.023387360928304</v>
      </c>
      <c r="I11">
        <f t="shared" si="0"/>
        <v>4.4512681377078525E-8</v>
      </c>
      <c r="K11">
        <v>0.99999999987245303</v>
      </c>
      <c r="L11">
        <v>2.5846479674578157E-4</v>
      </c>
    </row>
    <row r="12" spans="2:12">
      <c r="F12">
        <v>8</v>
      </c>
      <c r="G12">
        <f t="shared" si="1"/>
        <v>45.085536923187668</v>
      </c>
      <c r="H12">
        <f t="shared" si="1"/>
        <v>45.085889908560844</v>
      </c>
      <c r="I12">
        <f t="shared" si="0"/>
        <v>1.2459867367640861E-7</v>
      </c>
      <c r="K12">
        <v>62722042513.93956</v>
      </c>
      <c r="L12">
        <v>8</v>
      </c>
    </row>
    <row r="13" spans="2:12">
      <c r="F13">
        <v>9</v>
      </c>
      <c r="G13">
        <f t="shared" si="1"/>
        <v>61.598234443677974</v>
      </c>
      <c r="H13">
        <f t="shared" si="1"/>
        <v>61.598577020195414</v>
      </c>
      <c r="I13">
        <f t="shared" si="0"/>
        <v>1.1735867030121727E-7</v>
      </c>
      <c r="K13">
        <v>4190.0865367625975</v>
      </c>
      <c r="L13">
        <v>5.3443240925470541E-7</v>
      </c>
    </row>
    <row r="14" spans="2:12">
      <c r="F14">
        <v>10</v>
      </c>
      <c r="G14">
        <f t="shared" si="1"/>
        <v>91.686331040925154</v>
      </c>
      <c r="H14">
        <f t="shared" si="1"/>
        <v>91.686164219602475</v>
      </c>
      <c r="I14">
        <f t="shared" si="0"/>
        <v>2.782935370047493E-8</v>
      </c>
    </row>
    <row r="15" spans="2:12">
      <c r="H15" t="s">
        <v>11</v>
      </c>
      <c r="I15" s="2">
        <f>AVERAGE(I5:I14)</f>
        <v>5.9503243623374812E-8</v>
      </c>
    </row>
    <row r="16" spans="2:12">
      <c r="H16" t="s">
        <v>12</v>
      </c>
      <c r="I16" s="3">
        <f>SQRT(I15)</f>
        <v>2.4393286704209175E-4</v>
      </c>
    </row>
    <row r="17" spans="1:9">
      <c r="H17" t="s">
        <v>13</v>
      </c>
      <c r="I17">
        <f>K11</f>
        <v>0.99999999987245303</v>
      </c>
    </row>
    <row r="24" spans="1:9">
      <c r="A24" t="s">
        <v>14</v>
      </c>
    </row>
    <row r="26" spans="1:9">
      <c r="A26" t="s">
        <v>275</v>
      </c>
    </row>
    <row r="28" spans="1:9">
      <c r="A28" t="s">
        <v>16</v>
      </c>
    </row>
    <row r="29" spans="1:9">
      <c r="A29" t="s">
        <v>17</v>
      </c>
    </row>
    <row r="30" spans="1:9">
      <c r="A30" t="s">
        <v>18</v>
      </c>
    </row>
    <row r="31" spans="1:9">
      <c r="A31" t="s">
        <v>19</v>
      </c>
    </row>
    <row r="32" spans="1:9">
      <c r="A32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5" spans="1:1">
      <c r="A45" t="s">
        <v>31</v>
      </c>
    </row>
    <row r="46" spans="1:1">
      <c r="A46" t="s">
        <v>228</v>
      </c>
    </row>
    <row r="47" spans="1:1">
      <c r="A47" t="s">
        <v>229</v>
      </c>
    </row>
    <row r="48" spans="1:1">
      <c r="A48" t="s">
        <v>276</v>
      </c>
    </row>
    <row r="49" spans="1:1">
      <c r="A49" t="s">
        <v>277</v>
      </c>
    </row>
    <row r="50" spans="1:1">
      <c r="A50" t="s">
        <v>278</v>
      </c>
    </row>
    <row r="52" spans="1:1">
      <c r="A52" t="s">
        <v>37</v>
      </c>
    </row>
    <row r="53" spans="1:1">
      <c r="A53" t="s">
        <v>38</v>
      </c>
    </row>
    <row r="54" spans="1:1">
      <c r="A54" t="s">
        <v>283</v>
      </c>
    </row>
    <row r="55" spans="1:1">
      <c r="A55" t="s">
        <v>37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253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254</v>
      </c>
    </row>
    <row r="116" spans="1:1">
      <c r="A116" t="s">
        <v>97</v>
      </c>
    </row>
    <row r="117" spans="1:1">
      <c r="A117" t="s">
        <v>255</v>
      </c>
    </row>
    <row r="118" spans="1:1">
      <c r="A118" t="s">
        <v>98</v>
      </c>
    </row>
    <row r="119" spans="1:1">
      <c r="A119" t="s">
        <v>256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104</v>
      </c>
    </row>
    <row r="125" spans="1:1">
      <c r="A125" t="s">
        <v>105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257</v>
      </c>
    </row>
    <row r="135" spans="1:1">
      <c r="A135" t="s">
        <v>114</v>
      </c>
    </row>
    <row r="136" spans="1:1">
      <c r="A136" t="s">
        <v>115</v>
      </c>
    </row>
    <row r="137" spans="1:1">
      <c r="A137" t="s">
        <v>116</v>
      </c>
    </row>
    <row r="138" spans="1:1">
      <c r="A138" t="s">
        <v>117</v>
      </c>
    </row>
    <row r="139" spans="1:1">
      <c r="A139" t="s">
        <v>118</v>
      </c>
    </row>
    <row r="140" spans="1:1">
      <c r="A140" t="s">
        <v>119</v>
      </c>
    </row>
    <row r="141" spans="1:1">
      <c r="A141" t="s">
        <v>120</v>
      </c>
    </row>
    <row r="142" spans="1:1">
      <c r="A142" t="s">
        <v>121</v>
      </c>
    </row>
    <row r="143" spans="1:1">
      <c r="A143" t="s">
        <v>258</v>
      </c>
    </row>
    <row r="144" spans="1:1">
      <c r="A144" t="s">
        <v>259</v>
      </c>
    </row>
    <row r="145" spans="1:1">
      <c r="A145" t="s">
        <v>124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260</v>
      </c>
    </row>
    <row r="150" spans="1:1">
      <c r="A150" t="s">
        <v>129</v>
      </c>
    </row>
    <row r="151" spans="1:1">
      <c r="A151" t="s">
        <v>261</v>
      </c>
    </row>
    <row r="152" spans="1:1">
      <c r="A152" t="s">
        <v>130</v>
      </c>
    </row>
    <row r="153" spans="1:1">
      <c r="A153" t="s">
        <v>262</v>
      </c>
    </row>
    <row r="154" spans="1:1">
      <c r="A154" t="s">
        <v>131</v>
      </c>
    </row>
    <row r="155" spans="1:1">
      <c r="A155" t="s">
        <v>132</v>
      </c>
    </row>
    <row r="156" spans="1:1">
      <c r="A156" t="s">
        <v>133</v>
      </c>
    </row>
    <row r="157" spans="1:1">
      <c r="A157" t="s">
        <v>134</v>
      </c>
    </row>
    <row r="158" spans="1:1">
      <c r="A158" t="s">
        <v>263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D878-8222-4FD4-AE79-93A117A23AB8}">
  <dimension ref="A2:L153"/>
  <sheetViews>
    <sheetView topLeftCell="A31" workbookViewId="0">
      <selection activeCell="A54" sqref="A54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230</v>
      </c>
    </row>
    <row r="3" spans="2:12">
      <c r="B3" t="s">
        <v>2</v>
      </c>
      <c r="C3" t="s">
        <v>231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100*(EXP(-C$7*(EXP(-C$8*LOG10($F5)))))</f>
        <v>0.67379469990854668</v>
      </c>
      <c r="H5">
        <f>100*(EXP(-D$7*(EXP(-D$8*LOG10($F5)))))</f>
        <v>0.67379469990854668</v>
      </c>
      <c r="I5">
        <f t="shared" ref="I5:I14" si="0">(H5-G5)^2</f>
        <v>0</v>
      </c>
    </row>
    <row r="6" spans="2:12">
      <c r="C6" t="s">
        <v>8</v>
      </c>
      <c r="D6" t="s">
        <v>9</v>
      </c>
      <c r="F6">
        <v>2</v>
      </c>
      <c r="G6">
        <f t="shared" ref="G6:G14" si="1">100*(EXP(-C$7*(EXP(-C$8*LOG10($F6)))))</f>
        <v>22.31794218472157</v>
      </c>
      <c r="H6">
        <f t="shared" ref="H6:H14" si="2">100*(EXP(-D$7*(EXP(-D$8*LOG10($F6)))))</f>
        <v>22.31794218472157</v>
      </c>
      <c r="I6">
        <f t="shared" si="0"/>
        <v>0</v>
      </c>
    </row>
    <row r="7" spans="2:12">
      <c r="B7" t="s">
        <v>166</v>
      </c>
      <c r="C7">
        <v>5</v>
      </c>
      <c r="D7">
        <v>5</v>
      </c>
      <c r="F7">
        <v>3</v>
      </c>
      <c r="G7">
        <f t="shared" si="1"/>
        <v>47.638711997142849</v>
      </c>
      <c r="H7">
        <f t="shared" si="2"/>
        <v>47.638711997142849</v>
      </c>
      <c r="I7">
        <f t="shared" si="0"/>
        <v>0</v>
      </c>
    </row>
    <row r="8" spans="2:12">
      <c r="B8" t="s">
        <v>165</v>
      </c>
      <c r="C8">
        <v>4</v>
      </c>
      <c r="D8">
        <v>4</v>
      </c>
      <c r="F8">
        <v>4</v>
      </c>
      <c r="G8">
        <f t="shared" si="1"/>
        <v>63.771260532653315</v>
      </c>
      <c r="H8">
        <f t="shared" si="2"/>
        <v>63.771260532653315</v>
      </c>
      <c r="I8">
        <f t="shared" si="0"/>
        <v>0</v>
      </c>
    </row>
    <row r="9" spans="2:12">
      <c r="F9">
        <v>5</v>
      </c>
      <c r="G9">
        <f t="shared" si="1"/>
        <v>73.689815922967355</v>
      </c>
      <c r="H9">
        <f t="shared" si="2"/>
        <v>73.689815922967355</v>
      </c>
      <c r="I9">
        <f t="shared" si="0"/>
        <v>0</v>
      </c>
      <c r="K9">
        <f t="array" ref="K9:L13">LINEST(H$5:H$14,G$5:G$14,1,1)</f>
        <v>1.0000000000000002</v>
      </c>
      <c r="L9">
        <v>-1.4210854715202004E-14</v>
      </c>
    </row>
    <row r="10" spans="2:12">
      <c r="F10">
        <v>6</v>
      </c>
      <c r="G10">
        <f t="shared" si="1"/>
        <v>80.057536391998937</v>
      </c>
      <c r="H10">
        <f t="shared" si="2"/>
        <v>80.057536391998937</v>
      </c>
      <c r="I10">
        <f t="shared" si="0"/>
        <v>0</v>
      </c>
      <c r="K10">
        <v>6.7241876536708579E-17</v>
      </c>
      <c r="L10">
        <v>4.7440640510008082E-15</v>
      </c>
    </row>
    <row r="11" spans="2:12">
      <c r="F11">
        <v>7</v>
      </c>
      <c r="G11">
        <f t="shared" si="1"/>
        <v>84.352096165165804</v>
      </c>
      <c r="H11">
        <f t="shared" si="2"/>
        <v>84.352096165165804</v>
      </c>
      <c r="I11">
        <f t="shared" si="0"/>
        <v>0</v>
      </c>
      <c r="K11">
        <v>1</v>
      </c>
      <c r="L11">
        <v>6.2808604694637686E-15</v>
      </c>
    </row>
    <row r="12" spans="2:12">
      <c r="F12">
        <v>8</v>
      </c>
      <c r="G12">
        <f t="shared" si="1"/>
        <v>87.376798152346566</v>
      </c>
      <c r="H12">
        <f t="shared" si="2"/>
        <v>87.376798152346566</v>
      </c>
      <c r="I12">
        <f t="shared" si="0"/>
        <v>0</v>
      </c>
      <c r="K12">
        <v>2.2116701179203255E+32</v>
      </c>
      <c r="L12">
        <v>8</v>
      </c>
    </row>
    <row r="13" spans="2:12">
      <c r="F13">
        <v>9</v>
      </c>
      <c r="G13">
        <f t="shared" si="1"/>
        <v>89.585947853062549</v>
      </c>
      <c r="H13">
        <f t="shared" si="2"/>
        <v>89.585947853062549</v>
      </c>
      <c r="I13">
        <f t="shared" si="0"/>
        <v>0</v>
      </c>
      <c r="K13">
        <v>8724.8635033107566</v>
      </c>
      <c r="L13">
        <v>3.1559366589498104E-28</v>
      </c>
    </row>
    <row r="14" spans="2:12">
      <c r="F14">
        <v>10</v>
      </c>
      <c r="G14">
        <f t="shared" si="1"/>
        <v>91.248996171737559</v>
      </c>
      <c r="H14">
        <f t="shared" si="2"/>
        <v>91.248996171737559</v>
      </c>
      <c r="I14">
        <f t="shared" si="0"/>
        <v>0</v>
      </c>
    </row>
    <row r="15" spans="2:12">
      <c r="H15" t="s">
        <v>11</v>
      </c>
      <c r="I15" s="2">
        <f>AVERAGE(I5:I14)</f>
        <v>0</v>
      </c>
    </row>
    <row r="16" spans="2:12">
      <c r="H16" t="s">
        <v>12</v>
      </c>
      <c r="I16" s="3">
        <f>SQRT(I15)</f>
        <v>0</v>
      </c>
    </row>
    <row r="17" spans="1:9">
      <c r="H17" t="s">
        <v>13</v>
      </c>
      <c r="I17">
        <f>K11</f>
        <v>1</v>
      </c>
    </row>
    <row r="24" spans="1:9">
      <c r="A24" t="s">
        <v>14</v>
      </c>
    </row>
    <row r="26" spans="1:9">
      <c r="A26" t="s">
        <v>279</v>
      </c>
    </row>
    <row r="28" spans="1:9">
      <c r="A28" t="s">
        <v>16</v>
      </c>
    </row>
    <row r="29" spans="1:9">
      <c r="A29" t="s">
        <v>17</v>
      </c>
    </row>
    <row r="30" spans="1:9">
      <c r="A30" t="s">
        <v>18</v>
      </c>
    </row>
    <row r="31" spans="1:9">
      <c r="A31" t="s">
        <v>19</v>
      </c>
    </row>
    <row r="32" spans="1:9">
      <c r="A32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5" spans="1:1">
      <c r="A45" t="s">
        <v>31</v>
      </c>
    </row>
    <row r="46" spans="1:1">
      <c r="A46" t="s">
        <v>232</v>
      </c>
    </row>
    <row r="47" spans="1:1">
      <c r="A47" t="s">
        <v>233</v>
      </c>
    </row>
    <row r="48" spans="1:1">
      <c r="A48" t="s">
        <v>280</v>
      </c>
    </row>
    <row r="49" spans="1:1">
      <c r="A49" t="s">
        <v>281</v>
      </c>
    </row>
    <row r="50" spans="1:1">
      <c r="A50" t="s">
        <v>282</v>
      </c>
    </row>
    <row r="52" spans="1:1">
      <c r="A52" t="s">
        <v>37</v>
      </c>
    </row>
    <row r="53" spans="1:1">
      <c r="A53" t="s">
        <v>38</v>
      </c>
    </row>
    <row r="54" spans="1:1">
      <c r="A54" t="s">
        <v>284</v>
      </c>
    </row>
    <row r="55" spans="1:1">
      <c r="A55" t="s">
        <v>37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253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254</v>
      </c>
    </row>
    <row r="116" spans="1:1">
      <c r="A116" t="s">
        <v>97</v>
      </c>
    </row>
    <row r="117" spans="1:1">
      <c r="A117" t="s">
        <v>255</v>
      </c>
    </row>
    <row r="118" spans="1:1">
      <c r="A118" t="s">
        <v>98</v>
      </c>
    </row>
    <row r="119" spans="1:1">
      <c r="A119" t="s">
        <v>256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104</v>
      </c>
    </row>
    <row r="125" spans="1:1">
      <c r="A125" t="s">
        <v>105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257</v>
      </c>
    </row>
    <row r="135" spans="1:1">
      <c r="A135" t="s">
        <v>114</v>
      </c>
    </row>
    <row r="136" spans="1:1">
      <c r="A136" t="s">
        <v>115</v>
      </c>
    </row>
    <row r="137" spans="1:1">
      <c r="A137" t="s">
        <v>116</v>
      </c>
    </row>
    <row r="138" spans="1:1">
      <c r="A138" t="s">
        <v>117</v>
      </c>
    </row>
    <row r="139" spans="1:1">
      <c r="A139" t="s">
        <v>118</v>
      </c>
    </row>
    <row r="140" spans="1:1">
      <c r="A140" t="s">
        <v>119</v>
      </c>
    </row>
    <row r="141" spans="1:1">
      <c r="A141" t="s">
        <v>120</v>
      </c>
    </row>
    <row r="142" spans="1:1">
      <c r="A142" t="s">
        <v>121</v>
      </c>
    </row>
    <row r="143" spans="1:1">
      <c r="A143" t="s">
        <v>258</v>
      </c>
    </row>
    <row r="144" spans="1:1">
      <c r="A144" t="s">
        <v>259</v>
      </c>
    </row>
    <row r="145" spans="1:1">
      <c r="A145" t="s">
        <v>124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260</v>
      </c>
    </row>
    <row r="150" spans="1:1">
      <c r="A150" t="s">
        <v>129</v>
      </c>
    </row>
    <row r="151" spans="1:1">
      <c r="A151" t="s">
        <v>261</v>
      </c>
    </row>
    <row r="152" spans="1:1">
      <c r="A152" t="s">
        <v>130</v>
      </c>
    </row>
    <row r="153" spans="1:1">
      <c r="A153" t="s">
        <v>262</v>
      </c>
    </row>
  </sheetData>
  <pageMargins left="0" right="0" top="0.39370000000000005" bottom="0.39370000000000005" header="0" footer="0"/>
  <pageSetup paperSize="9" fitToWidth="0" fitToHeight="0" orientation="portrait" r:id="rId1"/>
  <headerFooter>
    <oddHeader>&amp;C&amp;A</oddHeader>
    <oddFooter>&amp;CStrona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338-D4FC-41E6-B23D-22B70CDEC803}">
  <dimension ref="A2:L153"/>
  <sheetViews>
    <sheetView workbookViewId="0">
      <selection activeCell="I27" sqref="I27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234</v>
      </c>
    </row>
    <row r="3" spans="2:12">
      <c r="B3" t="s">
        <v>2</v>
      </c>
      <c r="C3" t="s">
        <v>235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100*C$9*(C$7+C$8*LOG10($F5))</f>
        <v>18</v>
      </c>
      <c r="H5">
        <f>100*D$9*(D$7+D$8*LOG10($F5))</f>
        <v>18.000001051073998</v>
      </c>
      <c r="I5">
        <f t="shared" ref="I5:I14" si="0">(H5-G5)^2</f>
        <v>1.1047565484634359E-12</v>
      </c>
    </row>
    <row r="6" spans="2:12">
      <c r="C6" t="s">
        <v>8</v>
      </c>
      <c r="D6" t="s">
        <v>9</v>
      </c>
      <c r="F6">
        <v>2</v>
      </c>
      <c r="G6">
        <f t="shared" ref="G6:G14" si="1">100*C$9*(C$7+C$8*LOG10($F6))</f>
        <v>36.964889726830812</v>
      </c>
      <c r="H6">
        <f t="shared" ref="H6:H14" si="2">100*D$9*(D$7+D$8*LOG10($F6))</f>
        <v>36.964891590360693</v>
      </c>
      <c r="I6">
        <f t="shared" si="0"/>
        <v>3.4727436193119399E-12</v>
      </c>
    </row>
    <row r="7" spans="2:12">
      <c r="B7" t="s">
        <v>166</v>
      </c>
      <c r="C7">
        <v>0.2</v>
      </c>
      <c r="D7">
        <v>-0.91851830000000001</v>
      </c>
      <c r="F7">
        <v>3</v>
      </c>
      <c r="G7">
        <f t="shared" si="1"/>
        <v>48.058639047338737</v>
      </c>
      <c r="H7">
        <f t="shared" si="2"/>
        <v>48.058641386124826</v>
      </c>
      <c r="I7">
        <f t="shared" si="0"/>
        <v>5.4699203712219479E-12</v>
      </c>
    </row>
    <row r="8" spans="2:12">
      <c r="B8" t="s">
        <v>165</v>
      </c>
      <c r="C8">
        <v>0.7</v>
      </c>
      <c r="D8">
        <v>-3.2148140000000001</v>
      </c>
      <c r="F8">
        <v>4</v>
      </c>
      <c r="G8">
        <f t="shared" si="1"/>
        <v>55.929779453661631</v>
      </c>
      <c r="H8">
        <f t="shared" si="2"/>
        <v>55.929782129647386</v>
      </c>
      <c r="I8">
        <f t="shared" si="0"/>
        <v>7.1608997596952129E-12</v>
      </c>
    </row>
    <row r="9" spans="2:12">
      <c r="B9" t="s">
        <v>227</v>
      </c>
      <c r="C9">
        <v>0.9</v>
      </c>
      <c r="D9">
        <v>-0.1959678</v>
      </c>
      <c r="F9">
        <v>5</v>
      </c>
      <c r="G9">
        <f t="shared" si="1"/>
        <v>62.035110273169188</v>
      </c>
      <c r="H9">
        <f t="shared" si="2"/>
        <v>62.035113210707308</v>
      </c>
      <c r="I9">
        <f t="shared" si="0"/>
        <v>8.6291302082551758E-12</v>
      </c>
      <c r="K9">
        <f t="array" ref="K9:L13">LINEST(H$5:H$14,G$5:G$14,1,1)</f>
        <v>1.00000004284</v>
      </c>
      <c r="L9">
        <v>2.7995399420888134E-7</v>
      </c>
    </row>
    <row r="10" spans="2:12">
      <c r="F10">
        <v>6</v>
      </c>
      <c r="G10">
        <f t="shared" si="1"/>
        <v>67.023528774169549</v>
      </c>
      <c r="H10">
        <f t="shared" si="2"/>
        <v>67.023531925411518</v>
      </c>
      <c r="I10">
        <f t="shared" si="0"/>
        <v>9.9303259509057537E-12</v>
      </c>
      <c r="K10">
        <v>1.0658388942840841E-16</v>
      </c>
      <c r="L10">
        <v>6.6404851276870488E-15</v>
      </c>
    </row>
    <row r="11" spans="2:12">
      <c r="F11">
        <v>7</v>
      </c>
      <c r="G11">
        <f t="shared" si="1"/>
        <v>71.241176520898193</v>
      </c>
      <c r="H11">
        <f t="shared" si="2"/>
        <v>71.241179852824189</v>
      </c>
      <c r="I11">
        <f t="shared" si="0"/>
        <v>1.1101730839843981E-11</v>
      </c>
      <c r="K11">
        <v>1</v>
      </c>
      <c r="L11">
        <v>6.4129195894278354E-15</v>
      </c>
    </row>
    <row r="12" spans="2:12">
      <c r="F12">
        <v>8</v>
      </c>
      <c r="G12">
        <f t="shared" si="1"/>
        <v>74.894669180492443</v>
      </c>
      <c r="H12">
        <f t="shared" si="2"/>
        <v>74.894672668934064</v>
      </c>
      <c r="I12">
        <f t="shared" si="0"/>
        <v>1.2169224942444508E-11</v>
      </c>
      <c r="K12">
        <v>8.8027204183608552E+31</v>
      </c>
      <c r="L12">
        <v>8</v>
      </c>
    </row>
    <row r="13" spans="2:12">
      <c r="F13">
        <v>9</v>
      </c>
      <c r="G13">
        <f t="shared" si="1"/>
        <v>78.117278094677459</v>
      </c>
      <c r="H13">
        <f t="shared" si="2"/>
        <v>78.117281721175658</v>
      </c>
      <c r="I13">
        <f t="shared" si="0"/>
        <v>1.3151489184650783E-11</v>
      </c>
      <c r="K13">
        <v>3620.1661007986363</v>
      </c>
      <c r="L13">
        <v>3.2900430128373824E-28</v>
      </c>
    </row>
    <row r="14" spans="2:12">
      <c r="F14">
        <v>10</v>
      </c>
      <c r="G14">
        <f t="shared" si="1"/>
        <v>80.999999999999986</v>
      </c>
      <c r="H14">
        <f t="shared" si="2"/>
        <v>81.000003749993994</v>
      </c>
      <c r="I14">
        <f t="shared" si="0"/>
        <v>1.4062455058253345E-11</v>
      </c>
    </row>
    <row r="15" spans="2:12">
      <c r="H15" t="s">
        <v>11</v>
      </c>
      <c r="I15" s="2">
        <f>AVERAGE(I5:I14)</f>
        <v>8.625267648304608E-12</v>
      </c>
    </row>
    <row r="16" spans="2:12">
      <c r="H16" t="s">
        <v>12</v>
      </c>
      <c r="I16" s="3">
        <f>SQRT(I15)</f>
        <v>2.9368805982376282E-6</v>
      </c>
    </row>
    <row r="17" spans="1:9">
      <c r="H17" t="s">
        <v>13</v>
      </c>
      <c r="I17">
        <f>K11</f>
        <v>1</v>
      </c>
    </row>
    <row r="19" spans="1:9">
      <c r="A19" t="s">
        <v>14</v>
      </c>
    </row>
    <row r="21" spans="1:9">
      <c r="A21" t="s">
        <v>297</v>
      </c>
    </row>
    <row r="23" spans="1:9">
      <c r="A23" t="s">
        <v>16</v>
      </c>
    </row>
    <row r="24" spans="1:9">
      <c r="A24" t="s">
        <v>201</v>
      </c>
    </row>
    <row r="25" spans="1:9">
      <c r="A25" t="s">
        <v>18</v>
      </c>
    </row>
    <row r="26" spans="1:9">
      <c r="A26" t="s">
        <v>19</v>
      </c>
    </row>
    <row r="27" spans="1:9">
      <c r="A27" t="s">
        <v>20</v>
      </c>
    </row>
    <row r="28" spans="1:9">
      <c r="A28" t="s">
        <v>21</v>
      </c>
    </row>
    <row r="30" spans="1:9">
      <c r="A30" t="s">
        <v>22</v>
      </c>
    </row>
    <row r="31" spans="1:9">
      <c r="A31" t="s">
        <v>23</v>
      </c>
    </row>
    <row r="32" spans="1:9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40" spans="1:1">
      <c r="A40" t="s">
        <v>31</v>
      </c>
    </row>
    <row r="41" spans="1:1">
      <c r="A41" t="s">
        <v>295</v>
      </c>
    </row>
    <row r="42" spans="1:1">
      <c r="A42" t="s">
        <v>296</v>
      </c>
    </row>
    <row r="43" spans="1:1">
      <c r="A43" t="s">
        <v>298</v>
      </c>
    </row>
    <row r="44" spans="1:1">
      <c r="A44" t="s">
        <v>299</v>
      </c>
    </row>
    <row r="45" spans="1:1">
      <c r="A45" t="s">
        <v>300</v>
      </c>
    </row>
    <row r="47" spans="1:1">
      <c r="A47" t="s">
        <v>37</v>
      </c>
    </row>
    <row r="48" spans="1:1">
      <c r="A48" t="s">
        <v>38</v>
      </c>
    </row>
    <row r="49" spans="1:1">
      <c r="A49" t="s">
        <v>252</v>
      </c>
    </row>
    <row r="50" spans="1:1">
      <c r="A50" t="s">
        <v>37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253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2" spans="1:1">
      <c r="A102" t="s">
        <v>89</v>
      </c>
    </row>
    <row r="103" spans="1:1">
      <c r="A103" t="s">
        <v>90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93</v>
      </c>
    </row>
    <row r="107" spans="1:1">
      <c r="A107" t="s">
        <v>94</v>
      </c>
    </row>
    <row r="108" spans="1:1">
      <c r="A108" t="s">
        <v>95</v>
      </c>
    </row>
    <row r="109" spans="1:1">
      <c r="A109" t="s">
        <v>96</v>
      </c>
    </row>
    <row r="110" spans="1:1">
      <c r="A110" t="s">
        <v>254</v>
      </c>
    </row>
    <row r="111" spans="1:1">
      <c r="A111" t="s">
        <v>97</v>
      </c>
    </row>
    <row r="112" spans="1:1">
      <c r="A112" t="s">
        <v>255</v>
      </c>
    </row>
    <row r="113" spans="1:1">
      <c r="A113" t="s">
        <v>98</v>
      </c>
    </row>
    <row r="114" spans="1:1">
      <c r="A114" t="s">
        <v>256</v>
      </c>
    </row>
    <row r="115" spans="1:1">
      <c r="A115" t="s">
        <v>100</v>
      </c>
    </row>
    <row r="116" spans="1:1">
      <c r="A116" t="s">
        <v>101</v>
      </c>
    </row>
    <row r="117" spans="1:1">
      <c r="A117" t="s">
        <v>102</v>
      </c>
    </row>
    <row r="118" spans="1:1">
      <c r="A118" t="s">
        <v>103</v>
      </c>
    </row>
    <row r="119" spans="1:1">
      <c r="A119" t="s">
        <v>104</v>
      </c>
    </row>
    <row r="120" spans="1:1">
      <c r="A120" t="s">
        <v>105</v>
      </c>
    </row>
    <row r="121" spans="1:1">
      <c r="A121" t="s">
        <v>106</v>
      </c>
    </row>
    <row r="122" spans="1:1">
      <c r="A122" t="s">
        <v>107</v>
      </c>
    </row>
    <row r="123" spans="1:1">
      <c r="A123" t="s">
        <v>108</v>
      </c>
    </row>
    <row r="124" spans="1:1">
      <c r="A124" t="s">
        <v>109</v>
      </c>
    </row>
    <row r="125" spans="1:1">
      <c r="A125" t="s">
        <v>110</v>
      </c>
    </row>
    <row r="126" spans="1:1">
      <c r="A126" t="s">
        <v>111</v>
      </c>
    </row>
    <row r="127" spans="1:1">
      <c r="A127" t="s">
        <v>112</v>
      </c>
    </row>
    <row r="128" spans="1:1">
      <c r="A128" t="s">
        <v>113</v>
      </c>
    </row>
    <row r="129" spans="1:1">
      <c r="A129" t="s">
        <v>257</v>
      </c>
    </row>
    <row r="130" spans="1:1">
      <c r="A130" t="s">
        <v>114</v>
      </c>
    </row>
    <row r="131" spans="1:1">
      <c r="A131" t="s">
        <v>115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119</v>
      </c>
    </row>
    <row r="136" spans="1:1">
      <c r="A136" t="s">
        <v>120</v>
      </c>
    </row>
    <row r="137" spans="1:1">
      <c r="A137" t="s">
        <v>121</v>
      </c>
    </row>
    <row r="138" spans="1:1">
      <c r="A138" t="s">
        <v>258</v>
      </c>
    </row>
    <row r="139" spans="1:1">
      <c r="A139" t="s">
        <v>259</v>
      </c>
    </row>
    <row r="140" spans="1:1">
      <c r="A140" t="s">
        <v>124</v>
      </c>
    </row>
    <row r="141" spans="1:1">
      <c r="A141" t="s">
        <v>125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260</v>
      </c>
    </row>
    <row r="145" spans="1:1">
      <c r="A145" t="s">
        <v>129</v>
      </c>
    </row>
    <row r="146" spans="1:1">
      <c r="A146" t="s">
        <v>261</v>
      </c>
    </row>
    <row r="147" spans="1:1">
      <c r="A147" t="s">
        <v>130</v>
      </c>
    </row>
    <row r="148" spans="1:1">
      <c r="A148" t="s">
        <v>262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268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C02F-E4DB-4483-9D92-D746ACFF2A96}">
  <dimension ref="A2:L152"/>
  <sheetViews>
    <sheetView workbookViewId="0">
      <selection activeCell="G26" sqref="G26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236</v>
      </c>
    </row>
    <row r="3" spans="2:12">
      <c r="B3" t="s">
        <v>2</v>
      </c>
      <c r="C3" t="s">
        <v>237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C$7*$F5^C$8*EXP(-C$9*$F5)</f>
        <v>12.870647838739185</v>
      </c>
      <c r="H5">
        <f>D$7*$F5^D$8*EXP(-D$9*$F5)</f>
        <v>12.870647838739185</v>
      </c>
      <c r="I5">
        <f t="shared" ref="I5:I14" si="0">(H5-G5)^2</f>
        <v>0</v>
      </c>
    </row>
    <row r="6" spans="2:12">
      <c r="C6" t="s">
        <v>8</v>
      </c>
      <c r="D6" t="s">
        <v>9</v>
      </c>
      <c r="F6">
        <v>2</v>
      </c>
      <c r="G6">
        <f t="shared" ref="G6:G14" si="1">C$7*$F6^C$8*EXP(-C$9*$F6)</f>
        <v>23.778500211851103</v>
      </c>
      <c r="H6">
        <f t="shared" ref="H6:H14" si="2">D$7*$F6^D$8*EXP(-D$9*$F6)</f>
        <v>23.778500211851103</v>
      </c>
      <c r="I6">
        <f t="shared" si="0"/>
        <v>0</v>
      </c>
    </row>
    <row r="7" spans="2:12">
      <c r="B7" t="s">
        <v>10</v>
      </c>
      <c r="C7">
        <v>13</v>
      </c>
      <c r="D7">
        <v>13</v>
      </c>
      <c r="F7">
        <v>3</v>
      </c>
      <c r="G7">
        <f t="shared" si="1"/>
        <v>33.909676538301262</v>
      </c>
      <c r="H7">
        <f t="shared" si="2"/>
        <v>33.909676538301262</v>
      </c>
      <c r="I7">
        <f t="shared" si="0"/>
        <v>0</v>
      </c>
    </row>
    <row r="8" spans="2:12">
      <c r="B8" t="s">
        <v>166</v>
      </c>
      <c r="C8">
        <v>0.9</v>
      </c>
      <c r="D8">
        <v>0.9</v>
      </c>
      <c r="F8">
        <v>4</v>
      </c>
      <c r="G8">
        <f t="shared" si="1"/>
        <v>43.493620948077151</v>
      </c>
      <c r="H8">
        <f t="shared" si="2"/>
        <v>43.493620948077151</v>
      </c>
      <c r="I8">
        <f t="shared" si="0"/>
        <v>0</v>
      </c>
    </row>
    <row r="9" spans="2:12">
      <c r="B9" t="s">
        <v>227</v>
      </c>
      <c r="C9">
        <v>0.01</v>
      </c>
      <c r="D9">
        <v>0.01</v>
      </c>
      <c r="F9">
        <v>5</v>
      </c>
      <c r="G9">
        <f t="shared" si="1"/>
        <v>52.638272996005348</v>
      </c>
      <c r="H9">
        <f t="shared" si="2"/>
        <v>52.638272996005348</v>
      </c>
      <c r="I9">
        <f t="shared" si="0"/>
        <v>0</v>
      </c>
      <c r="K9">
        <f t="array" ref="K9:L13">LINEST(H$5:H$14,G$5:G$14,1,1)</f>
        <v>0.99999999999999967</v>
      </c>
      <c r="L9">
        <v>2.1316282072803006E-14</v>
      </c>
    </row>
    <row r="10" spans="2:12">
      <c r="F10">
        <v>6</v>
      </c>
      <c r="G10">
        <f t="shared" si="1"/>
        <v>61.407555404096904</v>
      </c>
      <c r="H10">
        <f t="shared" si="2"/>
        <v>61.407555404096904</v>
      </c>
      <c r="I10">
        <f t="shared" si="0"/>
        <v>0</v>
      </c>
      <c r="K10">
        <v>8.4334403701966878E-17</v>
      </c>
      <c r="L10">
        <v>5.155559343131526E-15</v>
      </c>
    </row>
    <row r="11" spans="2:12">
      <c r="F11">
        <v>7</v>
      </c>
      <c r="G11">
        <f t="shared" si="1"/>
        <v>69.844300885208312</v>
      </c>
      <c r="H11">
        <f t="shared" si="2"/>
        <v>69.844300885208312</v>
      </c>
      <c r="I11">
        <f t="shared" si="0"/>
        <v>0</v>
      </c>
      <c r="K11">
        <v>1</v>
      </c>
      <c r="L11">
        <v>6.8240343867339831E-15</v>
      </c>
    </row>
    <row r="12" spans="2:12">
      <c r="F12">
        <v>8</v>
      </c>
      <c r="G12">
        <f t="shared" si="1"/>
        <v>77.979560304688391</v>
      </c>
      <c r="H12">
        <f t="shared" si="2"/>
        <v>77.979560304688391</v>
      </c>
      <c r="I12">
        <f t="shared" si="0"/>
        <v>0</v>
      </c>
      <c r="K12">
        <v>1.4060165830152063E+32</v>
      </c>
      <c r="L12">
        <v>8</v>
      </c>
    </row>
    <row r="13" spans="2:12">
      <c r="F13">
        <v>9</v>
      </c>
      <c r="G13">
        <f t="shared" si="1"/>
        <v>85.837113999702538</v>
      </c>
      <c r="H13">
        <f t="shared" si="2"/>
        <v>85.837113999702538</v>
      </c>
      <c r="I13">
        <f t="shared" si="0"/>
        <v>0</v>
      </c>
      <c r="K13">
        <v>6547.4600336380672</v>
      </c>
      <c r="L13">
        <v>3.7253956249062283E-28</v>
      </c>
    </row>
    <row r="14" spans="2:12">
      <c r="F14">
        <v>10</v>
      </c>
      <c r="G14">
        <f t="shared" si="1"/>
        <v>93.435928167527493</v>
      </c>
      <c r="H14">
        <f t="shared" si="2"/>
        <v>93.435928167527493</v>
      </c>
      <c r="I14">
        <f t="shared" si="0"/>
        <v>0</v>
      </c>
    </row>
    <row r="15" spans="2:12">
      <c r="H15" t="s">
        <v>11</v>
      </c>
      <c r="I15" s="2">
        <f>AVERAGE(I5:I14)</f>
        <v>0</v>
      </c>
    </row>
    <row r="16" spans="2:12">
      <c r="H16" t="s">
        <v>12</v>
      </c>
      <c r="I16" s="3">
        <f>SQRT(I15)</f>
        <v>0</v>
      </c>
    </row>
    <row r="17" spans="1:9">
      <c r="H17" t="s">
        <v>13</v>
      </c>
      <c r="I17">
        <f>K11</f>
        <v>1</v>
      </c>
    </row>
    <row r="24" spans="1:9">
      <c r="A24" t="s">
        <v>14</v>
      </c>
    </row>
    <row r="26" spans="1:9">
      <c r="A26" t="s">
        <v>238</v>
      </c>
    </row>
    <row r="28" spans="1:9">
      <c r="A28" t="s">
        <v>16</v>
      </c>
    </row>
    <row r="29" spans="1:9">
      <c r="A29" t="s">
        <v>201</v>
      </c>
    </row>
    <row r="30" spans="1:9">
      <c r="A30" t="s">
        <v>18</v>
      </c>
    </row>
    <row r="31" spans="1:9">
      <c r="A31" t="s">
        <v>19</v>
      </c>
    </row>
    <row r="32" spans="1:9">
      <c r="A32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5" spans="1:1">
      <c r="A45" t="s">
        <v>31</v>
      </c>
    </row>
    <row r="46" spans="1:1">
      <c r="A46" t="s">
        <v>239</v>
      </c>
    </row>
    <row r="47" spans="1:1">
      <c r="A47" t="s">
        <v>240</v>
      </c>
    </row>
    <row r="48" spans="1:1">
      <c r="A48" t="s">
        <v>241</v>
      </c>
    </row>
    <row r="49" spans="1:1">
      <c r="A49" t="s">
        <v>242</v>
      </c>
    </row>
    <row r="50" spans="1:1">
      <c r="A50" t="s">
        <v>243</v>
      </c>
    </row>
    <row r="52" spans="1:1">
      <c r="A52" t="s">
        <v>37</v>
      </c>
    </row>
    <row r="53" spans="1:1">
      <c r="A53" t="s">
        <v>38</v>
      </c>
    </row>
    <row r="54" spans="1:1">
      <c r="A54" t="s">
        <v>283</v>
      </c>
    </row>
    <row r="55" spans="1:1">
      <c r="A55" t="s">
        <v>37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71C0-AB93-4F0F-998C-360E6776D32C}">
  <dimension ref="A2:L157"/>
  <sheetViews>
    <sheetView tabSelected="1" workbookViewId="0">
      <selection activeCell="A23" sqref="A23:A157"/>
    </sheetView>
  </sheetViews>
  <sheetFormatPr defaultRowHeight="13.2"/>
  <cols>
    <col min="1" max="1" width="11.88671875" customWidth="1"/>
    <col min="2" max="2" width="13.21875" customWidth="1"/>
    <col min="3" max="3" width="22.5546875" customWidth="1"/>
    <col min="4" max="17" width="11.88671875" customWidth="1"/>
    <col min="18" max="18" width="8.88671875" customWidth="1"/>
  </cols>
  <sheetData>
    <row r="2" spans="2:12">
      <c r="B2" t="s">
        <v>0</v>
      </c>
      <c r="C2" t="s">
        <v>244</v>
      </c>
    </row>
    <row r="3" spans="2:12">
      <c r="B3" t="s">
        <v>2</v>
      </c>
      <c r="C3" t="s">
        <v>301</v>
      </c>
    </row>
    <row r="4" spans="2:12">
      <c r="F4" s="1" t="s">
        <v>4</v>
      </c>
      <c r="G4" s="1" t="s">
        <v>5</v>
      </c>
      <c r="H4" s="1" t="s">
        <v>6</v>
      </c>
      <c r="I4" s="1" t="s">
        <v>7</v>
      </c>
    </row>
    <row r="5" spans="2:12">
      <c r="F5">
        <v>1</v>
      </c>
      <c r="G5">
        <f>100*(3/2*(1-(1-C$7)^(2/3))-C$8*$F5)</f>
        <v>18.17453723207635</v>
      </c>
      <c r="H5">
        <f>100*(3/2*(1-(1-D$7)^(2/3))-D$8*$F5)</f>
        <v>18.174537230000009</v>
      </c>
      <c r="I5">
        <f t="shared" ref="I5:I14" si="0">(H5-G5)^2</f>
        <v>4.3111914375460078E-18</v>
      </c>
    </row>
    <row r="6" spans="2:12">
      <c r="C6" t="s">
        <v>8</v>
      </c>
      <c r="D6" t="s">
        <v>9</v>
      </c>
      <c r="F6">
        <v>2</v>
      </c>
      <c r="G6">
        <f t="shared" ref="G6:G14" si="1">100*(3/2*(1-(1-C$7)^(2/3))-C$8*$F6)</f>
        <v>26.174537232076347</v>
      </c>
      <c r="H6">
        <f t="shared" ref="H6:H14" si="2">100*(3/2*(1-(1-D$7)^(2/3))-D$8*$F6)</f>
        <v>26.174537230000006</v>
      </c>
      <c r="I6">
        <f t="shared" si="0"/>
        <v>4.3111914375460078E-18</v>
      </c>
    </row>
    <row r="7" spans="2:12">
      <c r="B7" t="s">
        <v>166</v>
      </c>
      <c r="C7">
        <v>0.1</v>
      </c>
      <c r="D7">
        <v>9.9999999979953097E-2</v>
      </c>
      <c r="F7">
        <v>3</v>
      </c>
      <c r="G7">
        <f t="shared" si="1"/>
        <v>34.174537232076347</v>
      </c>
      <c r="H7">
        <f t="shared" si="2"/>
        <v>34.174537230000006</v>
      </c>
      <c r="I7">
        <f t="shared" si="0"/>
        <v>4.3111914375460078E-18</v>
      </c>
    </row>
    <row r="8" spans="2:12">
      <c r="B8" t="s">
        <v>10</v>
      </c>
      <c r="C8">
        <v>-0.08</v>
      </c>
      <c r="D8">
        <v>-0.08</v>
      </c>
      <c r="F8">
        <v>4</v>
      </c>
      <c r="G8">
        <f t="shared" si="1"/>
        <v>42.174537232076347</v>
      </c>
      <c r="H8">
        <f t="shared" si="2"/>
        <v>42.174537230000006</v>
      </c>
      <c r="I8">
        <f t="shared" si="0"/>
        <v>4.3111914375460078E-18</v>
      </c>
    </row>
    <row r="9" spans="2:12">
      <c r="F9">
        <v>5</v>
      </c>
      <c r="G9">
        <f t="shared" si="1"/>
        <v>50.174537232076347</v>
      </c>
      <c r="H9">
        <f t="shared" si="2"/>
        <v>50.174537230000006</v>
      </c>
      <c r="I9">
        <f t="shared" si="0"/>
        <v>4.3111914375460078E-18</v>
      </c>
      <c r="K9">
        <f t="array" ref="K9:L13">LINEST(H$5:H$14,G$5:G$14,1,1)</f>
        <v>0.99999999999999978</v>
      </c>
      <c r="L9">
        <v>-2.0763124553013768E-9</v>
      </c>
    </row>
    <row r="10" spans="2:12">
      <c r="F10">
        <v>6</v>
      </c>
      <c r="G10">
        <f t="shared" si="1"/>
        <v>58.174537232076354</v>
      </c>
      <c r="H10">
        <f t="shared" si="2"/>
        <v>58.174537230000013</v>
      </c>
      <c r="I10">
        <f t="shared" si="0"/>
        <v>4.3111914375460078E-18</v>
      </c>
      <c r="K10">
        <v>7.4098928378942221E-17</v>
      </c>
      <c r="L10">
        <v>4.3604436518884001E-15</v>
      </c>
    </row>
    <row r="11" spans="2:12">
      <c r="F11">
        <v>7</v>
      </c>
      <c r="G11">
        <f t="shared" si="1"/>
        <v>66.174537232076361</v>
      </c>
      <c r="H11">
        <f t="shared" si="2"/>
        <v>66.174537230000013</v>
      </c>
      <c r="I11">
        <f t="shared" si="0"/>
        <v>4.3112209441750374E-18</v>
      </c>
      <c r="K11">
        <v>1</v>
      </c>
      <c r="L11">
        <v>5.3842955218739789E-15</v>
      </c>
    </row>
    <row r="12" spans="2:12">
      <c r="F12">
        <v>8</v>
      </c>
      <c r="G12">
        <f t="shared" si="1"/>
        <v>74.174537232076347</v>
      </c>
      <c r="H12">
        <f t="shared" si="2"/>
        <v>74.174537229999999</v>
      </c>
      <c r="I12">
        <f t="shared" si="0"/>
        <v>4.3112209441750374E-18</v>
      </c>
      <c r="K12">
        <v>1.8212775970625988E+32</v>
      </c>
      <c r="L12">
        <v>8</v>
      </c>
    </row>
    <row r="13" spans="2:12">
      <c r="F13">
        <v>9</v>
      </c>
      <c r="G13">
        <f t="shared" si="1"/>
        <v>82.174537232076347</v>
      </c>
      <c r="H13">
        <f t="shared" si="2"/>
        <v>82.174537230000013</v>
      </c>
      <c r="I13">
        <f t="shared" si="0"/>
        <v>4.3111619310179525E-18</v>
      </c>
      <c r="K13">
        <v>5280</v>
      </c>
      <c r="L13">
        <v>2.3192510613497747E-28</v>
      </c>
    </row>
    <row r="14" spans="2:12">
      <c r="F14">
        <v>10</v>
      </c>
      <c r="G14">
        <f t="shared" si="1"/>
        <v>90.174537232076361</v>
      </c>
      <c r="H14">
        <f t="shared" si="2"/>
        <v>90.174537230000013</v>
      </c>
      <c r="I14">
        <f t="shared" si="0"/>
        <v>4.3112209441750374E-18</v>
      </c>
    </row>
    <row r="15" spans="2:12">
      <c r="H15" t="s">
        <v>11</v>
      </c>
      <c r="I15" s="2">
        <f>AVERAGE(I5:I14)</f>
        <v>4.3111973388819112E-18</v>
      </c>
    </row>
    <row r="16" spans="2:12">
      <c r="H16" t="s">
        <v>12</v>
      </c>
      <c r="I16" s="3">
        <f>SQRT(I15)</f>
        <v>2.0763422981006554E-9</v>
      </c>
    </row>
    <row r="17" spans="1:9">
      <c r="H17" t="s">
        <v>13</v>
      </c>
      <c r="I17">
        <f>K11</f>
        <v>1</v>
      </c>
    </row>
    <row r="23" spans="1:9">
      <c r="A23" t="s">
        <v>14</v>
      </c>
    </row>
    <row r="25" spans="1:9">
      <c r="A25" t="s">
        <v>302</v>
      </c>
    </row>
    <row r="27" spans="1:9">
      <c r="A27" t="s">
        <v>16</v>
      </c>
    </row>
    <row r="28" spans="1:9">
      <c r="A28" t="s">
        <v>17</v>
      </c>
    </row>
    <row r="29" spans="1:9">
      <c r="A29" t="s">
        <v>18</v>
      </c>
    </row>
    <row r="30" spans="1:9">
      <c r="A30" t="s">
        <v>19</v>
      </c>
    </row>
    <row r="31" spans="1:9">
      <c r="A31" t="s">
        <v>20</v>
      </c>
    </row>
    <row r="32" spans="1:9">
      <c r="A32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4" spans="1:1">
      <c r="A44" t="s">
        <v>31</v>
      </c>
    </row>
    <row r="45" spans="1:1">
      <c r="A45" t="s">
        <v>245</v>
      </c>
    </row>
    <row r="46" spans="1:1">
      <c r="A46" t="s">
        <v>303</v>
      </c>
    </row>
    <row r="47" spans="1:1">
      <c r="A47" t="s">
        <v>304</v>
      </c>
    </row>
    <row r="48" spans="1:1">
      <c r="A48" t="s">
        <v>305</v>
      </c>
    </row>
    <row r="49" spans="1:1">
      <c r="A49" t="s">
        <v>306</v>
      </c>
    </row>
    <row r="51" spans="1:1">
      <c r="A51" t="s">
        <v>37</v>
      </c>
    </row>
    <row r="52" spans="1:1">
      <c r="A52" t="s">
        <v>38</v>
      </c>
    </row>
    <row r="53" spans="1:1">
      <c r="A53" t="s">
        <v>252</v>
      </c>
    </row>
    <row r="54" spans="1:1">
      <c r="A54" t="s">
        <v>37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52</v>
      </c>
    </row>
    <row r="69" spans="1:1">
      <c r="A69" t="s">
        <v>53</v>
      </c>
    </row>
    <row r="70" spans="1:1">
      <c r="A70" t="s">
        <v>54</v>
      </c>
    </row>
    <row r="71" spans="1:1">
      <c r="A71" t="s">
        <v>55</v>
      </c>
    </row>
    <row r="72" spans="1:1">
      <c r="A72" t="s">
        <v>56</v>
      </c>
    </row>
    <row r="73" spans="1:1">
      <c r="A73" t="s">
        <v>57</v>
      </c>
    </row>
    <row r="74" spans="1:1">
      <c r="A74" t="s">
        <v>58</v>
      </c>
    </row>
    <row r="75" spans="1:1">
      <c r="A75" t="s">
        <v>59</v>
      </c>
    </row>
    <row r="76" spans="1:1">
      <c r="A76" t="s">
        <v>60</v>
      </c>
    </row>
    <row r="77" spans="1:1">
      <c r="A77" t="s">
        <v>61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253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254</v>
      </c>
    </row>
    <row r="115" spans="1:1">
      <c r="A115" t="s">
        <v>97</v>
      </c>
    </row>
    <row r="116" spans="1:1">
      <c r="A116" t="s">
        <v>255</v>
      </c>
    </row>
    <row r="117" spans="1:1">
      <c r="A117" t="s">
        <v>98</v>
      </c>
    </row>
    <row r="118" spans="1:1">
      <c r="A118" t="s">
        <v>256</v>
      </c>
    </row>
    <row r="119" spans="1:1">
      <c r="A119" t="s">
        <v>100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109</v>
      </c>
    </row>
    <row r="129" spans="1:1">
      <c r="A129" t="s">
        <v>110</v>
      </c>
    </row>
    <row r="130" spans="1:1">
      <c r="A130" t="s">
        <v>111</v>
      </c>
    </row>
    <row r="131" spans="1:1">
      <c r="A131" t="s">
        <v>112</v>
      </c>
    </row>
    <row r="132" spans="1:1">
      <c r="A132" t="s">
        <v>113</v>
      </c>
    </row>
    <row r="133" spans="1:1">
      <c r="A133" t="s">
        <v>257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258</v>
      </c>
    </row>
    <row r="143" spans="1:1">
      <c r="A143" t="s">
        <v>259</v>
      </c>
    </row>
    <row r="144" spans="1:1">
      <c r="A144" t="s">
        <v>124</v>
      </c>
    </row>
    <row r="145" spans="1:1">
      <c r="A145" t="s">
        <v>125</v>
      </c>
    </row>
    <row r="146" spans="1:1">
      <c r="A146" t="s">
        <v>126</v>
      </c>
    </row>
    <row r="147" spans="1:1">
      <c r="A147" t="s">
        <v>127</v>
      </c>
    </row>
    <row r="148" spans="1:1">
      <c r="A148" t="s">
        <v>260</v>
      </c>
    </row>
    <row r="149" spans="1:1">
      <c r="A149" t="s">
        <v>129</v>
      </c>
    </row>
    <row r="150" spans="1:1">
      <c r="A150" t="s">
        <v>261</v>
      </c>
    </row>
    <row r="151" spans="1:1">
      <c r="A151" t="s">
        <v>130</v>
      </c>
    </row>
    <row r="152" spans="1:1">
      <c r="A152" t="s">
        <v>262</v>
      </c>
    </row>
    <row r="153" spans="1:1">
      <c r="A153" t="s">
        <v>131</v>
      </c>
    </row>
    <row r="154" spans="1:1">
      <c r="A154" t="s">
        <v>132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268</v>
      </c>
    </row>
  </sheetData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0_order</vt:lpstr>
      <vt:lpstr>1_order</vt:lpstr>
      <vt:lpstr>2_order</vt:lpstr>
      <vt:lpstr>3_order</vt:lpstr>
      <vt:lpstr>Michaelis_Menten</vt:lpstr>
      <vt:lpstr>Weibull</vt:lpstr>
      <vt:lpstr>Double_Weibull</vt:lpstr>
      <vt:lpstr>Higuchi</vt:lpstr>
      <vt:lpstr>Hixson_Crowley</vt:lpstr>
      <vt:lpstr>Korsmeyer_Peppas</vt:lpstr>
      <vt:lpstr>Hill</vt:lpstr>
      <vt:lpstr>Hopfenberg</vt:lpstr>
      <vt:lpstr>Peppas_Sahlin</vt:lpstr>
      <vt:lpstr>Quadratic</vt:lpstr>
      <vt:lpstr>Logistic</vt:lpstr>
      <vt:lpstr>Gompertz</vt:lpstr>
      <vt:lpstr>Probit</vt:lpstr>
      <vt:lpstr>Makoid_Banakar</vt:lpstr>
      <vt:lpstr>Baker_Lonsdale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Obajtek</cp:lastModifiedBy>
  <cp:revision>8</cp:revision>
  <dcterms:created xsi:type="dcterms:W3CDTF">2023-06-13T15:14:33Z</dcterms:created>
  <dcterms:modified xsi:type="dcterms:W3CDTF">2024-01-21T19:38:13Z</dcterms:modified>
</cp:coreProperties>
</file>