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1"/>
  </bookViews>
  <sheets>
    <sheet name="План помещений" sheetId="1" r:id="rId1"/>
    <sheet name="Расходы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38" i="2" l="1"/>
  <c r="E39" i="2" s="1"/>
  <c r="D39" i="2"/>
  <c r="C39" i="2"/>
  <c r="D37" i="2"/>
  <c r="E37" i="2"/>
  <c r="D24" i="2"/>
  <c r="E36" i="2" l="1"/>
  <c r="E35" i="2"/>
  <c r="C49" i="2" l="1"/>
  <c r="I48" i="2" l="1"/>
  <c r="C21" i="2" l="1"/>
  <c r="E21" i="2" s="1"/>
  <c r="E34" i="2" l="1"/>
  <c r="E33" i="2" l="1"/>
  <c r="E32" i="2"/>
  <c r="E31" i="2" l="1"/>
  <c r="C24" i="2"/>
  <c r="J5" i="1" l="1"/>
  <c r="J4" i="1"/>
  <c r="E4" i="1"/>
  <c r="H5" i="1"/>
  <c r="G5" i="1"/>
  <c r="F5" i="1"/>
  <c r="E5" i="1"/>
  <c r="D5" i="1"/>
  <c r="F4" i="1"/>
  <c r="D4" i="1"/>
  <c r="C4" i="1"/>
  <c r="E29" i="2" l="1"/>
  <c r="E30" i="2"/>
  <c r="C20" i="2"/>
  <c r="E27" i="2" l="1"/>
  <c r="E26" i="2"/>
  <c r="I3" i="2" l="1"/>
  <c r="K3" i="2" l="1"/>
  <c r="E16" i="2" l="1"/>
  <c r="C48" i="2" l="1"/>
  <c r="E28" i="2"/>
  <c r="C18" i="2" l="1"/>
  <c r="E24" i="2" l="1"/>
  <c r="K54" i="2" s="1"/>
  <c r="E23" i="2"/>
  <c r="C50" i="2" l="1"/>
  <c r="D44" i="2" s="1"/>
  <c r="E22" i="2"/>
  <c r="E20" i="2"/>
  <c r="E17" i="2"/>
  <c r="E18" i="2" l="1"/>
  <c r="D8" i="2"/>
  <c r="D15" i="2" l="1"/>
  <c r="C8" i="2"/>
  <c r="C25" i="2" l="1"/>
  <c r="D25" i="2"/>
  <c r="E25" i="2" l="1"/>
  <c r="D7" i="2"/>
  <c r="C7" i="2"/>
  <c r="C12" i="2" l="1"/>
  <c r="C15" i="2" l="1"/>
  <c r="E15" i="2" l="1"/>
  <c r="C14" i="2"/>
  <c r="E11" i="2"/>
  <c r="E10" i="2" l="1"/>
  <c r="E19" i="2" l="1"/>
  <c r="E9" i="2" l="1"/>
  <c r="E14" i="2"/>
  <c r="E13" i="2" l="1"/>
  <c r="E12" i="2" l="1"/>
  <c r="D3" i="2" l="1"/>
  <c r="E8" i="2" l="1"/>
  <c r="E7" i="2"/>
  <c r="E5" i="2"/>
  <c r="E4" i="2"/>
  <c r="E3" i="2"/>
  <c r="E2" i="2"/>
  <c r="D6" i="2"/>
  <c r="C6" i="2"/>
  <c r="C51" i="2" l="1"/>
  <c r="E6" i="2"/>
  <c r="I6" i="1"/>
  <c r="C44" i="2" l="1"/>
  <c r="K56" i="2"/>
  <c r="B10" i="1"/>
  <c r="C10" i="1"/>
  <c r="H6" i="1"/>
  <c r="G6" i="1"/>
  <c r="F6" i="1"/>
  <c r="E6" i="1"/>
  <c r="D6" i="1"/>
  <c r="C6" i="1"/>
  <c r="J6" i="1" s="1"/>
  <c r="D10" i="1" l="1"/>
  <c r="B7" i="1"/>
  <c r="B11" i="1" l="1"/>
  <c r="C11" i="1"/>
  <c r="D11" i="1" s="1"/>
  <c r="D12" i="1" s="1"/>
  <c r="B18" i="1" s="1"/>
</calcChain>
</file>

<file path=xl/sharedStrings.xml><?xml version="1.0" encoding="utf-8"?>
<sst xmlns="http://schemas.openxmlformats.org/spreadsheetml/2006/main" count="109" uniqueCount="102">
  <si>
    <t>Помещение</t>
  </si>
  <si>
    <t>Спальня 1</t>
  </si>
  <si>
    <t>Спальня 2</t>
  </si>
  <si>
    <t>Зал+Кухня</t>
  </si>
  <si>
    <t>Санузел+Котельная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</si>
  <si>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</si>
  <si>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</si>
  <si>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</si>
  <si>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</si>
  <si>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</si>
  <si>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</si>
  <si>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</si>
  <si>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</si>
  <si>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</si>
  <si>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</si>
  <si>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</si>
  <si>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</si>
  <si>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</si>
  <si>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</si>
  <si>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</si>
  <si>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</si>
  <si>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</si>
  <si>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</si>
  <si>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</si>
  <si>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</si>
  <si>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</si>
  <si>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</si>
  <si>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</si>
  <si>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</si>
  <si>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</si>
  <si>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</si>
  <si>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</si>
  <si>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Гидроизоляция и затирка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</si>
  <si>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</si>
  <si>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</si>
  <si>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</si>
  <si>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</si>
  <si>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</si>
  <si>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</si>
  <si>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</si>
  <si>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</si>
  <si>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</si>
  <si>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</si>
  <si>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</si>
  <si>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</si>
  <si>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</si>
  <si>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</si>
  <si>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</si>
  <si>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</si>
  <si>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</si>
  <si>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</si>
  <si>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</si>
  <si>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</si>
  <si>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</si>
  <si>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</si>
  <si>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</si>
  <si>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Вычеты</t>
  </si>
  <si>
    <t>Потолок</t>
  </si>
  <si>
    <t>Всего вычетов</t>
  </si>
  <si>
    <t>Дверь</t>
  </si>
  <si>
    <t>Клей плиточный 8 м</t>
  </si>
  <si>
    <t>От Жени с Пашей</t>
  </si>
  <si>
    <t>Всего своих средств</t>
  </si>
  <si>
    <t>Изменение</t>
  </si>
  <si>
    <t>Проценты</t>
  </si>
  <si>
    <t>Духовка</t>
  </si>
  <si>
    <t>Газовая панель</t>
  </si>
  <si>
    <t>Дней</t>
  </si>
  <si>
    <t>От Жени с Пашей (расчет процентов)</t>
  </si>
  <si>
    <t xml:space="preserve">Ставка </t>
  </si>
  <si>
    <t>Остаток
долга</t>
  </si>
  <si>
    <t>Клей плиточный 6 м</t>
  </si>
  <si>
    <t>Работа кафель в ванной/перегородка</t>
  </si>
  <si>
    <t>Грунтовка,штукатурка,затирка</t>
  </si>
  <si>
    <t>Коридор</t>
  </si>
  <si>
    <t>Обои в зал и коридор</t>
  </si>
  <si>
    <t>ИПОТЕКА</t>
  </si>
  <si>
    <t>Бетон-контакт,ограничитель 4 шт.</t>
  </si>
  <si>
    <t>Плитка на пол докупили</t>
  </si>
  <si>
    <t>Уголок в ванную и клей</t>
  </si>
  <si>
    <t>Аванс</t>
  </si>
  <si>
    <t>Входная дверь (плат. 18.12 и 18.01)</t>
  </si>
  <si>
    <t>Затирка 1б.</t>
  </si>
  <si>
    <t>Регистрация в РосРеестре</t>
  </si>
  <si>
    <t>Электрокотел</t>
  </si>
  <si>
    <t>Сумма договора</t>
  </si>
  <si>
    <t>Первоначалка</t>
  </si>
  <si>
    <t>Ипотека</t>
  </si>
  <si>
    <t>Осталось за дом (сумма в договор КП)</t>
  </si>
  <si>
    <t>Резерв</t>
  </si>
  <si>
    <t>Смеситель на кухню</t>
  </si>
  <si>
    <t>Ручки для кухонного гарнитура</t>
  </si>
  <si>
    <t>Итого Sстен</t>
  </si>
  <si>
    <t>Sстены 6</t>
  </si>
  <si>
    <t>Sстены 5</t>
  </si>
  <si>
    <t>Sстены 4</t>
  </si>
  <si>
    <t>Sстены 3</t>
  </si>
  <si>
    <t>Sстены 2</t>
  </si>
  <si>
    <t xml:space="preserve">Sстены 1 </t>
  </si>
  <si>
    <t>Sпола</t>
  </si>
  <si>
    <t>Натяжной потолок зал+ванная</t>
  </si>
  <si>
    <t>Оценка для Сбера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</si>
</sst>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"/>
    <numFmt numFmtId="165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</cellStyleXfs>
  <cellXfs count="36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4" fontId="1" fillId="0" borderId="1" xfId="1" applyNumberFormat="1"/>
    <xf numFmtId="164" fontId="0" fillId="0" borderId="0" xfId="0" applyNumberFormat="1"/>
    <xf numFmtId="0" fontId="0" fillId="0" borderId="0" xfId="0" applyAlignment="1">
      <alignment wrapText="1"/>
    </xf>
    <xf numFmtId="0" fontId="4" fillId="2" borderId="0" xfId="3" applyFont="1"/>
    <xf numFmtId="164" fontId="4" fillId="2" borderId="0" xfId="3" applyNumberFormat="1" applyFont="1"/>
    <xf numFmtId="164" fontId="3" fillId="3" borderId="0" xfId="4" applyNumberFormat="1"/>
    <xf numFmtId="164" fontId="3" fillId="5" borderId="0" xfId="6" applyNumberFormat="1"/>
    <xf numFmtId="165" fontId="0" fillId="0" borderId="0" xfId="0" applyNumberFormat="1"/>
    <xf numFmtId="164" fontId="5" fillId="4" borderId="0" xfId="5" applyNumberFormat="1"/>
    <xf numFmtId="0" fontId="5" fillId="4" borderId="0" xfId="5"/>
    <xf numFmtId="0" fontId="5" fillId="7" borderId="0" xfId="8"/>
    <xf numFmtId="0" fontId="3" fillId="6" borderId="0" xfId="7"/>
    <xf numFmtId="0" fontId="0" fillId="7" borderId="0" xfId="8" applyFont="1"/>
    <xf numFmtId="0" fontId="5" fillId="8" borderId="0" xfId="9"/>
    <xf numFmtId="0" fontId="3" fillId="9" borderId="0" xfId="10"/>
    <xf numFmtId="164" fontId="3" fillId="9" borderId="0" xfId="10" applyNumberFormat="1"/>
    <xf numFmtId="0" fontId="5" fillId="10" borderId="0" xfId="11"/>
    <xf numFmtId="164" fontId="5" fillId="10" borderId="0" xfId="11" applyNumberFormat="1"/>
    <xf numFmtId="0" fontId="6" fillId="0" borderId="0" xfId="0" applyFont="1"/>
    <xf numFmtId="0" fontId="0" fillId="4" borderId="0" xfId="5" applyFont="1"/>
    <xf numFmtId="9" fontId="6" fillId="0" borderId="0" xfId="12" applyFont="1"/>
    <xf numFmtId="0" fontId="0" fillId="4" borderId="0" xfId="5" applyFont="1" applyAlignment="1">
      <alignment wrapText="1"/>
    </xf>
    <xf numFmtId="1" fontId="0" fillId="0" borderId="0" xfId="0" applyNumberFormat="1"/>
    <xf numFmtId="0" fontId="3" fillId="11" borderId="0" xfId="13"/>
    <xf numFmtId="164" fontId="3" fillId="11" borderId="0" xfId="13" applyNumberFormat="1"/>
    <xf numFmtId="0" fontId="5" fillId="12" borderId="0" xfId="14"/>
    <xf numFmtId="0" fontId="5" fillId="7" borderId="0" xfId="8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5">
    <cellStyle name="20% - Акцент1" xfId="5" builtinId="30"/>
    <cellStyle name="20% - Акцент3" xfId="11" builtinId="38"/>
    <cellStyle name="20% - Акцент6" xfId="8" builtinId="50"/>
    <cellStyle name="40% - Акцент1" xfId="9" builtinId="31"/>
    <cellStyle name="40% - Акцент2" xfId="14" builtinId="35"/>
    <cellStyle name="60% - Акцент2" xfId="6" builtinId="36"/>
    <cellStyle name="60% - Акцент3" xfId="7" builtinId="40"/>
    <cellStyle name="60% - Акцент4" xfId="4" builtinId="44"/>
    <cellStyle name="Акцент1" xfId="3" builtinId="29"/>
    <cellStyle name="Акцент2" xfId="10" builtinId="33"/>
    <cellStyle name="Акцент3" xfId="13" builtinId="37"/>
    <cellStyle name="Заголовок 1" xfId="1" builtinId="16"/>
    <cellStyle name="Заголовок 2" xfId="2" builtinId="17"/>
    <cellStyle name="Обычный" xfId="0" builtinId="0"/>
    <cellStyle name="Процентный" xfId="1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B4" sqref="B4"/>
    </sheetView>
  </sheetViews>
  <sheetFormatPr defaultRowHeight="15" x14ac:dyDescent="0.25"/>
  <cols>
    <col min="1" max="1" width="21.7109375" customWidth="1"/>
    <col min="2" max="2" width="16.28515625" customWidth="1"/>
    <col min="3" max="3" width="13.710937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  <col min="10" max="10" width="16.28515625" customWidth="1"/>
  </cols>
  <sheetData>
    <row r="1" spans="1:10" ht="20.25" thickBot="1" x14ac:dyDescent="0.35">
      <c r="A1" s="1" t="s">
        <v>0</v>
      </c>
      <c r="B1" s="2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s="1" t="s">
        <v>94</v>
      </c>
      <c r="H1" s="1" t="s">
        <v>93</v>
      </c>
      <c r="I1" s="4" t="s">
        <v>10</v>
      </c>
      <c r="J1" s="1" t="s">
        <v>92</v>
      </c>
    </row>
    <row r="2" spans="1:10" ht="15.75" thickTop="1" x14ac:dyDescent="0.25">
      <c r="A2" t="s">
        <v>1</v>
      </c>
      <c r="B2" s="3">
        <v>16.23</v>
      </c>
      <c r="C2" s="3"/>
      <c r="D2" s="3"/>
      <c r="E2" s="3"/>
      <c r="F2" s="3"/>
      <c r="G2" s="3"/>
      <c r="H2" s="3"/>
    </row>
    <row r="3" spans="1:10" x14ac:dyDescent="0.25">
      <c r="A3" t="s">
        <v>2</v>
      </c>
      <c r="B3" s="3">
        <v>11.82</v>
      </c>
      <c r="C3" s="3"/>
      <c r="D3" s="3"/>
      <c r="E3" s="3"/>
      <c r="F3" s="3"/>
      <c r="G3" s="3"/>
      <c r="H3" s="3"/>
    </row>
    <row r="4" spans="1:10" x14ac:dyDescent="0.25">
      <c r="A4" t="s">
        <v>3</v>
      </c>
      <c r="B4" s="3">
        <v>27.33</v>
      </c>
      <c r="C4" s="3">
        <f>4.38*B15-1.45*1.4</f>
        <v>10.015000000000001</v>
      </c>
      <c r="D4" s="3">
        <f>6.24*B15-1.15*1.4</f>
        <v>15.55</v>
      </c>
      <c r="E4" s="3">
        <f>3.2*B15-2</f>
        <v>6.8000000000000007</v>
      </c>
      <c r="F4" s="3">
        <f>6.28*B15-0.9*2*2</f>
        <v>13.67</v>
      </c>
      <c r="G4" s="3">
        <v>0</v>
      </c>
      <c r="H4" s="3">
        <v>0</v>
      </c>
      <c r="I4">
        <v>0</v>
      </c>
      <c r="J4" s="3">
        <f>SUM(C4:I4)</f>
        <v>46.035000000000004</v>
      </c>
    </row>
    <row r="5" spans="1:10" x14ac:dyDescent="0.25">
      <c r="A5" t="s">
        <v>74</v>
      </c>
      <c r="B5" s="3">
        <v>6.22</v>
      </c>
      <c r="C5" s="3">
        <v>0</v>
      </c>
      <c r="D5" s="3">
        <f>1.14*B15-0.7*2</f>
        <v>1.7349999999999999</v>
      </c>
      <c r="E5" s="3">
        <f>0.6*B15</f>
        <v>1.65</v>
      </c>
      <c r="F5" s="3">
        <f>1.56*B15</f>
        <v>4.29</v>
      </c>
      <c r="G5" s="3">
        <f>1.8*B15-1*2</f>
        <v>2.95</v>
      </c>
      <c r="H5" s="3">
        <f>2.7*B15</f>
        <v>7.4250000000000007</v>
      </c>
      <c r="I5">
        <v>0</v>
      </c>
      <c r="J5" s="3">
        <f>SUM(C5:I5)</f>
        <v>18.05</v>
      </c>
    </row>
    <row r="6" spans="1:10" x14ac:dyDescent="0.25">
      <c r="A6" t="s">
        <v>4</v>
      </c>
      <c r="B6" s="3">
        <v>7</v>
      </c>
      <c r="C6" s="3">
        <f>3.05*B15</f>
        <v>8.3874999999999993</v>
      </c>
      <c r="D6" s="3">
        <f>2.63*B15-1.15*1.4</f>
        <v>5.6225000000000005</v>
      </c>
      <c r="E6" s="3">
        <f>2.46*B15</f>
        <v>6.7649999999999997</v>
      </c>
      <c r="F6" s="3">
        <f>1.74*B15</f>
        <v>4.7850000000000001</v>
      </c>
      <c r="G6" s="3">
        <f>0.6*B15</f>
        <v>1.65</v>
      </c>
      <c r="H6" s="3">
        <f>0.89*B15-2*0.7</f>
        <v>1.0475000000000003</v>
      </c>
      <c r="I6" s="3">
        <f>1*2*2+0.2*2</f>
        <v>4.4000000000000004</v>
      </c>
      <c r="J6" s="3">
        <f>SUM(C6:I7)</f>
        <v>32.657499999999999</v>
      </c>
    </row>
    <row r="7" spans="1:10" x14ac:dyDescent="0.25">
      <c r="A7" t="s">
        <v>17</v>
      </c>
      <c r="B7" s="3">
        <f>SUM(B2:B6)</f>
        <v>68.599999999999994</v>
      </c>
      <c r="C7" s="3"/>
      <c r="D7" s="3"/>
      <c r="E7" s="3"/>
      <c r="F7" s="3"/>
      <c r="G7" s="3"/>
      <c r="H7" s="3"/>
    </row>
    <row r="9" spans="1:10" x14ac:dyDescent="0.25">
      <c r="B9" t="s">
        <v>5</v>
      </c>
      <c r="C9" t="s">
        <v>6</v>
      </c>
      <c r="D9" t="s">
        <v>8</v>
      </c>
    </row>
    <row r="10" spans="1:10" x14ac:dyDescent="0.25">
      <c r="A10" t="s">
        <v>7</v>
      </c>
      <c r="B10">
        <f>B7*C16</f>
        <v>34300</v>
      </c>
      <c r="C10">
        <f>B7*B17</f>
        <v>41160</v>
      </c>
      <c r="D10">
        <f>B10+C10</f>
        <v>75460</v>
      </c>
    </row>
    <row r="11" spans="1:10" x14ac:dyDescent="0.25">
      <c r="A11" t="s">
        <v>9</v>
      </c>
      <c r="B11">
        <f>J6*B16</f>
        <v>9797.25</v>
      </c>
      <c r="C11">
        <f>J6*B17</f>
        <v>19594.5</v>
      </c>
      <c r="D11">
        <f>B11+C11</f>
        <v>29391.75</v>
      </c>
    </row>
    <row r="12" spans="1:10" x14ac:dyDescent="0.25">
      <c r="B12" t="s">
        <v>8</v>
      </c>
      <c r="D12">
        <f>SUM(D10:D11)</f>
        <v>104851.75</v>
      </c>
    </row>
    <row r="13" spans="1:10" x14ac:dyDescent="0.25">
      <c r="A13" t="s">
        <v>11</v>
      </c>
      <c r="B13">
        <v>5000</v>
      </c>
    </row>
    <row r="14" spans="1:10" x14ac:dyDescent="0.25">
      <c r="A14" t="s">
        <v>12</v>
      </c>
      <c r="B14">
        <v>5000</v>
      </c>
    </row>
    <row r="15" spans="1:10" x14ac:dyDescent="0.25">
      <c r="A15" t="s">
        <v>13</v>
      </c>
      <c r="B15">
        <v>2.75</v>
      </c>
    </row>
    <row r="16" spans="1:10" x14ac:dyDescent="0.25">
      <c r="A16" t="s">
        <v>15</v>
      </c>
      <c r="B16">
        <v>300</v>
      </c>
      <c r="C16">
        <v>500</v>
      </c>
    </row>
    <row r="17" spans="1:2" x14ac:dyDescent="0.25">
      <c r="A17" t="s">
        <v>14</v>
      </c>
      <c r="B17">
        <v>600</v>
      </c>
    </row>
    <row r="18" spans="1:2" x14ac:dyDescent="0.25">
      <c r="A18" t="s">
        <v>16</v>
      </c>
      <c r="B18">
        <f>D12+B13+B14</f>
        <v>114851.75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10" workbookViewId="0">
      <selection activeCell="E22" sqref="E22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1.42578125" bestFit="1" customWidth="1"/>
    <col min="10" max="11" width="15.5703125" customWidth="1"/>
    <col min="12" max="12" width="14.140625" customWidth="1"/>
    <col min="13" max="13" width="10.5703125" bestFit="1" customWidth="1"/>
  </cols>
  <sheetData>
    <row r="1" spans="1:11" ht="20.25" thickBot="1" x14ac:dyDescent="0.35">
      <c r="A1" s="1" t="s">
        <v>18</v>
      </c>
      <c r="B1" s="1" t="s">
        <v>19</v>
      </c>
      <c r="C1" s="7" t="s">
        <v>20</v>
      </c>
      <c r="D1" s="7" t="s">
        <v>21</v>
      </c>
      <c r="E1" s="5" t="s">
        <v>27</v>
      </c>
      <c r="G1" s="25" t="s">
        <v>68</v>
      </c>
      <c r="H1" s="25"/>
      <c r="I1" s="25"/>
      <c r="J1" s="25" t="s">
        <v>69</v>
      </c>
      <c r="K1" s="27">
        <v>7.0000000000000007E-2</v>
      </c>
    </row>
    <row r="2" spans="1:11" ht="30.75" thickTop="1" x14ac:dyDescent="0.25">
      <c r="A2" s="6">
        <v>43003</v>
      </c>
      <c r="B2" t="s">
        <v>22</v>
      </c>
      <c r="C2" s="8">
        <v>20000</v>
      </c>
      <c r="D2" s="8">
        <v>20000</v>
      </c>
      <c r="E2" s="8">
        <f>C2-D2</f>
        <v>0</v>
      </c>
      <c r="G2" s="16" t="s">
        <v>18</v>
      </c>
      <c r="H2" s="26" t="s">
        <v>63</v>
      </c>
      <c r="I2" s="26" t="s">
        <v>67</v>
      </c>
      <c r="J2" s="28" t="s">
        <v>70</v>
      </c>
      <c r="K2" s="26" t="s">
        <v>64</v>
      </c>
    </row>
    <row r="3" spans="1:11" x14ac:dyDescent="0.25">
      <c r="A3" s="6">
        <v>43022</v>
      </c>
      <c r="B3" t="s">
        <v>23</v>
      </c>
      <c r="C3" s="8">
        <v>70536</v>
      </c>
      <c r="D3" s="8">
        <f>50000+20536</f>
        <v>70536</v>
      </c>
      <c r="E3" s="8">
        <f t="shared" ref="E3:E7" si="0">C3-D3</f>
        <v>0</v>
      </c>
      <c r="G3" s="6">
        <v>43059</v>
      </c>
      <c r="H3" s="8">
        <v>0</v>
      </c>
      <c r="I3" s="29">
        <f ca="1">TODAY()-G3</f>
        <v>29</v>
      </c>
      <c r="J3" s="8">
        <v>200000</v>
      </c>
      <c r="K3" s="14">
        <f ca="1">J3*K1/365*I3</f>
        <v>1112.3287671232879</v>
      </c>
    </row>
    <row r="4" spans="1:11" x14ac:dyDescent="0.25">
      <c r="A4" s="6">
        <v>43026</v>
      </c>
      <c r="B4" t="s">
        <v>24</v>
      </c>
      <c r="C4" s="8">
        <v>604</v>
      </c>
      <c r="D4" s="8">
        <v>604</v>
      </c>
      <c r="E4" s="8">
        <f t="shared" si="0"/>
        <v>0</v>
      </c>
      <c r="I4" s="8"/>
      <c r="J4" s="8"/>
      <c r="K4" s="8"/>
    </row>
    <row r="5" spans="1:11" x14ac:dyDescent="0.25">
      <c r="A5" s="6">
        <v>43030</v>
      </c>
      <c r="B5" t="s">
        <v>25</v>
      </c>
      <c r="C5" s="8">
        <v>22505</v>
      </c>
      <c r="D5" s="8">
        <v>22505</v>
      </c>
      <c r="E5" s="8">
        <f t="shared" si="0"/>
        <v>0</v>
      </c>
      <c r="I5" s="8"/>
      <c r="J5" s="8"/>
      <c r="K5" s="8"/>
    </row>
    <row r="6" spans="1:11" x14ac:dyDescent="0.25">
      <c r="A6" s="6">
        <v>43030</v>
      </c>
      <c r="B6" s="9" t="s">
        <v>26</v>
      </c>
      <c r="C6" s="8">
        <f>240*7+709</f>
        <v>2389</v>
      </c>
      <c r="D6" s="8">
        <f>240*7+709</f>
        <v>2389</v>
      </c>
      <c r="E6" s="8">
        <f t="shared" si="0"/>
        <v>0</v>
      </c>
      <c r="I6" s="8"/>
      <c r="J6" s="8"/>
      <c r="K6" s="8"/>
    </row>
    <row r="7" spans="1:11" x14ac:dyDescent="0.25">
      <c r="A7" s="6">
        <v>43031</v>
      </c>
      <c r="B7" t="s">
        <v>29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11" x14ac:dyDescent="0.25">
      <c r="A8" s="6">
        <v>43031</v>
      </c>
      <c r="B8" s="9" t="s">
        <v>28</v>
      </c>
      <c r="C8" s="8">
        <f>5600+4500+400+600</f>
        <v>11100</v>
      </c>
      <c r="D8" s="8">
        <f>5600+5500</f>
        <v>11100</v>
      </c>
      <c r="E8" s="8">
        <f t="shared" ref="E8:E29" si="1">C8-D8</f>
        <v>0</v>
      </c>
    </row>
    <row r="9" spans="1:11" x14ac:dyDescent="0.25">
      <c r="A9" s="6">
        <v>43038</v>
      </c>
      <c r="B9" s="9" t="s">
        <v>32</v>
      </c>
      <c r="C9" s="8">
        <v>1050</v>
      </c>
      <c r="D9" s="8">
        <v>1050</v>
      </c>
      <c r="E9" s="8">
        <f t="shared" si="1"/>
        <v>0</v>
      </c>
    </row>
    <row r="10" spans="1:11" x14ac:dyDescent="0.25">
      <c r="A10" s="6">
        <v>43040</v>
      </c>
      <c r="B10" s="9" t="s">
        <v>35</v>
      </c>
      <c r="C10" s="8">
        <v>1820</v>
      </c>
      <c r="D10" s="8">
        <v>1820</v>
      </c>
      <c r="E10" s="8">
        <f t="shared" si="1"/>
        <v>0</v>
      </c>
    </row>
    <row r="11" spans="1:11" x14ac:dyDescent="0.25">
      <c r="A11" s="6">
        <v>43044</v>
      </c>
      <c r="B11" s="9" t="s">
        <v>36</v>
      </c>
      <c r="C11" s="8">
        <v>4818</v>
      </c>
      <c r="D11" s="8">
        <v>4818</v>
      </c>
      <c r="E11" s="8">
        <f t="shared" si="1"/>
        <v>0</v>
      </c>
    </row>
    <row r="12" spans="1:11" ht="30" x14ac:dyDescent="0.25">
      <c r="A12" s="6">
        <v>43050</v>
      </c>
      <c r="B12" s="9" t="s">
        <v>72</v>
      </c>
      <c r="C12" s="8">
        <f>20000+1500</f>
        <v>21500</v>
      </c>
      <c r="D12" s="8">
        <v>21500</v>
      </c>
      <c r="E12" s="8">
        <f t="shared" si="1"/>
        <v>0</v>
      </c>
    </row>
    <row r="13" spans="1:11" x14ac:dyDescent="0.25">
      <c r="A13" s="6">
        <v>43067</v>
      </c>
      <c r="B13" s="9" t="s">
        <v>30</v>
      </c>
      <c r="C13" s="8">
        <v>11900</v>
      </c>
      <c r="D13" s="8">
        <v>11900</v>
      </c>
      <c r="E13" s="8">
        <f t="shared" si="1"/>
        <v>0</v>
      </c>
    </row>
    <row r="14" spans="1:11" x14ac:dyDescent="0.25">
      <c r="A14" s="6">
        <v>43050</v>
      </c>
      <c r="B14" s="9" t="s">
        <v>11</v>
      </c>
      <c r="C14" s="8">
        <f>7101</f>
        <v>7101</v>
      </c>
      <c r="D14" s="8">
        <v>7101</v>
      </c>
      <c r="E14" s="8">
        <f t="shared" si="1"/>
        <v>0</v>
      </c>
    </row>
    <row r="15" spans="1:11" x14ac:dyDescent="0.25">
      <c r="A15" s="6">
        <v>43047</v>
      </c>
      <c r="B15" s="9" t="s">
        <v>37</v>
      </c>
      <c r="C15" s="8">
        <f>75906+12670</f>
        <v>88576</v>
      </c>
      <c r="D15" s="8">
        <f>38000+5500</f>
        <v>43500</v>
      </c>
      <c r="E15" s="8">
        <f t="shared" si="1"/>
        <v>45076</v>
      </c>
    </row>
    <row r="16" spans="1:11" x14ac:dyDescent="0.25">
      <c r="A16" s="6">
        <v>43064</v>
      </c>
      <c r="B16" s="9" t="s">
        <v>65</v>
      </c>
      <c r="C16" s="8">
        <v>30776</v>
      </c>
      <c r="D16" s="8">
        <v>30776</v>
      </c>
      <c r="E16" s="8">
        <f t="shared" si="1"/>
        <v>0</v>
      </c>
    </row>
    <row r="17" spans="1:5" x14ac:dyDescent="0.25">
      <c r="A17" s="6">
        <v>43061</v>
      </c>
      <c r="B17" s="9" t="s">
        <v>66</v>
      </c>
      <c r="C17" s="8">
        <v>12790</v>
      </c>
      <c r="D17" s="8">
        <v>12790</v>
      </c>
      <c r="E17" s="8">
        <f t="shared" si="1"/>
        <v>0</v>
      </c>
    </row>
    <row r="18" spans="1:5" x14ac:dyDescent="0.25">
      <c r="A18" s="6">
        <v>43057</v>
      </c>
      <c r="B18" s="9" t="s">
        <v>40</v>
      </c>
      <c r="C18" s="8">
        <f>2500+2250</f>
        <v>4750</v>
      </c>
      <c r="D18" s="8">
        <v>4750</v>
      </c>
      <c r="E18" s="8">
        <f t="shared" si="1"/>
        <v>0</v>
      </c>
    </row>
    <row r="19" spans="1:5" x14ac:dyDescent="0.25">
      <c r="A19" s="6">
        <v>43067</v>
      </c>
      <c r="B19" s="9" t="s">
        <v>34</v>
      </c>
      <c r="C19" s="8">
        <v>31500</v>
      </c>
      <c r="D19" s="8">
        <v>31500</v>
      </c>
      <c r="E19" s="8">
        <f t="shared" si="1"/>
        <v>0</v>
      </c>
    </row>
    <row r="20" spans="1:5" x14ac:dyDescent="0.25">
      <c r="A20" s="6">
        <v>43063</v>
      </c>
      <c r="B20" s="9" t="s">
        <v>41</v>
      </c>
      <c r="C20" s="8">
        <f>15670+410</f>
        <v>16080</v>
      </c>
      <c r="D20" s="8">
        <v>16080</v>
      </c>
      <c r="E20" s="8">
        <f t="shared" si="1"/>
        <v>0</v>
      </c>
    </row>
    <row r="21" spans="1:5" x14ac:dyDescent="0.25">
      <c r="A21" s="6"/>
      <c r="B21" s="9" t="s">
        <v>83</v>
      </c>
      <c r="C21" s="8">
        <f>2000+2000</f>
        <v>4000</v>
      </c>
      <c r="D21" s="8">
        <v>0</v>
      </c>
      <c r="E21" s="8">
        <f t="shared" si="1"/>
        <v>4000</v>
      </c>
    </row>
    <row r="22" spans="1:5" x14ac:dyDescent="0.25">
      <c r="A22" s="6">
        <v>43070</v>
      </c>
      <c r="B22" s="9" t="s">
        <v>42</v>
      </c>
      <c r="C22" s="8">
        <v>12000</v>
      </c>
      <c r="D22" s="8">
        <v>0</v>
      </c>
      <c r="E22" s="8">
        <f t="shared" si="1"/>
        <v>12000</v>
      </c>
    </row>
    <row r="23" spans="1:5" x14ac:dyDescent="0.25">
      <c r="A23" s="6">
        <v>43057</v>
      </c>
      <c r="B23" s="9" t="s">
        <v>55</v>
      </c>
      <c r="C23" s="8">
        <v>1596</v>
      </c>
      <c r="D23" s="8">
        <v>1596</v>
      </c>
      <c r="E23" s="8">
        <f t="shared" si="1"/>
        <v>0</v>
      </c>
    </row>
    <row r="24" spans="1:5" x14ac:dyDescent="0.25">
      <c r="A24" s="6">
        <v>43057</v>
      </c>
      <c r="B24" s="9" t="s">
        <v>81</v>
      </c>
      <c r="C24" s="8">
        <f>24000+3000</f>
        <v>27000</v>
      </c>
      <c r="D24" s="8">
        <f>14000+3000+5000</f>
        <v>22000</v>
      </c>
      <c r="E24" s="8">
        <f t="shared" si="1"/>
        <v>5000</v>
      </c>
    </row>
    <row r="25" spans="1:5" x14ac:dyDescent="0.25">
      <c r="A25" s="6">
        <v>43051</v>
      </c>
      <c r="B25" s="9" t="s">
        <v>39</v>
      </c>
      <c r="C25" s="8">
        <f>260*6+549</f>
        <v>2109</v>
      </c>
      <c r="D25" s="8">
        <f>1560+549</f>
        <v>2109</v>
      </c>
      <c r="E25" s="8">
        <f t="shared" si="1"/>
        <v>0</v>
      </c>
    </row>
    <row r="26" spans="1:5" x14ac:dyDescent="0.25">
      <c r="A26" s="6">
        <v>43062</v>
      </c>
      <c r="B26" s="9" t="s">
        <v>73</v>
      </c>
      <c r="C26" s="8">
        <v>2080</v>
      </c>
      <c r="D26" s="8">
        <v>2080</v>
      </c>
      <c r="E26" s="8">
        <f t="shared" si="1"/>
        <v>0</v>
      </c>
    </row>
    <row r="27" spans="1:5" x14ac:dyDescent="0.25">
      <c r="A27" s="6">
        <v>43063</v>
      </c>
      <c r="B27" s="9" t="s">
        <v>75</v>
      </c>
      <c r="C27" s="8">
        <v>11851</v>
      </c>
      <c r="D27" s="8">
        <v>11851</v>
      </c>
      <c r="E27" s="8">
        <f t="shared" si="1"/>
        <v>0</v>
      </c>
    </row>
    <row r="28" spans="1:5" x14ac:dyDescent="0.25">
      <c r="A28" s="6">
        <v>43058</v>
      </c>
      <c r="B28" s="9" t="s">
        <v>60</v>
      </c>
      <c r="C28" s="8">
        <v>1820</v>
      </c>
      <c r="D28" s="8">
        <v>1820</v>
      </c>
      <c r="E28" s="8">
        <f t="shared" si="1"/>
        <v>0</v>
      </c>
    </row>
    <row r="29" spans="1:5" x14ac:dyDescent="0.25">
      <c r="A29" s="6">
        <v>43060</v>
      </c>
      <c r="B29" s="9" t="s">
        <v>71</v>
      </c>
      <c r="C29" s="8">
        <v>1560</v>
      </c>
      <c r="D29" s="8">
        <v>1560</v>
      </c>
      <c r="E29" s="8">
        <f t="shared" si="1"/>
        <v>0</v>
      </c>
    </row>
    <row r="30" spans="1:5" x14ac:dyDescent="0.25">
      <c r="A30" s="6">
        <v>43063</v>
      </c>
      <c r="B30" s="9" t="s">
        <v>71</v>
      </c>
      <c r="C30" s="8">
        <v>1560</v>
      </c>
      <c r="D30" s="8">
        <v>1560</v>
      </c>
      <c r="E30" s="8">
        <f t="shared" ref="E30:E38" si="2">C30-D30</f>
        <v>0</v>
      </c>
    </row>
    <row r="31" spans="1:5" x14ac:dyDescent="0.25">
      <c r="A31" s="6">
        <v>43064</v>
      </c>
      <c r="B31" s="9" t="s">
        <v>77</v>
      </c>
      <c r="C31" s="8">
        <v>390</v>
      </c>
      <c r="D31" s="8">
        <v>390</v>
      </c>
      <c r="E31" s="8">
        <f t="shared" si="2"/>
        <v>0</v>
      </c>
    </row>
    <row r="32" spans="1:5" x14ac:dyDescent="0.25">
      <c r="A32" s="6">
        <v>43065</v>
      </c>
      <c r="B32" s="9" t="s">
        <v>78</v>
      </c>
      <c r="C32" s="8">
        <v>1490</v>
      </c>
      <c r="D32" s="8">
        <v>1490</v>
      </c>
      <c r="E32" s="8">
        <f t="shared" si="2"/>
        <v>0</v>
      </c>
    </row>
    <row r="33" spans="1:9" x14ac:dyDescent="0.25">
      <c r="A33" s="6">
        <v>43065</v>
      </c>
      <c r="B33" s="9" t="s">
        <v>79</v>
      </c>
      <c r="C33" s="8">
        <v>430</v>
      </c>
      <c r="D33" s="8">
        <v>430</v>
      </c>
      <c r="E33" s="8">
        <f t="shared" si="2"/>
        <v>0</v>
      </c>
    </row>
    <row r="34" spans="1:9" x14ac:dyDescent="0.25">
      <c r="A34" s="6">
        <v>43066</v>
      </c>
      <c r="B34" s="9" t="s">
        <v>82</v>
      </c>
      <c r="C34" s="8">
        <v>320</v>
      </c>
      <c r="D34" s="8">
        <v>320</v>
      </c>
      <c r="E34" s="8">
        <f t="shared" si="2"/>
        <v>0</v>
      </c>
    </row>
    <row r="35" spans="1:9" x14ac:dyDescent="0.25">
      <c r="A35" s="6">
        <v>43072</v>
      </c>
      <c r="B35" s="9" t="s">
        <v>90</v>
      </c>
      <c r="C35" s="8">
        <v>2970</v>
      </c>
      <c r="D35" s="8">
        <v>2970</v>
      </c>
      <c r="E35" s="8">
        <f t="shared" si="2"/>
        <v>0</v>
      </c>
    </row>
    <row r="36" spans="1:9" x14ac:dyDescent="0.25">
      <c r="A36" s="6">
        <v>43072</v>
      </c>
      <c r="B36" s="9" t="s">
        <v>91</v>
      </c>
      <c r="C36" s="8">
        <v>3800</v>
      </c>
      <c r="D36" s="8">
        <v>3800</v>
      </c>
      <c r="E36" s="8">
        <f t="shared" si="2"/>
        <v>0</v>
      </c>
    </row>
    <row r="37" spans="1:9" x14ac:dyDescent="0.25">
      <c r="A37" s="6">
        <v>43086</v>
      </c>
      <c r="B37" s="9" t="s">
        <v>100</v>
      </c>
      <c r="C37" s="8">
        <v>17500</v>
      </c>
      <c r="D37" s="8">
        <f>9000</f>
        <v>9000</v>
      </c>
      <c r="E37" s="8">
        <f t="shared" si="2"/>
        <v>8500</v>
      </c>
    </row>
    <row r="38" spans="1:9" x14ac:dyDescent="0.25">
      <c r="A38" s="6">
        <v>43077</v>
      </c>
      <c r="B38" s="9" t="s">
        <v>101</v>
      </c>
      <c r="C38" s="8">
        <v>3000</v>
      </c>
      <c r="D38" s="8">
        <v>3000</v>
      </c>
      <c r="E38" s="8">
        <f t="shared" si="2"/>
        <v>0</v>
      </c>
    </row>
    <row r="39" spans="1:9" x14ac:dyDescent="0.25">
      <c r="A39" s="10" t="s">
        <v>38</v>
      </c>
      <c r="B39" s="10"/>
      <c r="C39" s="11">
        <f>SUM(C2:C38)</f>
        <v>492381</v>
      </c>
      <c r="D39" s="11">
        <f>SUM(D2:D38)</f>
        <v>417805</v>
      </c>
      <c r="E39" s="11">
        <f>SUM(E3:E38)</f>
        <v>74576</v>
      </c>
    </row>
    <row r="41" spans="1:9" x14ac:dyDescent="0.25">
      <c r="C41" s="8"/>
    </row>
    <row r="42" spans="1:9" x14ac:dyDescent="0.25">
      <c r="C42" s="34" t="s">
        <v>76</v>
      </c>
      <c r="D42" s="35"/>
    </row>
    <row r="43" spans="1:9" x14ac:dyDescent="0.25">
      <c r="C43" s="15" t="s">
        <v>52</v>
      </c>
      <c r="D43" s="16" t="s">
        <v>51</v>
      </c>
      <c r="H43" s="20" t="s">
        <v>56</v>
      </c>
      <c r="I43" s="20"/>
    </row>
    <row r="44" spans="1:9" x14ac:dyDescent="0.25">
      <c r="B44" t="s">
        <v>43</v>
      </c>
      <c r="C44" s="13">
        <f>C50-C48+E39</f>
        <v>511376</v>
      </c>
      <c r="D44" s="13">
        <f>C50-C48</f>
        <v>436800</v>
      </c>
      <c r="H44" t="s">
        <v>57</v>
      </c>
      <c r="I44" s="8">
        <v>20000</v>
      </c>
    </row>
    <row r="45" spans="1:9" x14ac:dyDescent="0.25">
      <c r="B45" t="s">
        <v>44</v>
      </c>
      <c r="C45" s="8">
        <v>2000000</v>
      </c>
      <c r="H45" t="s">
        <v>59</v>
      </c>
      <c r="I45" s="8">
        <v>12000</v>
      </c>
    </row>
    <row r="46" spans="1:9" x14ac:dyDescent="0.25">
      <c r="B46" t="s">
        <v>45</v>
      </c>
      <c r="C46" s="8">
        <v>100000</v>
      </c>
      <c r="H46" t="s">
        <v>80</v>
      </c>
      <c r="I46" s="8">
        <v>0</v>
      </c>
    </row>
    <row r="47" spans="1:9" x14ac:dyDescent="0.25">
      <c r="B47" t="s">
        <v>61</v>
      </c>
      <c r="C47" s="8">
        <v>200000</v>
      </c>
      <c r="H47" t="s">
        <v>84</v>
      </c>
      <c r="I47" s="8">
        <v>-18800</v>
      </c>
    </row>
    <row r="48" spans="1:9" x14ac:dyDescent="0.25">
      <c r="B48" s="23" t="s">
        <v>62</v>
      </c>
      <c r="C48" s="24">
        <f>SUM(C45:C47)</f>
        <v>2300000</v>
      </c>
      <c r="H48" s="30" t="s">
        <v>58</v>
      </c>
      <c r="I48" s="31">
        <f>SUM(I44:I47)</f>
        <v>13200</v>
      </c>
    </row>
    <row r="49" spans="2:11" x14ac:dyDescent="0.25">
      <c r="B49" t="s">
        <v>31</v>
      </c>
      <c r="C49" s="8">
        <f>2750000</f>
        <v>2750000</v>
      </c>
      <c r="I49" s="8"/>
    </row>
    <row r="50" spans="2:11" x14ac:dyDescent="0.25">
      <c r="B50" s="21" t="s">
        <v>88</v>
      </c>
      <c r="C50" s="22">
        <f>C49-I48</f>
        <v>2736800</v>
      </c>
    </row>
    <row r="51" spans="2:11" x14ac:dyDescent="0.25">
      <c r="B51" s="18" t="s">
        <v>33</v>
      </c>
      <c r="C51" s="12">
        <f>C49+C39</f>
        <v>3242381</v>
      </c>
    </row>
    <row r="53" spans="2:11" x14ac:dyDescent="0.25">
      <c r="C53" s="33" t="s">
        <v>53</v>
      </c>
      <c r="D53" s="33"/>
      <c r="E53" s="33" t="s">
        <v>51</v>
      </c>
      <c r="F53" s="33"/>
      <c r="I53" s="17" t="s">
        <v>85</v>
      </c>
      <c r="J53" s="17"/>
      <c r="K53" s="14">
        <v>2736800</v>
      </c>
    </row>
    <row r="54" spans="2:11" x14ac:dyDescent="0.25">
      <c r="B54" t="s">
        <v>46</v>
      </c>
      <c r="C54" s="17" t="s">
        <v>47</v>
      </c>
      <c r="D54" s="19" t="s">
        <v>54</v>
      </c>
      <c r="E54" s="17" t="s">
        <v>47</v>
      </c>
      <c r="F54" s="19" t="s">
        <v>54</v>
      </c>
      <c r="I54" s="17" t="s">
        <v>86</v>
      </c>
      <c r="J54" s="17"/>
      <c r="K54" s="14">
        <f>C48-E39-K55</f>
        <v>2166500</v>
      </c>
    </row>
    <row r="55" spans="2:11" x14ac:dyDescent="0.25">
      <c r="B55" t="s">
        <v>48</v>
      </c>
      <c r="C55" s="14">
        <v>7500</v>
      </c>
      <c r="D55" s="14">
        <v>9800</v>
      </c>
      <c r="E55" s="14">
        <v>5900</v>
      </c>
      <c r="F55" s="14">
        <v>7700</v>
      </c>
      <c r="I55" s="19" t="s">
        <v>89</v>
      </c>
      <c r="J55" s="17"/>
      <c r="K55" s="14">
        <v>58924</v>
      </c>
    </row>
    <row r="56" spans="2:11" x14ac:dyDescent="0.25">
      <c r="B56" t="s">
        <v>49</v>
      </c>
      <c r="C56" s="14">
        <v>674000</v>
      </c>
      <c r="D56" s="14">
        <v>544000</v>
      </c>
      <c r="E56" s="14">
        <v>525000</v>
      </c>
      <c r="F56" s="14">
        <v>420000</v>
      </c>
      <c r="I56" s="32" t="s">
        <v>87</v>
      </c>
      <c r="J56" s="32"/>
      <c r="K56" s="14">
        <f>K53-K54</f>
        <v>570300</v>
      </c>
    </row>
    <row r="57" spans="2:11" x14ac:dyDescent="0.25">
      <c r="B57" t="s">
        <v>50</v>
      </c>
      <c r="C57">
        <v>10.996</v>
      </c>
      <c r="D57">
        <v>10.962999999999999</v>
      </c>
      <c r="E57">
        <v>10.996</v>
      </c>
      <c r="F57">
        <v>10.962999999999999</v>
      </c>
    </row>
  </sheetData>
  <mergeCells count="3">
    <mergeCell ref="C53:D53"/>
    <mergeCell ref="E53:F53"/>
    <mergeCell ref="C42:D4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 помещений</vt:lpstr>
      <vt:lpstr>Расходы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Головачев Алексей Радьевич</cp:lastModifiedBy>
  <dcterms:created xsi:type="dcterms:W3CDTF">2017-10-02T15:02:16Z</dcterms:created>
  <dcterms:modified xsi:type="dcterms:W3CDTF">2017-12-19T08:59:26Z</dcterms:modified>
</cp:coreProperties>
</file>