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5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  <sheet name="Забор по северу" sheetId="5" r:id="rId5"/>
    <sheet name="Гараж" sheetId="6" r:id="rId6"/>
  </sheets>
  <calcPr calcId="145621"/>
</workbook>
</file>

<file path=xl/calcChain.xml><?xml version="1.0" encoding="utf-8"?>
<calcChain xmlns="http://schemas.openxmlformats.org/spreadsheetml/2006/main">
  <c r="E164" i="6" l="1"/>
  <c r="E163" i="6"/>
  <c r="E162" i="6"/>
  <c r="C98" i="6"/>
  <c r="E127" i="6" l="1"/>
  <c r="E128" i="6" s="1"/>
  <c r="E121" i="6"/>
  <c r="E120" i="6"/>
  <c r="E119" i="6"/>
  <c r="E117" i="6"/>
  <c r="E116" i="6"/>
  <c r="E113" i="6"/>
  <c r="E112" i="6"/>
  <c r="E118" i="6"/>
  <c r="E111" i="6"/>
  <c r="E115" i="6"/>
  <c r="E124" i="6"/>
  <c r="E123" i="6"/>
  <c r="E122" i="6"/>
  <c r="E114" i="6"/>
  <c r="E110" i="6"/>
  <c r="E109" i="6"/>
  <c r="E108" i="6"/>
  <c r="D107" i="6"/>
  <c r="E107" i="6" s="1"/>
  <c r="E125" i="6" l="1"/>
  <c r="E129" i="6" s="1"/>
  <c r="E136" i="6"/>
  <c r="E133" i="6"/>
  <c r="E134" i="6"/>
  <c r="E135" i="6"/>
  <c r="C99" i="6" l="1"/>
  <c r="E99" i="6" l="1"/>
  <c r="E157" i="6"/>
  <c r="E156" i="6"/>
  <c r="E155" i="6"/>
  <c r="E98" i="6"/>
  <c r="E88" i="6"/>
  <c r="E90" i="6"/>
  <c r="E94" i="6"/>
  <c r="E100" i="6"/>
  <c r="E95" i="6"/>
  <c r="E93" i="6"/>
  <c r="E92" i="6"/>
  <c r="E91" i="6"/>
  <c r="E89" i="6"/>
  <c r="E87" i="6"/>
  <c r="E86" i="6"/>
  <c r="E85" i="6"/>
  <c r="E96" i="6" l="1"/>
  <c r="E101" i="6"/>
  <c r="E158" i="6"/>
  <c r="W13" i="6"/>
  <c r="W15" i="6"/>
  <c r="E102" i="6" l="1"/>
  <c r="E103" i="6" s="1"/>
  <c r="T13" i="6"/>
  <c r="S13" i="6"/>
  <c r="S16" i="6" s="1"/>
  <c r="E104" i="6" l="1"/>
  <c r="T14" i="6"/>
  <c r="T16" i="6" s="1"/>
  <c r="U13" i="6"/>
  <c r="I14" i="6"/>
  <c r="O14" i="6" s="1"/>
  <c r="I13" i="6"/>
  <c r="O13" i="6" s="1"/>
  <c r="N14" i="6" l="1"/>
  <c r="P13" i="6"/>
  <c r="P14" i="6"/>
  <c r="N13" i="6"/>
  <c r="U14" i="6"/>
  <c r="U16" i="6" s="1"/>
  <c r="V14" i="6"/>
  <c r="E58" i="6"/>
  <c r="I60" i="6" s="1"/>
  <c r="I61" i="6" s="1"/>
  <c r="V16" i="6" l="1"/>
  <c r="W14" i="6"/>
  <c r="W16" i="6" s="1"/>
  <c r="E38" i="6"/>
  <c r="E39" i="6"/>
  <c r="E40" i="6"/>
  <c r="E41" i="6"/>
  <c r="E42" i="6"/>
  <c r="E43" i="6"/>
  <c r="E44" i="6"/>
  <c r="E45" i="6"/>
  <c r="E37" i="6"/>
  <c r="E36" i="6"/>
  <c r="E35" i="6"/>
  <c r="E34" i="6"/>
  <c r="E33" i="6"/>
  <c r="K20" i="6" l="1"/>
  <c r="K19" i="6"/>
  <c r="E48" i="6" l="1"/>
  <c r="E47" i="6"/>
  <c r="E46" i="6"/>
  <c r="E32" i="6"/>
  <c r="E30" i="6"/>
  <c r="E29" i="6"/>
  <c r="E28" i="6"/>
  <c r="E27" i="6"/>
  <c r="E26" i="6"/>
  <c r="E25" i="6"/>
  <c r="E24" i="6"/>
  <c r="E23" i="6"/>
  <c r="E22" i="6"/>
  <c r="E21" i="6"/>
  <c r="E20" i="6"/>
  <c r="E13" i="6"/>
  <c r="E11" i="6"/>
  <c r="E10" i="6"/>
  <c r="E9" i="6"/>
  <c r="E8" i="6"/>
  <c r="E7" i="6" l="1"/>
  <c r="E4" i="6"/>
  <c r="E6" i="6"/>
  <c r="E19" i="6" l="1"/>
  <c r="E18" i="6"/>
  <c r="E49" i="6" l="1"/>
  <c r="E5" i="6"/>
  <c r="E3" i="6" l="1"/>
  <c r="E14" i="6" s="1"/>
  <c r="I4" i="2" l="1"/>
  <c r="K4" i="2" s="1"/>
  <c r="F20" i="5" l="1"/>
  <c r="F17" i="5"/>
  <c r="F16" i="5"/>
  <c r="H16" i="5" l="1"/>
  <c r="Q4" i="5"/>
  <c r="J20" i="5"/>
  <c r="J16" i="5" l="1"/>
  <c r="J17" i="5"/>
  <c r="J28" i="4" l="1"/>
  <c r="J33" i="4"/>
  <c r="J32" i="4"/>
  <c r="J31" i="4"/>
  <c r="J13" i="4"/>
  <c r="J29" i="4" l="1"/>
  <c r="J27" i="4"/>
  <c r="J26" i="4"/>
  <c r="J34" i="4" s="1"/>
  <c r="J16" i="4"/>
  <c r="J12" i="4"/>
  <c r="J17" i="4"/>
  <c r="J11" i="4"/>
  <c r="J30" i="4"/>
  <c r="J10" i="4"/>
  <c r="J14" i="4"/>
  <c r="J9" i="4"/>
  <c r="J8" i="4"/>
  <c r="J7" i="4"/>
  <c r="J6" i="4"/>
  <c r="J5" i="4"/>
  <c r="J15" i="4"/>
  <c r="J4" i="4"/>
  <c r="J3" i="4"/>
  <c r="D14" i="4"/>
  <c r="D11" i="4"/>
  <c r="D10" i="4"/>
  <c r="D9" i="4"/>
  <c r="D13" i="4"/>
  <c r="D8" i="4"/>
  <c r="D7" i="4"/>
  <c r="D6" i="4"/>
  <c r="D5" i="4"/>
  <c r="D12" i="4"/>
  <c r="D4" i="4"/>
  <c r="D3" i="4"/>
  <c r="B24" i="4" l="1"/>
  <c r="C24" i="4"/>
  <c r="C25" i="4"/>
  <c r="J18" i="4"/>
  <c r="B25" i="4"/>
  <c r="D15" i="4"/>
  <c r="I3" i="2"/>
  <c r="C26" i="4" l="1"/>
  <c r="D25" i="4"/>
  <c r="D24" i="4"/>
  <c r="B26" i="4"/>
  <c r="B29" i="4" s="1"/>
  <c r="G14" i="3"/>
  <c r="D26" i="4" l="1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comments1.xml><?xml version="1.0" encoding="utf-8"?>
<comments xmlns="http://schemas.openxmlformats.org/spreadsheetml/2006/main">
  <authors>
    <author>Головачев Алексей Радьевич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 xml:space="preserve">1. На 1м3 кладки ШБ требуется 0,25м3 раствора
2. 1м3 раствора = 1м3 песка + 0,3м3 или 466кг цемента
</t>
        </r>
      </text>
    </comment>
    <comment ref="A88" authorId="0">
      <text>
        <r>
          <rPr>
            <b/>
            <sz val="9"/>
            <color indexed="81"/>
            <rFont val="Tahoma"/>
            <charset val="1"/>
          </rPr>
          <t xml:space="preserve">1. На 1м3 кладки ШБ требуется 0,25м3 раствора
2. 1м3 раствора = 1м3 песка + 0,3м3 или 466кг цемента
</t>
        </r>
      </text>
    </comment>
  </commentList>
</comments>
</file>

<file path=xl/sharedStrings.xml><?xml version="1.0" encoding="utf-8"?>
<sst xmlns="http://schemas.openxmlformats.org/spreadsheetml/2006/main" count="584" uniqueCount="416">
  <si>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</si>
  <si>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</si>
  <si>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</si>
  <si>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</si>
  <si>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</si>
  <si>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</si>
  <si>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</si>
  <si>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</si>
  <si>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</si>
  <si>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</si>
  <si>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</si>
  <si>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</si>
  <si>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</si>
  <si>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</si>
  <si>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</si>
  <si>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</si>
  <si>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</si>
  <si>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</si>
  <si>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</si>
  <si>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</si>
  <si>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</si>
  <si>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</si>
  <si>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</si>
  <si>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</si>
  <si>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</si>
  <si>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</si>
  <si>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</si>
  <si>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</si>
  <si>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</si>
  <si>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</si>
  <si>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</si>
  <si>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</si>
  <si>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</si>
  <si>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</si>
  <si>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</si>
  <si>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</si>
  <si>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</si>
  <si>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</si>
  <si>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</si>
  <si>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</si>
  <si>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</si>
  <si>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</si>
  <si>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</si>
  <si>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</si>
  <si>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</si>
  <si>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</si>
  <si>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</si>
  <si>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</si>
  <si>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</si>
  <si>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</si>
  <si>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</si>
  <si>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</si>
  <si>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</si>
  <si>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</si>
  <si>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</si>
  <si>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</si>
  <si>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</si>
  <si>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</si>
  <si>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</si>
  <si>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</si>
  <si>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</si>
  <si>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</si>
  <si>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</si>
  <si>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</si>
  <si>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</si>
  <si>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</si>
  <si>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</si>
  <si>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</si>
  <si>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</si>
  <si>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</si>
  <si>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</si>
  <si>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</si>
  <si>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</si>
  <si>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</si>
  <si>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</si>
  <si>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</si>
  <si>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</si>
  <si>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</si>
  <si>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</si>
  <si>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</si>
  <si>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</si>
  <si>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</si>
  <si>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</si>
  <si>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</si>
  <si>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</si>
  <si>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</si>
  <si>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</si>
  <si>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</si>
  <si>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</si>
  <si>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</si>
  <si>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</si>
  <si>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</si>
  <si>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</si>
  <si>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</si>
  <si>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</si>
  <si>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</si>
  <si>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</si>
  <si>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</si>
  <si>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</si>
  <si>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</si>
  <si>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</si>
  <si>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</si>
  <si>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</si>
  <si>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</si>
  <si>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</si>
  <si>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</si>
  <si>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</si>
  <si>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</si>
  <si>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</si>
  <si>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</si>
  <si>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</si>
  <si>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</si>
  <si>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</si>
  <si>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</si>
  <si>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</si>
  <si>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</si>
  <si>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</si>
  <si>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</si>
  <si>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</si>
  <si>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</si>
  <si>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</si>
  <si>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</si>
  <si>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</si>
  <si>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</si>
  <si>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</si>
  <si>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</si>
  <si>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</si>
  <si>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</si>
  <si>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</si>
  <si>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</si>
  <si>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</si>
  <si>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</si>
  <si>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</si>
  <si>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</si>
  <si>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</si>
  <si>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</si>
  <si>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</si>
  <si>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</si>
  <si>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</si>
  <si>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</si>
  <si>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</si>
  <si>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</si>
  <si>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</si>
  <si>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</si>
  <si>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</si>
  <si>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</si>
  <si>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</si>
  <si>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</si>
  <si>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</si>
  <si>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</si>
  <si>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</si>
  <si>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</si>
  <si>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</si>
  <si>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</si>
  <si>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</si>
  <si>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</si>
  <si>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</si>
  <si>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</si>
  <si>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</si>
  <si>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</si>
  <si>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</si>
  <si>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</si>
  <si>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</si>
  <si>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</si>
  <si>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</si>
  <si>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</si>
  <si>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</si>
  <si>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</si>
  <si>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</si>
  <si>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</si>
  <si>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</si>
  <si>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</si>
  <si>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</si>
  <si>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</si>
  <si>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</si>
  <si>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</si>
  <si>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</si>
  <si>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</si>
  <si>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</si>
  <si>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</si>
  <si>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</si>
  <si>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</si>
  <si>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</si>
  <si>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</si>
  <si>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</si>
  <si>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</si>
  <si>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</si>
  <si>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</si>
  <si>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</si>
  <si>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</si>
  <si>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</si>
  <si>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</si>
  <si>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</si>
  <si>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</si>
  <si>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</si>
  <si>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</si>
  <si>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</si>
  <si>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</si>
  <si>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</si>
  <si>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</si>
  <si>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</si>
  <si>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</si>
  <si>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</si>
  <si>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</si>
  <si>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</si>
  <si>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</si>
  <si>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</si>
  <si>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</si>
  <si>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</si>
  <si>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</si>
  <si>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</si>
  <si>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</si>
  <si>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</si>
  <si>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</si>
  <si>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</si>
  <si>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</si>
  <si>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</si>
  <si>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</si>
  <si>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</si>
  <si>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</si>
  <si>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</si>
  <si>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</si>
  <si>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</si>
  <si>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</si>
  <si>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</si>
  <si>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</si>
  <si>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</si>
  <si>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</si>
  <si>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</si>
  <si>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</si>
  <si>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</si>
  <si>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</si>
  <si>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</si>
  <si>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</si>
  <si>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</si>
  <si>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</si>
  <si>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За материалы без бетона</t>
  </si>
  <si>
    <t>Бетон гараж</t>
  </si>
  <si>
    <t>Бетон забор, м3</t>
  </si>
  <si>
    <t>Доставка арматуры</t>
  </si>
  <si>
    <t>Труба под столбы</t>
  </si>
  <si>
    <t>Труба под перемычки</t>
  </si>
  <si>
    <t>Профлист</t>
  </si>
  <si>
    <t>Длина,м</t>
  </si>
  <si>
    <t>Высота,м</t>
  </si>
  <si>
    <t>Высота, м</t>
  </si>
  <si>
    <t>Вглубь, м</t>
  </si>
  <si>
    <t>Кол-во</t>
  </si>
  <si>
    <t>высота столба</t>
  </si>
  <si>
    <t>наименование</t>
  </si>
  <si>
    <t>вес пог. М.</t>
  </si>
  <si>
    <t>цена за м. пог.</t>
  </si>
  <si>
    <t>цена за столб</t>
  </si>
  <si>
    <t>кол-во столбов</t>
  </si>
  <si>
    <t>сумма за столбы</t>
  </si>
  <si>
    <t>ширина пролёта</t>
  </si>
  <si>
    <t>Труба проф. 80х80х3 (12)</t>
  </si>
  <si>
    <t>Труба проф. 40х20х2 (6)</t>
  </si>
  <si>
    <t>Труба проф. 60х60х2 (6)</t>
  </si>
  <si>
    <t>длина забора</t>
  </si>
  <si>
    <t>Марка</t>
  </si>
  <si>
    <t>C8-0,45</t>
  </si>
  <si>
    <t>Ворота</t>
  </si>
  <si>
    <t>Ширина</t>
  </si>
  <si>
    <t>Доставка шлакоблока</t>
  </si>
  <si>
    <t>Доставка профлиста</t>
  </si>
  <si>
    <t>Мауэрлат (брус 100*150 6м)</t>
  </si>
  <si>
    <t>Стропила (брус 100*200 6м)</t>
  </si>
  <si>
    <t>Ветровая планка (доска 25*200 6м)</t>
  </si>
  <si>
    <t>Пояски на подшив карниза (доска 25*100 6м)</t>
  </si>
  <si>
    <t>Рубероид</t>
  </si>
  <si>
    <t>Вентиляция</t>
  </si>
  <si>
    <t>Контробрешетка (брус 50*50 6м)</t>
  </si>
  <si>
    <t>Гидроизоляция кровли</t>
  </si>
  <si>
    <t>Метизы (саморезы)</t>
  </si>
  <si>
    <t>Планка торцевая</t>
  </si>
  <si>
    <t>Планка карнизная</t>
  </si>
  <si>
    <t>Капельник</t>
  </si>
  <si>
    <t>Поддоны</t>
  </si>
  <si>
    <t>Цемент, меш.</t>
  </si>
  <si>
    <t>Профлист НС-35R, м.п.</t>
  </si>
  <si>
    <t>Кладочная сетка 50*50 (100*100) каждый 3йряд</t>
  </si>
  <si>
    <t>Песок, (мытый или отсев доломитовый), м3</t>
  </si>
  <si>
    <r>
      <t>Кладка Ш/Б (1500р.м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450р.м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</si>
  <si>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Работа кровля с утепл (400-850р.м2)</t>
  </si>
  <si>
    <t>Подшива карниза (300-400р.м.п)</t>
  </si>
  <si>
    <t>Монтаж черепицы(200-400р.м2)</t>
  </si>
  <si>
    <t>Монтаж утеплителя (80-100р.м2)</t>
  </si>
  <si>
    <t>Уголок под перемычки 10м</t>
  </si>
  <si>
    <t>Обрешетка (доска обрез или необрез 25*100 6м)</t>
  </si>
  <si>
    <t>Объем</t>
  </si>
  <si>
    <t>Шлакоблок /1.44 м3 пд/, поддон (9 или 10 пд)</t>
  </si>
  <si>
    <t>РАБОТА</t>
  </si>
  <si>
    <t>Цены на материалы</t>
  </si>
  <si>
    <t>НС-35</t>
  </si>
  <si>
    <t>Цена за м.п.</t>
  </si>
  <si>
    <t>С-21</t>
  </si>
  <si>
    <t>Монтаж Стропилки (300-500р.м2)</t>
  </si>
  <si>
    <t>Монтаж мауэрлата</t>
  </si>
  <si>
    <t>Антисептирование пиломатериалов</t>
  </si>
  <si>
    <t>Устройство контробрешетки</t>
  </si>
  <si>
    <t>Устройство шаговой обрешетки</t>
  </si>
  <si>
    <t>Монтаж пароизоляции</t>
  </si>
  <si>
    <t>Монтаж гидроизоляции</t>
  </si>
  <si>
    <t>Укладка утеплителя</t>
  </si>
  <si>
    <t>Монтаж карнизной планки(капельник)</t>
  </si>
  <si>
    <t>Монтаж ветровой(торцевой) планки</t>
  </si>
  <si>
    <t>Устройство примыканий к стенам (трубам)</t>
  </si>
  <si>
    <t>Устройство каркаса фронтонных и карнизных свесов</t>
  </si>
  <si>
    <t>Подшивка карнизных и торцевых свесов</t>
  </si>
  <si>
    <t>Работа от исполнителей</t>
  </si>
  <si>
    <t>Карнизы</t>
  </si>
  <si>
    <t>От Ивана</t>
  </si>
  <si>
    <t>От Карпусь А.</t>
  </si>
  <si>
    <t>Мои</t>
  </si>
  <si>
    <t>Уголок 90*90*65*2</t>
  </si>
  <si>
    <t>Брус 50*50</t>
  </si>
  <si>
    <t>Шпилька</t>
  </si>
  <si>
    <t>Гайка</t>
  </si>
  <si>
    <t>Шайба</t>
  </si>
  <si>
    <t>Гвозди</t>
  </si>
  <si>
    <t>Саморезы по дереву 51мм</t>
  </si>
  <si>
    <t>"ДРОВА"</t>
  </si>
  <si>
    <t>Саморез кровельный</t>
  </si>
  <si>
    <t>Профлист С-8</t>
  </si>
  <si>
    <t>Угол 30*30</t>
  </si>
  <si>
    <t>G-профиль</t>
  </si>
  <si>
    <t>Утеплитель рулонный</t>
  </si>
  <si>
    <t>Пленка Фастбонд</t>
  </si>
  <si>
    <t>Пленка Руфбонд</t>
  </si>
  <si>
    <t>Ед.изм.</t>
  </si>
  <si>
    <t>Доска 30*100</t>
  </si>
  <si>
    <t>6 м шт.</t>
  </si>
  <si>
    <t>шт.</t>
  </si>
  <si>
    <t>м.п.</t>
  </si>
  <si>
    <t>кг</t>
  </si>
  <si>
    <t>2м шт.</t>
  </si>
  <si>
    <t>3м шт.</t>
  </si>
  <si>
    <t>5.95м шт.</t>
  </si>
  <si>
    <t>Расчет материалов (Для Ивана)</t>
  </si>
  <si>
    <t>Брус 100*150 (мауэрлат)</t>
  </si>
  <si>
    <t>Брус 50*200 (стропила)</t>
  </si>
  <si>
    <t>Лист 6 м.</t>
  </si>
  <si>
    <t>КРОВЛЯ (S = (7.43+1.4+0.1)*(5.13+0.8+0,1) = 8.93*6.03 = 53.85м2)</t>
  </si>
  <si>
    <t>Лист ОСБ-3(9мм)</t>
  </si>
  <si>
    <t>Объем, м3</t>
  </si>
  <si>
    <t>2,5*1,2 шт.</t>
  </si>
  <si>
    <t>40шт(238м)</t>
  </si>
  <si>
    <t>Стоимость материалов</t>
  </si>
  <si>
    <t>Дрова объем</t>
  </si>
  <si>
    <t>Профлист НС-35 (C-21)</t>
  </si>
  <si>
    <t>Карнизная планка (2м)</t>
  </si>
  <si>
    <t>Фронтальная (торцевая) планка (2м)</t>
  </si>
  <si>
    <t>Пристенок (2м)</t>
  </si>
  <si>
    <t>Маглин</t>
  </si>
  <si>
    <t>А-Блок</t>
  </si>
  <si>
    <t>Размер 1бл</t>
  </si>
  <si>
    <t>Объем 1бл</t>
  </si>
  <si>
    <t>195*195*395</t>
  </si>
  <si>
    <t>188*190*390</t>
  </si>
  <si>
    <t>Цена 30%</t>
  </si>
  <si>
    <t>Штук в уп</t>
  </si>
  <si>
    <t>Ц за м3</t>
  </si>
  <si>
    <t>Цена Рубл</t>
  </si>
  <si>
    <t>Цена Рбл уг</t>
  </si>
  <si>
    <t>Угловой</t>
  </si>
  <si>
    <t>Облицовочный</t>
  </si>
  <si>
    <t xml:space="preserve">12,34 м3 </t>
  </si>
  <si>
    <t>Перемычка над воротами Ж/Б или монолитная.</t>
  </si>
  <si>
    <t>Из cтенового</t>
  </si>
  <si>
    <t>Стеновой 30%</t>
  </si>
  <si>
    <t>Потребность</t>
  </si>
  <si>
    <t>Из Облицовочного</t>
  </si>
  <si>
    <t>Из рубленого</t>
  </si>
  <si>
    <t>Стоимость облиц</t>
  </si>
  <si>
    <t>Стоимость рубл</t>
  </si>
  <si>
    <t>РАБОТЫ ОТ МАРАТА</t>
  </si>
  <si>
    <t xml:space="preserve">Шлакоблок </t>
  </si>
  <si>
    <t>13 м3</t>
  </si>
  <si>
    <t>Уголок L100 под перемычки</t>
  </si>
  <si>
    <t>Уголок L75 под перемычки</t>
  </si>
  <si>
    <t>Песок, (мытый или отсев доломитовый) Камаз</t>
  </si>
  <si>
    <t>Цемент доставка</t>
  </si>
  <si>
    <t>Доставка уголок сетка рубероид</t>
  </si>
  <si>
    <t>Кладка Ш/Б облицовка</t>
  </si>
  <si>
    <t>Кладка Ш/Б черновая</t>
  </si>
  <si>
    <t>Монтаж перемычек (сварка, монтаж, покраска)</t>
  </si>
  <si>
    <t>Подшив потолка</t>
  </si>
  <si>
    <t>Брус 100*200 (стропила)</t>
  </si>
  <si>
    <t>Доска 30*100 (обрешетка)</t>
  </si>
  <si>
    <t>Брус 50*50 (контробрешетка)</t>
  </si>
  <si>
    <t>Стоимость</t>
  </si>
  <si>
    <t>Итого материалы</t>
  </si>
  <si>
    <t>Итого работа</t>
  </si>
  <si>
    <t>Услуги прораба (5% от стоимости работ)</t>
  </si>
  <si>
    <t>шт. 6 м</t>
  </si>
  <si>
    <t>Профлист НС-35 (C-21) 5.60м - 3 шт. 6м - 6 шт.</t>
  </si>
  <si>
    <t>шт. 2м</t>
  </si>
  <si>
    <t>шт. 3м</t>
  </si>
  <si>
    <t>Доска 30*100 (подшива потолка)</t>
  </si>
  <si>
    <t>Цена за м2</t>
  </si>
  <si>
    <t>от Марата</t>
  </si>
  <si>
    <t>Кровля (мой расчет)</t>
  </si>
  <si>
    <t>ВСЕГО (+5% работа прораба)</t>
  </si>
  <si>
    <t>Доска 30*100 (обрешетка,карниз)</t>
  </si>
  <si>
    <t>Огнебиозащита</t>
  </si>
  <si>
    <t>Уголки</t>
  </si>
  <si>
    <t>Анкера</t>
  </si>
  <si>
    <t>Стоимсость</t>
  </si>
  <si>
    <t>Профлист НС-35-1050 0.5мм  5.60м - 3 шт. 6м - 6 шт.</t>
  </si>
  <si>
    <t>Герметик, лента Герлент</t>
  </si>
  <si>
    <t>Пароизоляция с клейкой лентой</t>
  </si>
  <si>
    <t>Скрепки, валики, кисть</t>
  </si>
  <si>
    <t>Всего работа</t>
  </si>
  <si>
    <t>ШТУКАТУРКА ВНУТР.</t>
  </si>
  <si>
    <t>Штукатурка черновая + затирка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</si>
</sst>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#,##0.00&quot;р.&quot;"/>
    <numFmt numFmtId="166" formatCode="#,##0.00\ &quot;₽&quot;"/>
    <numFmt numFmtId="167" formatCode="0.0"/>
    <numFmt numFmtId="168" formatCode="_-* #,##0.00\ [$₽-419]_-;\-* #,##0.00\ [$₽-419]_-;_-* &quot;-&quot;??\ [$₽-419]_-;_-@_-"/>
  </numFmts>
  <fonts count="2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164" fontId="5" fillId="0" borderId="0" applyFont="0" applyFill="0" applyBorder="0" applyAlignment="0" applyProtection="0"/>
    <xf numFmtId="0" fontId="3" fillId="19" borderId="0" applyNumberFormat="0" applyBorder="0" applyAlignment="0" applyProtection="0"/>
    <xf numFmtId="0" fontId="21" fillId="14" borderId="8" applyNumberFormat="0" applyAlignment="0" applyProtection="0"/>
    <xf numFmtId="0" fontId="3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</cellStyleXfs>
  <cellXfs count="148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6" fillId="4" borderId="0" xfId="5" applyFont="1"/>
    <xf numFmtId="0" fontId="6" fillId="8" borderId="0" xfId="9" applyFont="1"/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2" fontId="16" fillId="0" borderId="0" xfId="0" applyNumberFormat="1" applyFont="1"/>
    <xf numFmtId="1" fontId="16" fillId="0" borderId="0" xfId="0" applyNumberFormat="1" applyFont="1"/>
    <xf numFmtId="167" fontId="16" fillId="0" borderId="0" xfId="0" applyNumberFormat="1" applyFont="1"/>
    <xf numFmtId="0" fontId="18" fillId="0" borderId="0" xfId="0" applyFont="1"/>
    <xf numFmtId="168" fontId="0" fillId="0" borderId="0" xfId="21" applyNumberFormat="1" applyFont="1"/>
    <xf numFmtId="0" fontId="3" fillId="19" borderId="0" xfId="22"/>
    <xf numFmtId="168" fontId="3" fillId="19" borderId="0" xfId="22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8" fontId="0" fillId="0" borderId="0" xfId="0" applyNumberFormat="1"/>
    <xf numFmtId="164" fontId="0" fillId="0" borderId="0" xfId="21" applyFont="1"/>
    <xf numFmtId="0" fontId="0" fillId="0" borderId="0" xfId="0" applyAlignment="1">
      <alignment vertical="top" wrapText="1"/>
    </xf>
    <xf numFmtId="164" fontId="8" fillId="14" borderId="5" xfId="21" applyFont="1" applyFill="1" applyBorder="1"/>
    <xf numFmtId="0" fontId="5" fillId="21" borderId="0" xfId="25"/>
    <xf numFmtId="0" fontId="0" fillId="21" borderId="0" xfId="25" applyFont="1"/>
    <xf numFmtId="0" fontId="3" fillId="20" borderId="0" xfId="24"/>
    <xf numFmtId="164" fontId="3" fillId="20" borderId="12" xfId="21" applyFont="1" applyFill="1" applyBorder="1"/>
    <xf numFmtId="0" fontId="0" fillId="0" borderId="0" xfId="0"/>
    <xf numFmtId="0" fontId="0" fillId="22" borderId="0" xfId="0" applyFill="1" applyBorder="1" applyAlignment="1">
      <alignment horizontal="left"/>
    </xf>
    <xf numFmtId="0" fontId="0" fillId="22" borderId="0" xfId="0" applyFill="1"/>
    <xf numFmtId="0" fontId="0" fillId="0" borderId="0" xfId="0"/>
    <xf numFmtId="9" fontId="0" fillId="0" borderId="0" xfId="0" applyNumberFormat="1" applyAlignment="1">
      <alignment vertical="top" wrapText="1"/>
    </xf>
    <xf numFmtId="0" fontId="6" fillId="23" borderId="0" xfId="26" applyFont="1" applyAlignment="1">
      <alignment vertical="top" wrapText="1"/>
    </xf>
    <xf numFmtId="9" fontId="6" fillId="23" borderId="0" xfId="26" applyNumberFormat="1" applyFont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21" fillId="14" borderId="8" xfId="23" applyAlignment="1">
      <alignment vertical="top" wrapText="1"/>
    </xf>
    <xf numFmtId="0" fontId="5" fillId="17" borderId="0" xfId="19" applyAlignment="1">
      <alignment vertical="top" wrapText="1"/>
    </xf>
    <xf numFmtId="0" fontId="22" fillId="24" borderId="0" xfId="27"/>
    <xf numFmtId="0" fontId="0" fillId="0" borderId="0" xfId="0"/>
    <xf numFmtId="0" fontId="0" fillId="0" borderId="0" xfId="0"/>
    <xf numFmtId="164" fontId="21" fillId="14" borderId="8" xfId="23" applyNumberFormat="1" applyAlignment="1">
      <alignment horizontal="center"/>
    </xf>
    <xf numFmtId="0" fontId="6" fillId="0" borderId="14" xfId="0" applyFont="1" applyBorder="1"/>
    <xf numFmtId="168" fontId="6" fillId="0" borderId="14" xfId="21" applyNumberFormat="1" applyFont="1" applyBorder="1"/>
    <xf numFmtId="0" fontId="4" fillId="19" borderId="0" xfId="22" applyFont="1"/>
    <xf numFmtId="168" fontId="4" fillId="19" borderId="0" xfId="22" applyNumberFormat="1" applyFont="1"/>
    <xf numFmtId="168" fontId="6" fillId="0" borderId="14" xfId="0" applyNumberFormat="1" applyFont="1" applyBorder="1"/>
    <xf numFmtId="0" fontId="0" fillId="0" borderId="0" xfId="0" applyAlignment="1"/>
    <xf numFmtId="0" fontId="0" fillId="0" borderId="0" xfId="0"/>
    <xf numFmtId="0" fontId="0" fillId="0" borderId="0" xfId="0" applyAlignment="1">
      <alignment vertical="top" shrinkToFit="1"/>
    </xf>
    <xf numFmtId="0" fontId="0" fillId="0" borderId="0" xfId="0"/>
    <xf numFmtId="0" fontId="0" fillId="0" borderId="10" xfId="0" applyBorder="1" applyAlignment="1"/>
    <xf numFmtId="0" fontId="0" fillId="0" borderId="0" xfId="0" applyBorder="1" applyAlignment="1"/>
    <xf numFmtId="0" fontId="5" fillId="7" borderId="0" xfId="8" applyAlignment="1"/>
    <xf numFmtId="164" fontId="5" fillId="7" borderId="0" xfId="8" applyNumberFormat="1"/>
    <xf numFmtId="0" fontId="0" fillId="0" borderId="0" xfId="0" applyFill="1" applyBorder="1" applyAlignment="1"/>
    <xf numFmtId="0" fontId="0" fillId="0" borderId="0" xfId="0"/>
    <xf numFmtId="164" fontId="4" fillId="19" borderId="0" xfId="22" applyNumberFormat="1" applyFont="1"/>
    <xf numFmtId="0" fontId="4" fillId="11" borderId="0" xfId="13" applyFont="1"/>
    <xf numFmtId="168" fontId="4" fillId="11" borderId="0" xfId="13" applyNumberFormat="1" applyFont="1"/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  <xf numFmtId="164" fontId="21" fillId="14" borderId="15" xfId="23" applyNumberFormat="1" applyBorder="1" applyAlignment="1">
      <alignment horizontal="center"/>
    </xf>
    <xf numFmtId="164" fontId="21" fillId="14" borderId="16" xfId="23" applyNumberFormat="1" applyBorder="1" applyAlignment="1">
      <alignment horizontal="center"/>
    </xf>
    <xf numFmtId="164" fontId="21" fillId="14" borderId="17" xfId="23" applyNumberFormat="1" applyBorder="1" applyAlignment="1">
      <alignment horizontal="center"/>
    </xf>
    <xf numFmtId="0" fontId="7" fillId="13" borderId="0" xfId="15" applyAlignment="1">
      <alignment horizontal="center"/>
    </xf>
    <xf numFmtId="0" fontId="0" fillId="0" borderId="0" xfId="0"/>
    <xf numFmtId="0" fontId="0" fillId="0" borderId="10" xfId="0" applyBorder="1" applyAlignment="1">
      <alignment horizontal="left"/>
    </xf>
    <xf numFmtId="0" fontId="21" fillId="14" borderId="8" xfId="23" applyAlignment="1">
      <alignment horizontal="center"/>
    </xf>
    <xf numFmtId="0" fontId="0" fillId="0" borderId="10" xfId="0" applyBorder="1"/>
    <xf numFmtId="0" fontId="0" fillId="0" borderId="0" xfId="0" applyAlignment="1">
      <alignment vertical="top" shrinkToFit="1"/>
    </xf>
    <xf numFmtId="0" fontId="0" fillId="0" borderId="11" xfId="0" applyBorder="1" applyAlignment="1"/>
    <xf numFmtId="0" fontId="23" fillId="13" borderId="0" xfId="15" applyFont="1" applyAlignment="1">
      <alignment horizontal="center"/>
    </xf>
    <xf numFmtId="0" fontId="22" fillId="24" borderId="13" xfId="27" applyBorder="1" applyAlignment="1">
      <alignment horizontal="center"/>
    </xf>
    <xf numFmtId="164" fontId="21" fillId="14" borderId="8" xfId="23" applyNumberForma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/>
    <xf numFmtId="0" fontId="6" fillId="0" borderId="18" xfId="0" applyFont="1" applyBorder="1"/>
    <xf numFmtId="0" fontId="0" fillId="0" borderId="18" xfId="0" applyBorder="1"/>
    <xf numFmtId="168" fontId="6" fillId="0" borderId="18" xfId="0" applyNumberFormat="1" applyFont="1" applyBorder="1"/>
  </cellXfs>
  <cellStyles count="28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4" xfId="26" builtinId="43"/>
    <cellStyle name="40% - Акцент5" xfId="20" builtinId="47"/>
    <cellStyle name="40% - Акцент6" xfId="25" builtinId="51"/>
    <cellStyle name="60% - Акцент1" xfId="24" builtinId="32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Акцент5" xfId="22" builtinId="45"/>
    <cellStyle name="Вывод" xfId="23" builtinId="21"/>
    <cellStyle name="Вычисление" xfId="16" builtinId="22"/>
    <cellStyle name="Денежный" xfId="21" builtinId="4"/>
    <cellStyle name="Заголовок 1" xfId="1" builtinId="16"/>
    <cellStyle name="Заголовок 2" xfId="2" builtinId="17"/>
    <cellStyle name="Контрольная ячейка" xfId="17" builtinId="23"/>
    <cellStyle name="Нейтральный" xfId="27" builtinId="28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1" workbookViewId="0">
      <selection activeCell="K4" sqref="K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2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  <c r="L1" s="27">
        <v>0.05</v>
      </c>
    </row>
    <row r="2" spans="1:12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2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532</v>
      </c>
      <c r="J3" s="14">
        <v>200000</v>
      </c>
      <c r="K3" s="14">
        <f ca="1">J3*K1/365*I3</f>
        <v>20405.479452054798</v>
      </c>
    </row>
    <row r="4" spans="1:12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43290</v>
      </c>
      <c r="H4" s="8">
        <v>0</v>
      </c>
      <c r="I4" s="29">
        <f ca="1">TODAY()-G4</f>
        <v>301</v>
      </c>
      <c r="J4" s="14">
        <v>170000</v>
      </c>
      <c r="K4" s="14">
        <f ca="1">J4*L1/365*I4</f>
        <v>7009.58904109589</v>
      </c>
    </row>
    <row r="5" spans="1:12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2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2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2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2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2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2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2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2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2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2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2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117" t="s">
        <v>75</v>
      </c>
      <c r="D46" s="118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116" t="s">
        <v>52</v>
      </c>
      <c r="D57" s="116"/>
      <c r="E57" s="116" t="s">
        <v>50</v>
      </c>
      <c r="F57" s="116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54" zoomScale="115" zoomScaleNormal="115" workbookViewId="0">
      <selection activeCell="C81" sqref="C81"/>
    </sheetView>
  </sheetViews>
  <sheetFormatPr defaultRowHeight="15" x14ac:dyDescent="0.25"/>
  <cols>
    <col min="1" max="1" width="44" customWidth="1"/>
    <col min="3" max="3" width="12.140625" customWidth="1"/>
    <col min="4" max="4" width="12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123" t="s">
        <v>115</v>
      </c>
      <c r="B8" s="123"/>
      <c r="C8" s="123"/>
      <c r="D8" s="123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119" t="s">
        <v>197</v>
      </c>
      <c r="H9" s="119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124" t="s">
        <v>121</v>
      </c>
      <c r="B14" s="125"/>
      <c r="C14" s="125"/>
      <c r="D14" s="125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126" t="s">
        <v>129</v>
      </c>
      <c r="B24" s="126"/>
      <c r="C24" s="126"/>
      <c r="D24" s="126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127" t="s">
        <v>176</v>
      </c>
      <c r="B41" s="127"/>
      <c r="C41" s="127"/>
      <c r="D41" s="127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120" t="s">
        <v>149</v>
      </c>
      <c r="B50" s="120"/>
      <c r="C50" s="120"/>
      <c r="D50" s="120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120" t="s">
        <v>153</v>
      </c>
      <c r="B54" s="121"/>
      <c r="C54" s="121"/>
      <c r="D54" s="121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122" t="s">
        <v>196</v>
      </c>
      <c r="B83" s="122"/>
      <c r="C83" s="122"/>
      <c r="D83" s="122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A2" sqref="A2:D2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61" t="s">
        <v>107</v>
      </c>
      <c r="B2" s="61" t="s">
        <v>108</v>
      </c>
      <c r="C2" s="61" t="s">
        <v>109</v>
      </c>
      <c r="D2" s="61" t="s">
        <v>19</v>
      </c>
      <c r="G2" s="61" t="s">
        <v>107</v>
      </c>
      <c r="H2" s="61" t="s">
        <v>108</v>
      </c>
      <c r="I2" s="61" t="s">
        <v>109</v>
      </c>
      <c r="J2" s="61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 t="shared" ref="D3:D12" si="0">B3*C3</f>
        <v>1500</v>
      </c>
      <c r="G3" t="s">
        <v>212</v>
      </c>
      <c r="H3">
        <v>1</v>
      </c>
      <c r="I3" s="8">
        <v>1500</v>
      </c>
      <c r="J3" s="8">
        <f t="shared" ref="J3:J17" si="1"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 t="shared" si="0"/>
        <v>1600</v>
      </c>
      <c r="G4" t="s">
        <v>220</v>
      </c>
      <c r="H4">
        <v>12</v>
      </c>
      <c r="I4" s="8">
        <v>200</v>
      </c>
      <c r="J4" s="8">
        <f t="shared" si="1"/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 t="shared" si="0"/>
        <v>0</v>
      </c>
      <c r="G5" t="s">
        <v>228</v>
      </c>
      <c r="H5">
        <v>119</v>
      </c>
      <c r="I5" s="8">
        <v>0</v>
      </c>
      <c r="J5" s="8">
        <f t="shared" si="1"/>
        <v>0</v>
      </c>
    </row>
    <row r="6" spans="1:10" x14ac:dyDescent="0.25">
      <c r="A6" t="s">
        <v>226</v>
      </c>
      <c r="B6">
        <v>70</v>
      </c>
      <c r="C6" s="8">
        <v>0</v>
      </c>
      <c r="D6" s="8">
        <f t="shared" si="0"/>
        <v>0</v>
      </c>
      <c r="G6" t="s">
        <v>229</v>
      </c>
      <c r="H6">
        <v>81</v>
      </c>
      <c r="I6" s="8">
        <v>0</v>
      </c>
      <c r="J6" s="8">
        <f t="shared" si="1"/>
        <v>0</v>
      </c>
    </row>
    <row r="7" spans="1:10" x14ac:dyDescent="0.25">
      <c r="A7" t="s">
        <v>118</v>
      </c>
      <c r="B7">
        <v>1</v>
      </c>
      <c r="C7" s="8">
        <v>0</v>
      </c>
      <c r="D7" s="8">
        <f t="shared" si="0"/>
        <v>0</v>
      </c>
      <c r="G7" t="s">
        <v>118</v>
      </c>
      <c r="H7">
        <v>1</v>
      </c>
      <c r="I7" s="8">
        <v>500</v>
      </c>
      <c r="J7" s="8">
        <f t="shared" si="1"/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 t="shared" si="0"/>
        <v>3000</v>
      </c>
      <c r="G8" t="s">
        <v>221</v>
      </c>
      <c r="H8">
        <v>0</v>
      </c>
      <c r="I8" s="8">
        <v>500</v>
      </c>
      <c r="J8" s="8">
        <f t="shared" si="1"/>
        <v>0</v>
      </c>
    </row>
    <row r="9" spans="1:10" x14ac:dyDescent="0.25">
      <c r="A9" t="s">
        <v>216</v>
      </c>
      <c r="B9">
        <v>1</v>
      </c>
      <c r="C9" s="8">
        <v>6000</v>
      </c>
      <c r="D9" s="8">
        <f t="shared" si="0"/>
        <v>6000</v>
      </c>
      <c r="G9" t="s">
        <v>222</v>
      </c>
      <c r="H9">
        <v>1</v>
      </c>
      <c r="I9" s="8">
        <v>200</v>
      </c>
      <c r="J9" s="8">
        <f t="shared" si="1"/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 t="shared" si="0"/>
        <v>0</v>
      </c>
      <c r="G10" t="s">
        <v>216</v>
      </c>
      <c r="H10">
        <v>0</v>
      </c>
      <c r="I10" s="8">
        <v>6000</v>
      </c>
      <c r="J10" s="8">
        <f t="shared" si="1"/>
        <v>0</v>
      </c>
    </row>
    <row r="11" spans="1:10" x14ac:dyDescent="0.25">
      <c r="A11" t="s">
        <v>217</v>
      </c>
      <c r="B11">
        <v>0</v>
      </c>
      <c r="C11" s="8">
        <v>2800</v>
      </c>
      <c r="D11" s="8">
        <f t="shared" si="0"/>
        <v>0</v>
      </c>
      <c r="G11" t="s">
        <v>223</v>
      </c>
      <c r="H11">
        <v>0</v>
      </c>
      <c r="I11" s="8">
        <v>2800</v>
      </c>
      <c r="J11" s="8">
        <f t="shared" si="1"/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 t="shared" si="0"/>
        <v>500</v>
      </c>
      <c r="G12" t="s">
        <v>233</v>
      </c>
      <c r="H12">
        <v>0</v>
      </c>
      <c r="I12" s="8">
        <v>500</v>
      </c>
      <c r="J12" s="8">
        <f t="shared" si="1"/>
        <v>0</v>
      </c>
    </row>
    <row r="13" spans="1:10" x14ac:dyDescent="0.25">
      <c r="A13" t="s">
        <v>215</v>
      </c>
      <c r="B13">
        <v>40</v>
      </c>
      <c r="C13" s="8">
        <v>100</v>
      </c>
      <c r="D13" s="8">
        <f>B13*C13</f>
        <v>4000</v>
      </c>
      <c r="G13" t="s">
        <v>224</v>
      </c>
      <c r="H13">
        <v>17.600000000000001</v>
      </c>
      <c r="I13" s="8">
        <v>400</v>
      </c>
      <c r="J13" s="8">
        <f t="shared" si="1"/>
        <v>7040.0000000000009</v>
      </c>
    </row>
    <row r="14" spans="1:10" x14ac:dyDescent="0.25">
      <c r="A14" t="s">
        <v>218</v>
      </c>
      <c r="B14">
        <v>12</v>
      </c>
      <c r="C14" s="8">
        <v>1500</v>
      </c>
      <c r="D14" s="8">
        <f>B14*C14</f>
        <v>18000</v>
      </c>
      <c r="G14" t="s">
        <v>215</v>
      </c>
      <c r="H14">
        <v>10</v>
      </c>
      <c r="I14" s="8">
        <v>100</v>
      </c>
      <c r="J14" s="8">
        <f t="shared" si="1"/>
        <v>1000</v>
      </c>
    </row>
    <row r="15" spans="1:10" x14ac:dyDescent="0.25">
      <c r="A15" s="30" t="s">
        <v>7</v>
      </c>
      <c r="B15" s="30"/>
      <c r="C15" s="30"/>
      <c r="D15" s="31">
        <f>SUM(D3:D14)</f>
        <v>34600</v>
      </c>
      <c r="G15" t="s">
        <v>112</v>
      </c>
      <c r="H15">
        <v>1</v>
      </c>
      <c r="I15" s="8">
        <v>1000</v>
      </c>
      <c r="J15" s="8">
        <f t="shared" si="1"/>
        <v>1000</v>
      </c>
    </row>
    <row r="16" spans="1:10" x14ac:dyDescent="0.25">
      <c r="G16" t="s">
        <v>234</v>
      </c>
      <c r="H16">
        <v>26.5</v>
      </c>
      <c r="I16" s="8">
        <v>500</v>
      </c>
      <c r="J16" s="8">
        <f t="shared" si="1"/>
        <v>13250</v>
      </c>
    </row>
    <row r="17" spans="1:10" x14ac:dyDescent="0.25">
      <c r="G17" t="s">
        <v>225</v>
      </c>
      <c r="H17">
        <v>8</v>
      </c>
      <c r="I17" s="8">
        <v>300</v>
      </c>
      <c r="J17" s="8">
        <f t="shared" si="1"/>
        <v>2400</v>
      </c>
    </row>
    <row r="18" spans="1:10" x14ac:dyDescent="0.25">
      <c r="G18" s="30" t="s">
        <v>7</v>
      </c>
      <c r="H18" s="30"/>
      <c r="I18" s="30"/>
      <c r="J18" s="31">
        <f>SUM(J3:J17)</f>
        <v>29290</v>
      </c>
    </row>
    <row r="23" spans="1:10" x14ac:dyDescent="0.25">
      <c r="A23" s="16"/>
      <c r="B23" s="60" t="s">
        <v>232</v>
      </c>
      <c r="C23" s="60" t="s">
        <v>186</v>
      </c>
      <c r="D23" s="60" t="s">
        <v>7</v>
      </c>
    </row>
    <row r="24" spans="1:10" ht="21" x14ac:dyDescent="0.35">
      <c r="A24" t="s">
        <v>230</v>
      </c>
      <c r="B24" s="8">
        <f>SUM(D3:D11)</f>
        <v>12100</v>
      </c>
      <c r="C24" s="8">
        <f>SUM(D12:D14)</f>
        <v>22500</v>
      </c>
      <c r="D24" s="8">
        <f>SUM(B24:C24)</f>
        <v>34600</v>
      </c>
      <c r="G24" s="42" t="s">
        <v>235</v>
      </c>
      <c r="H24" s="41"/>
      <c r="I24" s="41"/>
      <c r="J24" s="41"/>
    </row>
    <row r="25" spans="1:10" x14ac:dyDescent="0.25">
      <c r="A25" t="s">
        <v>231</v>
      </c>
      <c r="B25" s="8">
        <f>SUM(J3:J13)</f>
        <v>11640</v>
      </c>
      <c r="C25" s="8">
        <f>SUM(J14:J17)</f>
        <v>17650</v>
      </c>
      <c r="D25" s="8">
        <f>SUM(B25:C25)</f>
        <v>29290</v>
      </c>
      <c r="G25" s="61" t="s">
        <v>107</v>
      </c>
      <c r="H25" s="61" t="s">
        <v>108</v>
      </c>
      <c r="I25" s="61" t="s">
        <v>109</v>
      </c>
      <c r="J25" s="61" t="s">
        <v>19</v>
      </c>
    </row>
    <row r="26" spans="1:10" x14ac:dyDescent="0.25">
      <c r="A26" s="30" t="s">
        <v>19</v>
      </c>
      <c r="B26" s="31">
        <f>SUM(B24:B25)</f>
        <v>23740</v>
      </c>
      <c r="C26" s="31">
        <f>SUM(C24:C25)</f>
        <v>40150</v>
      </c>
      <c r="D26" s="31">
        <f>SUM(D24:D25)</f>
        <v>63890</v>
      </c>
      <c r="G26" t="s">
        <v>228</v>
      </c>
      <c r="H26">
        <v>540</v>
      </c>
      <c r="I26" s="8">
        <v>41</v>
      </c>
      <c r="J26" s="8">
        <f>H26*I26</f>
        <v>22140</v>
      </c>
    </row>
    <row r="27" spans="1:10" x14ac:dyDescent="0.25">
      <c r="G27" t="s">
        <v>229</v>
      </c>
      <c r="H27">
        <v>150</v>
      </c>
      <c r="I27" s="8">
        <v>11</v>
      </c>
      <c r="J27" s="8">
        <f>H27*I27</f>
        <v>1650</v>
      </c>
    </row>
    <row r="28" spans="1:10" x14ac:dyDescent="0.25">
      <c r="G28" t="s">
        <v>239</v>
      </c>
      <c r="H28">
        <v>0</v>
      </c>
      <c r="I28" s="8">
        <v>500</v>
      </c>
      <c r="J28" s="8">
        <f>H28*I28</f>
        <v>0</v>
      </c>
    </row>
    <row r="29" spans="1:10" x14ac:dyDescent="0.25">
      <c r="A29" t="s">
        <v>236</v>
      </c>
      <c r="B29" s="8">
        <f>B26-D11-J11</f>
        <v>23740</v>
      </c>
      <c r="G29" t="s">
        <v>123</v>
      </c>
      <c r="H29">
        <v>0</v>
      </c>
      <c r="I29" s="8">
        <v>500</v>
      </c>
      <c r="J29" s="8">
        <f>H29*I29</f>
        <v>0</v>
      </c>
    </row>
    <row r="30" spans="1:10" x14ac:dyDescent="0.25">
      <c r="G30" t="s">
        <v>123</v>
      </c>
      <c r="H30">
        <v>0</v>
      </c>
      <c r="I30" s="8">
        <v>300</v>
      </c>
      <c r="J30" s="8">
        <f>H30*I30</f>
        <v>0</v>
      </c>
    </row>
    <row r="31" spans="1:10" x14ac:dyDescent="0.25">
      <c r="G31" t="s">
        <v>237</v>
      </c>
      <c r="H31">
        <v>12</v>
      </c>
      <c r="I31" s="8">
        <v>2800</v>
      </c>
      <c r="J31" s="8">
        <f t="shared" ref="J31:J33" si="2">H31*I31</f>
        <v>33600</v>
      </c>
    </row>
    <row r="32" spans="1:10" x14ac:dyDescent="0.25">
      <c r="G32" t="s">
        <v>238</v>
      </c>
      <c r="H32">
        <v>3</v>
      </c>
      <c r="I32" s="8">
        <v>2800</v>
      </c>
      <c r="J32" s="8">
        <f t="shared" si="2"/>
        <v>8400</v>
      </c>
    </row>
    <row r="33" spans="7:10" x14ac:dyDescent="0.25">
      <c r="G33" t="s">
        <v>233</v>
      </c>
      <c r="H33">
        <v>1</v>
      </c>
      <c r="I33" s="8">
        <v>500</v>
      </c>
      <c r="J33" s="8">
        <f t="shared" si="2"/>
        <v>500</v>
      </c>
    </row>
    <row r="34" spans="7:10" x14ac:dyDescent="0.25">
      <c r="G34" s="30" t="s">
        <v>7</v>
      </c>
      <c r="H34" s="30"/>
      <c r="I34" s="30"/>
      <c r="J34" s="31">
        <f>SUM(J26:J33)</f>
        <v>66290</v>
      </c>
    </row>
  </sheetData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7" sqref="A17"/>
    </sheetView>
  </sheetViews>
  <sheetFormatPr defaultRowHeight="15" x14ac:dyDescent="0.25"/>
  <cols>
    <col min="2" max="2" width="28.28515625" customWidth="1"/>
  </cols>
  <sheetData>
    <row r="1" spans="1:19" x14ac:dyDescent="0.25">
      <c r="A1" t="s">
        <v>240</v>
      </c>
      <c r="C1" t="s">
        <v>245</v>
      </c>
      <c r="D1" t="s">
        <v>246</v>
      </c>
      <c r="H1" t="s">
        <v>241</v>
      </c>
      <c r="K1" t="s">
        <v>243</v>
      </c>
      <c r="L1" t="s">
        <v>247</v>
      </c>
      <c r="N1" t="s">
        <v>242</v>
      </c>
      <c r="P1" t="s">
        <v>243</v>
      </c>
      <c r="Q1" t="s">
        <v>244</v>
      </c>
    </row>
    <row r="2" spans="1:19" x14ac:dyDescent="0.25">
      <c r="C2">
        <v>1.8</v>
      </c>
      <c r="D2">
        <v>1.2</v>
      </c>
      <c r="K2">
        <v>16</v>
      </c>
      <c r="L2">
        <v>3</v>
      </c>
      <c r="P2">
        <v>16</v>
      </c>
      <c r="Q2">
        <v>2</v>
      </c>
    </row>
    <row r="3" spans="1:19" x14ac:dyDescent="0.25">
      <c r="N3" t="s">
        <v>260</v>
      </c>
      <c r="P3" t="s">
        <v>109</v>
      </c>
      <c r="Q3" t="s">
        <v>19</v>
      </c>
    </row>
    <row r="4" spans="1:19" x14ac:dyDescent="0.25">
      <c r="N4" t="s">
        <v>261</v>
      </c>
      <c r="P4">
        <v>290</v>
      </c>
      <c r="Q4">
        <f>P4*P2*Q2</f>
        <v>9280</v>
      </c>
    </row>
    <row r="12" spans="1:19" ht="31.5" x14ac:dyDescent="0.25">
      <c r="A12" s="62"/>
      <c r="B12" s="62"/>
      <c r="C12" s="62"/>
      <c r="D12" s="63" t="s">
        <v>259</v>
      </c>
      <c r="E12" s="64"/>
      <c r="F12" s="63" t="s">
        <v>248</v>
      </c>
      <c r="G12" s="62"/>
      <c r="H12" s="62" t="s">
        <v>262</v>
      </c>
      <c r="I12" s="62" t="s">
        <v>263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ht="15.75" x14ac:dyDescent="0.25">
      <c r="A13" s="62"/>
      <c r="B13" s="62"/>
      <c r="C13" s="62"/>
      <c r="D13" s="62">
        <v>16</v>
      </c>
      <c r="E13" s="62"/>
      <c r="F13" s="62">
        <v>3</v>
      </c>
      <c r="G13" s="62"/>
      <c r="H13" s="62">
        <v>1</v>
      </c>
      <c r="I13" s="62">
        <v>3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ht="15.75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ht="47.25" x14ac:dyDescent="0.25">
      <c r="A15" s="62"/>
      <c r="B15" s="63" t="s">
        <v>249</v>
      </c>
      <c r="C15" s="63" t="s">
        <v>250</v>
      </c>
      <c r="D15" s="63" t="s">
        <v>251</v>
      </c>
      <c r="E15" s="63"/>
      <c r="F15" s="63" t="s">
        <v>252</v>
      </c>
      <c r="G15" s="63"/>
      <c r="H15" s="63" t="s">
        <v>253</v>
      </c>
      <c r="I15" s="63"/>
      <c r="J15" s="63" t="s">
        <v>254</v>
      </c>
      <c r="K15" s="63"/>
      <c r="L15" s="63" t="s">
        <v>255</v>
      </c>
      <c r="M15" s="63"/>
      <c r="N15" s="62"/>
      <c r="O15" s="62"/>
      <c r="P15" s="62"/>
      <c r="Q15" s="62"/>
      <c r="R15" s="62"/>
      <c r="S15" s="62"/>
    </row>
    <row r="16" spans="1:19" ht="15.75" x14ac:dyDescent="0.25">
      <c r="A16" s="62"/>
      <c r="B16" s="62" t="s">
        <v>258</v>
      </c>
      <c r="C16" s="62">
        <v>6.82</v>
      </c>
      <c r="D16" s="62">
        <v>177</v>
      </c>
      <c r="E16" s="62"/>
      <c r="F16" s="65">
        <f>F13*D16</f>
        <v>531</v>
      </c>
      <c r="G16" s="62"/>
      <c r="H16" s="66">
        <f>(D13-H13*I13)/L16</f>
        <v>5.9090909090909083</v>
      </c>
      <c r="I16" s="62"/>
      <c r="J16" s="62">
        <f>H16*F16</f>
        <v>3137.7272727272725</v>
      </c>
      <c r="K16" s="62"/>
      <c r="L16" s="67">
        <v>2.2000000000000002</v>
      </c>
      <c r="M16" s="62"/>
      <c r="N16" s="62"/>
      <c r="O16" s="62"/>
      <c r="P16" s="62"/>
      <c r="Q16" s="62"/>
      <c r="R16" s="62"/>
      <c r="S16" s="62"/>
    </row>
    <row r="17" spans="1:19" ht="15.75" x14ac:dyDescent="0.25">
      <c r="A17" s="62"/>
      <c r="B17" s="62" t="s">
        <v>256</v>
      </c>
      <c r="C17" s="62">
        <v>7.13</v>
      </c>
      <c r="D17" s="62">
        <v>350</v>
      </c>
      <c r="E17" s="62"/>
      <c r="F17" s="65">
        <f>F13*D17</f>
        <v>1050</v>
      </c>
      <c r="G17" s="62"/>
      <c r="H17" s="66">
        <v>2</v>
      </c>
      <c r="I17" s="62"/>
      <c r="J17" s="62">
        <f>H17*F17</f>
        <v>2100</v>
      </c>
      <c r="K17" s="62"/>
      <c r="L17" s="67">
        <v>3</v>
      </c>
      <c r="M17" s="62"/>
      <c r="N17" s="62"/>
      <c r="O17" s="62"/>
      <c r="P17" s="62"/>
      <c r="Q17" s="62"/>
      <c r="R17" s="62"/>
      <c r="S17" s="62"/>
    </row>
    <row r="18" spans="1:19" ht="15.75" x14ac:dyDescent="0.25">
      <c r="A18" s="62"/>
      <c r="B18" s="62"/>
      <c r="C18" s="62"/>
      <c r="D18" s="62"/>
      <c r="E18" s="62"/>
      <c r="F18" s="65"/>
      <c r="G18" s="62"/>
      <c r="H18" s="66"/>
      <c r="I18" s="62"/>
      <c r="J18" s="62"/>
      <c r="K18" s="62"/>
      <c r="L18" s="67"/>
      <c r="M18" s="62"/>
      <c r="N18" s="62"/>
      <c r="O18" s="62"/>
      <c r="P18" s="62"/>
      <c r="Q18" s="62"/>
      <c r="R18" s="62"/>
      <c r="S18" s="62"/>
    </row>
    <row r="19" spans="1:19" ht="15.75" x14ac:dyDescent="0.25">
      <c r="A19" s="62"/>
      <c r="B19" s="62"/>
      <c r="C19" s="62"/>
      <c r="D19" s="62"/>
      <c r="E19" s="62"/>
      <c r="F19" s="65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19" ht="15.75" x14ac:dyDescent="0.25">
      <c r="A20" s="62"/>
      <c r="B20" s="62" t="s">
        <v>257</v>
      </c>
      <c r="C20" s="62">
        <v>1.7</v>
      </c>
      <c r="D20" s="62">
        <v>86</v>
      </c>
      <c r="E20" s="62"/>
      <c r="F20" s="65">
        <f>D13*D20</f>
        <v>1376</v>
      </c>
      <c r="G20" s="62"/>
      <c r="H20" s="62">
        <v>2</v>
      </c>
      <c r="I20" s="62"/>
      <c r="J20" s="62">
        <f>H20*F20</f>
        <v>2752</v>
      </c>
      <c r="K20" s="62"/>
      <c r="L20" s="62"/>
      <c r="M20" s="62"/>
      <c r="N20" s="62"/>
      <c r="O20" s="62"/>
      <c r="P20" s="62"/>
      <c r="Q20" s="62"/>
      <c r="R20" s="62"/>
      <c r="S20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tabSelected="1" topLeftCell="A142" zoomScaleNormal="100" workbookViewId="0">
      <selection activeCell="A161" sqref="A161:E164"/>
    </sheetView>
  </sheetViews>
  <sheetFormatPr defaultRowHeight="15" x14ac:dyDescent="0.25"/>
  <cols>
    <col min="1" max="1" width="45.85546875" customWidth="1"/>
    <col min="2" max="2" width="10.7109375" customWidth="1"/>
    <col min="3" max="3" width="13.7109375" customWidth="1"/>
    <col min="4" max="4" width="12.140625" customWidth="1"/>
    <col min="5" max="5" width="14" customWidth="1"/>
    <col min="6" max="6" width="13.5703125" customWidth="1"/>
    <col min="7" max="7" width="17.5703125" customWidth="1"/>
    <col min="8" max="8" width="12.85546875" customWidth="1"/>
    <col min="9" max="9" width="12.28515625" customWidth="1"/>
    <col min="10" max="10" width="12.140625" customWidth="1"/>
    <col min="11" max="11" width="10" customWidth="1"/>
    <col min="12" max="12" width="11.28515625" customWidth="1"/>
    <col min="13" max="13" width="11.85546875" customWidth="1"/>
    <col min="14" max="14" width="10.28515625" bestFit="1" customWidth="1"/>
    <col min="16" max="16" width="11.140625" bestFit="1" customWidth="1"/>
    <col min="17" max="17" width="9.7109375" bestFit="1" customWidth="1"/>
    <col min="18" max="18" width="14.5703125" customWidth="1"/>
    <col min="19" max="19" width="13.42578125" customWidth="1"/>
    <col min="20" max="20" width="17.85546875" customWidth="1"/>
    <col min="21" max="21" width="15.140625" customWidth="1"/>
    <col min="22" max="22" width="14.140625" style="89" customWidth="1"/>
    <col min="23" max="23" width="11.28515625" customWidth="1"/>
  </cols>
  <sheetData>
    <row r="1" spans="1:23" ht="28.5" x14ac:dyDescent="0.45">
      <c r="A1" s="68" t="s">
        <v>128</v>
      </c>
      <c r="B1" s="68"/>
      <c r="G1" s="141" t="s">
        <v>368</v>
      </c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V1" s="90"/>
    </row>
    <row r="2" spans="1:23" x14ac:dyDescent="0.25">
      <c r="A2" s="61" t="s">
        <v>107</v>
      </c>
      <c r="B2" s="61" t="s">
        <v>290</v>
      </c>
      <c r="C2" s="61" t="s">
        <v>108</v>
      </c>
      <c r="D2" s="61" t="s">
        <v>109</v>
      </c>
      <c r="E2" s="61" t="s">
        <v>19</v>
      </c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V2" s="90"/>
    </row>
    <row r="3" spans="1:23" x14ac:dyDescent="0.25">
      <c r="A3" s="9" t="s">
        <v>291</v>
      </c>
      <c r="B3" s="9" t="s">
        <v>367</v>
      </c>
      <c r="C3">
        <v>10</v>
      </c>
      <c r="D3" s="69">
        <v>1750</v>
      </c>
      <c r="E3" s="69">
        <f t="shared" ref="E3:E11" si="0">C3*D3</f>
        <v>17500</v>
      </c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V3" s="90"/>
    </row>
    <row r="4" spans="1:23" x14ac:dyDescent="0.25">
      <c r="A4" t="s">
        <v>278</v>
      </c>
      <c r="C4">
        <v>10</v>
      </c>
      <c r="D4" s="69">
        <v>250</v>
      </c>
      <c r="E4" s="69">
        <f t="shared" si="0"/>
        <v>2500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V4" s="90"/>
    </row>
    <row r="5" spans="1:23" x14ac:dyDescent="0.25">
      <c r="A5" t="s">
        <v>264</v>
      </c>
      <c r="C5">
        <v>1</v>
      </c>
      <c r="D5" s="69">
        <v>3000</v>
      </c>
      <c r="E5" s="69">
        <f t="shared" si="0"/>
        <v>3000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V5" s="90"/>
    </row>
    <row r="6" spans="1:23" x14ac:dyDescent="0.25">
      <c r="A6" t="s">
        <v>279</v>
      </c>
      <c r="C6">
        <v>40</v>
      </c>
      <c r="D6" s="69">
        <v>220</v>
      </c>
      <c r="E6" s="69">
        <f t="shared" si="0"/>
        <v>8800</v>
      </c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V6" s="90"/>
    </row>
    <row r="7" spans="1:23" x14ac:dyDescent="0.25">
      <c r="A7" t="s">
        <v>282</v>
      </c>
      <c r="C7">
        <v>4</v>
      </c>
      <c r="D7" s="69">
        <v>700</v>
      </c>
      <c r="E7" s="69">
        <f t="shared" si="0"/>
        <v>2800</v>
      </c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V7" s="90"/>
    </row>
    <row r="8" spans="1:23" x14ac:dyDescent="0.25">
      <c r="A8" t="s">
        <v>281</v>
      </c>
      <c r="D8" s="69"/>
      <c r="E8" s="69">
        <f t="shared" si="0"/>
        <v>0</v>
      </c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V8" s="90"/>
    </row>
    <row r="9" spans="1:23" x14ac:dyDescent="0.25">
      <c r="A9" t="s">
        <v>270</v>
      </c>
      <c r="C9">
        <v>2</v>
      </c>
      <c r="D9" s="69">
        <v>300</v>
      </c>
      <c r="E9" s="69">
        <f t="shared" si="0"/>
        <v>600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V9" s="90"/>
    </row>
    <row r="10" spans="1:23" x14ac:dyDescent="0.25">
      <c r="A10" t="s">
        <v>288</v>
      </c>
      <c r="C10">
        <v>10</v>
      </c>
      <c r="D10" s="69"/>
      <c r="E10" s="69">
        <f t="shared" si="0"/>
        <v>0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V10" s="90"/>
    </row>
    <row r="11" spans="1:23" x14ac:dyDescent="0.25">
      <c r="A11" t="s">
        <v>271</v>
      </c>
      <c r="D11" s="69"/>
      <c r="E11" s="69">
        <f t="shared" si="0"/>
        <v>0</v>
      </c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V11" s="90"/>
    </row>
    <row r="12" spans="1:23" ht="30" x14ac:dyDescent="0.25">
      <c r="A12" s="131" t="s">
        <v>292</v>
      </c>
      <c r="B12" s="131"/>
      <c r="C12" s="131"/>
      <c r="D12" s="131"/>
      <c r="E12" s="131"/>
      <c r="G12" s="72" t="s">
        <v>18</v>
      </c>
      <c r="H12" s="72" t="s">
        <v>356</v>
      </c>
      <c r="I12" s="76" t="s">
        <v>357</v>
      </c>
      <c r="J12" s="76" t="s">
        <v>361</v>
      </c>
      <c r="K12" s="72" t="s">
        <v>360</v>
      </c>
      <c r="L12" s="72" t="s">
        <v>363</v>
      </c>
      <c r="M12" s="72" t="s">
        <v>364</v>
      </c>
      <c r="N12" s="72" t="s">
        <v>362</v>
      </c>
      <c r="O12" s="72"/>
      <c r="P12" s="72"/>
      <c r="Q12" s="73"/>
      <c r="R12" s="87" t="s">
        <v>371</v>
      </c>
      <c r="S12" s="88" t="s">
        <v>369</v>
      </c>
      <c r="T12" s="92" t="s">
        <v>372</v>
      </c>
      <c r="U12" s="92" t="s">
        <v>374</v>
      </c>
      <c r="V12" s="93" t="s">
        <v>373</v>
      </c>
      <c r="W12" s="93" t="s">
        <v>375</v>
      </c>
    </row>
    <row r="13" spans="1:23" ht="17.25" x14ac:dyDescent="0.25">
      <c r="A13" t="s">
        <v>283</v>
      </c>
      <c r="C13">
        <v>14</v>
      </c>
      <c r="D13" s="69">
        <v>1500</v>
      </c>
      <c r="E13" s="69">
        <f>C13*D13</f>
        <v>21000</v>
      </c>
      <c r="G13" t="s">
        <v>354</v>
      </c>
      <c r="H13" t="s">
        <v>358</v>
      </c>
      <c r="I13">
        <f>0.195*0.195*0.395</f>
        <v>1.5019875000000002E-2</v>
      </c>
      <c r="J13">
        <v>62.5</v>
      </c>
      <c r="K13">
        <v>1795</v>
      </c>
      <c r="L13">
        <v>2770</v>
      </c>
      <c r="M13">
        <v>2980</v>
      </c>
      <c r="N13">
        <f>(K13/(I13*J13))*1</f>
        <v>1912.1330903219898</v>
      </c>
      <c r="O13" s="85">
        <f>(L13/(I13*J13))*1</f>
        <v>2950.7569137559394</v>
      </c>
      <c r="P13" s="85">
        <f>(M13/(I13*J13))*1</f>
        <v>3174.4605064955595</v>
      </c>
      <c r="Q13" s="72"/>
      <c r="R13" s="86" t="s">
        <v>370</v>
      </c>
      <c r="S13" s="72">
        <f>12.34+0.63</f>
        <v>12.97</v>
      </c>
      <c r="T13" s="72">
        <f>0.19+1.24</f>
        <v>1.43</v>
      </c>
      <c r="U13">
        <f>T13*1700</f>
        <v>2431</v>
      </c>
      <c r="V13" s="90">
        <v>1.43</v>
      </c>
      <c r="W13">
        <f>1.44*1795</f>
        <v>2584.7999999999997</v>
      </c>
    </row>
    <row r="14" spans="1:23" x14ac:dyDescent="0.25">
      <c r="A14" s="70" t="s">
        <v>7</v>
      </c>
      <c r="B14" s="70"/>
      <c r="C14" s="70">
        <v>51</v>
      </c>
      <c r="D14" s="70">
        <v>1</v>
      </c>
      <c r="E14" s="71">
        <f>SUM(E3:E11)</f>
        <v>35200</v>
      </c>
      <c r="G14" t="s">
        <v>355</v>
      </c>
      <c r="H14" t="s">
        <v>359</v>
      </c>
      <c r="I14">
        <f>0.188*0.19*0.39</f>
        <v>1.3930800000000002E-2</v>
      </c>
      <c r="J14">
        <v>60</v>
      </c>
      <c r="K14">
        <v>1700</v>
      </c>
      <c r="L14">
        <v>2500</v>
      </c>
      <c r="M14">
        <v>2950</v>
      </c>
      <c r="N14" s="85">
        <f>(K14/(I14*J14))*1</f>
        <v>2033.8626161694467</v>
      </c>
      <c r="O14" s="85">
        <f>(L14/(I14*J14))*1</f>
        <v>2990.974435543304</v>
      </c>
      <c r="P14" s="85">
        <f>(M14/(I14*J14))*1</f>
        <v>3529.3498339410985</v>
      </c>
      <c r="R14" t="s">
        <v>366</v>
      </c>
      <c r="S14">
        <v>0</v>
      </c>
      <c r="T14">
        <f>S13-T13</f>
        <v>11.540000000000001</v>
      </c>
      <c r="U14">
        <f>T14*2200</f>
        <v>25388.000000000004</v>
      </c>
      <c r="V14" s="89">
        <f>T14-V15</f>
        <v>10.9</v>
      </c>
      <c r="W14">
        <f>V14*2770</f>
        <v>30193</v>
      </c>
    </row>
    <row r="15" spans="1:23" x14ac:dyDescent="0.25">
      <c r="R15" t="s">
        <v>365</v>
      </c>
      <c r="S15">
        <v>0</v>
      </c>
      <c r="T15">
        <v>0</v>
      </c>
      <c r="U15">
        <v>0</v>
      </c>
      <c r="V15" s="89">
        <v>0.64</v>
      </c>
      <c r="W15">
        <f>V15*2980</f>
        <v>1907.2</v>
      </c>
    </row>
    <row r="16" spans="1:23" ht="28.5" x14ac:dyDescent="0.45">
      <c r="A16" s="68" t="s">
        <v>157</v>
      </c>
      <c r="B16" s="68"/>
      <c r="R16" s="94" t="s">
        <v>7</v>
      </c>
      <c r="S16" s="94">
        <f>SUM(S13:S15)</f>
        <v>12.97</v>
      </c>
      <c r="T16" s="94">
        <f>SUM(T13:T15)</f>
        <v>12.97</v>
      </c>
      <c r="U16" s="94">
        <f>SUM(U13:U15)</f>
        <v>27819.000000000004</v>
      </c>
      <c r="V16" s="94">
        <f>SUM(V13:V15)</f>
        <v>12.97</v>
      </c>
      <c r="W16" s="94">
        <f>SUM(W13:W15)</f>
        <v>34685</v>
      </c>
    </row>
    <row r="17" spans="1:17" x14ac:dyDescent="0.25">
      <c r="A17" s="61" t="s">
        <v>107</v>
      </c>
      <c r="B17" s="61"/>
      <c r="C17" s="61" t="s">
        <v>108</v>
      </c>
      <c r="D17" s="61" t="s">
        <v>109</v>
      </c>
      <c r="E17" s="61" t="s">
        <v>19</v>
      </c>
      <c r="G17" s="39" t="s">
        <v>293</v>
      </c>
      <c r="H17" s="39"/>
      <c r="I17" s="39"/>
      <c r="J17" s="39"/>
      <c r="K17" s="39"/>
      <c r="M17" s="77" t="s">
        <v>310</v>
      </c>
      <c r="N17" s="77"/>
      <c r="O17" s="39"/>
      <c r="P17" s="39" t="s">
        <v>157</v>
      </c>
      <c r="Q17" s="39" t="s">
        <v>311</v>
      </c>
    </row>
    <row r="18" spans="1:17" x14ac:dyDescent="0.25">
      <c r="A18" t="s">
        <v>280</v>
      </c>
      <c r="C18">
        <v>42</v>
      </c>
      <c r="D18" s="69">
        <v>477</v>
      </c>
      <c r="E18" s="69">
        <f t="shared" ref="E18:E30" si="1">C18*D18</f>
        <v>20034</v>
      </c>
      <c r="G18" t="s">
        <v>18</v>
      </c>
      <c r="H18" t="s">
        <v>400</v>
      </c>
      <c r="K18" t="s">
        <v>295</v>
      </c>
      <c r="M18" s="143" t="s">
        <v>312</v>
      </c>
      <c r="N18" s="143"/>
      <c r="P18" s="75">
        <v>600</v>
      </c>
      <c r="Q18" s="75">
        <v>300</v>
      </c>
    </row>
    <row r="19" spans="1:17" x14ac:dyDescent="0.25">
      <c r="A19" t="s">
        <v>265</v>
      </c>
      <c r="C19">
        <v>1</v>
      </c>
      <c r="D19" s="69">
        <v>3000</v>
      </c>
      <c r="E19" s="69">
        <f t="shared" si="1"/>
        <v>3000</v>
      </c>
      <c r="G19" t="s">
        <v>294</v>
      </c>
      <c r="H19" s="75">
        <v>450</v>
      </c>
      <c r="I19" s="75"/>
      <c r="J19" s="75"/>
      <c r="K19" s="74">
        <f>H19*1.06</f>
        <v>477</v>
      </c>
      <c r="M19" s="142" t="s">
        <v>313</v>
      </c>
      <c r="N19" s="142"/>
      <c r="P19" s="75">
        <v>1140</v>
      </c>
      <c r="Q19" s="75">
        <v>600</v>
      </c>
    </row>
    <row r="20" spans="1:17" x14ac:dyDescent="0.25">
      <c r="A20" t="s">
        <v>273</v>
      </c>
      <c r="D20" s="69"/>
      <c r="E20" s="69">
        <f t="shared" si="1"/>
        <v>0</v>
      </c>
      <c r="G20" t="s">
        <v>296</v>
      </c>
      <c r="H20" s="75">
        <v>425</v>
      </c>
      <c r="I20" s="75"/>
      <c r="J20" s="75"/>
      <c r="K20" s="74">
        <f>H20*1.051</f>
        <v>446.67499999999995</v>
      </c>
      <c r="M20" t="s">
        <v>401</v>
      </c>
      <c r="P20" s="75">
        <v>500</v>
      </c>
      <c r="Q20" s="75">
        <v>550</v>
      </c>
    </row>
    <row r="21" spans="1:17" x14ac:dyDescent="0.25">
      <c r="A21" t="s">
        <v>272</v>
      </c>
      <c r="C21">
        <v>0</v>
      </c>
      <c r="D21" s="69"/>
      <c r="E21" s="69">
        <f t="shared" si="1"/>
        <v>0</v>
      </c>
    </row>
    <row r="22" spans="1:17" x14ac:dyDescent="0.25">
      <c r="A22" t="s">
        <v>266</v>
      </c>
      <c r="C22">
        <v>3</v>
      </c>
      <c r="D22" s="69"/>
      <c r="E22" s="69">
        <f t="shared" si="1"/>
        <v>0</v>
      </c>
    </row>
    <row r="23" spans="1:17" x14ac:dyDescent="0.25">
      <c r="A23" t="s">
        <v>267</v>
      </c>
      <c r="C23">
        <v>13</v>
      </c>
      <c r="D23" s="69"/>
      <c r="E23" s="69">
        <f t="shared" si="1"/>
        <v>0</v>
      </c>
    </row>
    <row r="24" spans="1:17" x14ac:dyDescent="0.25">
      <c r="A24" t="s">
        <v>289</v>
      </c>
      <c r="C24">
        <v>56</v>
      </c>
      <c r="D24" s="69"/>
      <c r="E24" s="69">
        <f t="shared" si="1"/>
        <v>0</v>
      </c>
    </row>
    <row r="25" spans="1:17" x14ac:dyDescent="0.25">
      <c r="A25" t="s">
        <v>268</v>
      </c>
      <c r="C25">
        <v>5</v>
      </c>
      <c r="D25" s="69"/>
      <c r="E25" s="69">
        <f t="shared" si="1"/>
        <v>0</v>
      </c>
    </row>
    <row r="26" spans="1:17" x14ac:dyDescent="0.25">
      <c r="A26" t="s">
        <v>269</v>
      </c>
      <c r="C26">
        <v>9</v>
      </c>
      <c r="D26" s="69"/>
      <c r="E26" s="69">
        <f t="shared" si="1"/>
        <v>0</v>
      </c>
    </row>
    <row r="27" spans="1:17" x14ac:dyDescent="0.25">
      <c r="A27" t="s">
        <v>277</v>
      </c>
      <c r="D27" s="69"/>
      <c r="E27" s="69">
        <f t="shared" si="1"/>
        <v>0</v>
      </c>
    </row>
    <row r="28" spans="1:17" x14ac:dyDescent="0.25">
      <c r="A28" t="s">
        <v>276</v>
      </c>
      <c r="D28" s="69"/>
      <c r="E28" s="69">
        <f t="shared" si="1"/>
        <v>0</v>
      </c>
    </row>
    <row r="29" spans="1:17" x14ac:dyDescent="0.25">
      <c r="A29" t="s">
        <v>275</v>
      </c>
      <c r="D29" s="69"/>
      <c r="E29" s="69">
        <f t="shared" si="1"/>
        <v>0</v>
      </c>
    </row>
    <row r="30" spans="1:17" x14ac:dyDescent="0.25">
      <c r="A30" t="s">
        <v>274</v>
      </c>
      <c r="D30" s="69"/>
      <c r="E30" s="69">
        <f t="shared" si="1"/>
        <v>0</v>
      </c>
    </row>
    <row r="31" spans="1:17" x14ac:dyDescent="0.25">
      <c r="A31" s="131" t="s">
        <v>292</v>
      </c>
      <c r="B31" s="131"/>
      <c r="C31" s="131"/>
      <c r="D31" s="131"/>
      <c r="E31" s="131"/>
    </row>
    <row r="32" spans="1:17" x14ac:dyDescent="0.25">
      <c r="A32" t="s">
        <v>284</v>
      </c>
      <c r="D32" s="69"/>
      <c r="E32" s="69">
        <f t="shared" ref="E32:E48" si="2">C32*D32</f>
        <v>0</v>
      </c>
    </row>
    <row r="33" spans="1:5" x14ac:dyDescent="0.25">
      <c r="A33" t="s">
        <v>304</v>
      </c>
      <c r="D33" s="69"/>
      <c r="E33" s="69">
        <f t="shared" si="2"/>
        <v>0</v>
      </c>
    </row>
    <row r="34" spans="1:5" x14ac:dyDescent="0.25">
      <c r="A34" t="s">
        <v>303</v>
      </c>
      <c r="D34" s="69"/>
      <c r="E34" s="69">
        <f t="shared" si="2"/>
        <v>0</v>
      </c>
    </row>
    <row r="35" spans="1:5" x14ac:dyDescent="0.25">
      <c r="A35" t="s">
        <v>302</v>
      </c>
      <c r="D35" s="69"/>
      <c r="E35" s="69">
        <f t="shared" si="2"/>
        <v>0</v>
      </c>
    </row>
    <row r="36" spans="1:5" x14ac:dyDescent="0.25">
      <c r="A36" t="s">
        <v>301</v>
      </c>
      <c r="D36" s="69"/>
      <c r="E36" s="69">
        <f t="shared" si="2"/>
        <v>0</v>
      </c>
    </row>
    <row r="37" spans="1:5" x14ac:dyDescent="0.25">
      <c r="A37" t="s">
        <v>300</v>
      </c>
      <c r="D37" s="69"/>
      <c r="E37" s="69">
        <f t="shared" si="2"/>
        <v>0</v>
      </c>
    </row>
    <row r="38" spans="1:5" x14ac:dyDescent="0.25">
      <c r="A38" t="s">
        <v>299</v>
      </c>
      <c r="D38" s="69"/>
      <c r="E38" s="69">
        <f t="shared" si="2"/>
        <v>0</v>
      </c>
    </row>
    <row r="39" spans="1:5" x14ac:dyDescent="0.25">
      <c r="A39" t="s">
        <v>298</v>
      </c>
      <c r="D39" s="69"/>
      <c r="E39" s="69">
        <f t="shared" si="2"/>
        <v>0</v>
      </c>
    </row>
    <row r="40" spans="1:5" ht="15" customHeight="1" x14ac:dyDescent="0.25">
      <c r="A40" t="s">
        <v>305</v>
      </c>
      <c r="D40" s="69"/>
      <c r="E40" s="69">
        <f t="shared" si="2"/>
        <v>0</v>
      </c>
    </row>
    <row r="41" spans="1:5" x14ac:dyDescent="0.25">
      <c r="A41" t="s">
        <v>306</v>
      </c>
      <c r="D41" s="69"/>
      <c r="E41" s="69">
        <f t="shared" si="2"/>
        <v>0</v>
      </c>
    </row>
    <row r="42" spans="1:5" x14ac:dyDescent="0.25">
      <c r="A42" t="s">
        <v>307</v>
      </c>
      <c r="D42" s="69"/>
      <c r="E42" s="69">
        <f t="shared" si="2"/>
        <v>0</v>
      </c>
    </row>
    <row r="43" spans="1:5" ht="30" x14ac:dyDescent="0.25">
      <c r="A43" s="9" t="s">
        <v>308</v>
      </c>
      <c r="D43" s="69"/>
      <c r="E43" s="69">
        <f t="shared" si="2"/>
        <v>0</v>
      </c>
    </row>
    <row r="44" spans="1:5" x14ac:dyDescent="0.25">
      <c r="A44" s="9" t="s">
        <v>309</v>
      </c>
      <c r="D44" s="69"/>
      <c r="E44" s="69">
        <f t="shared" si="2"/>
        <v>0</v>
      </c>
    </row>
    <row r="45" spans="1:5" x14ac:dyDescent="0.25">
      <c r="A45" t="s">
        <v>285</v>
      </c>
      <c r="D45" s="69"/>
      <c r="E45" s="69">
        <f t="shared" si="2"/>
        <v>0</v>
      </c>
    </row>
    <row r="46" spans="1:5" x14ac:dyDescent="0.25">
      <c r="A46" t="s">
        <v>286</v>
      </c>
      <c r="D46" s="69"/>
      <c r="E46" s="69">
        <f t="shared" si="2"/>
        <v>0</v>
      </c>
    </row>
    <row r="47" spans="1:5" x14ac:dyDescent="0.25">
      <c r="A47" t="s">
        <v>297</v>
      </c>
      <c r="D47" s="69"/>
      <c r="E47" s="69">
        <f t="shared" si="2"/>
        <v>0</v>
      </c>
    </row>
    <row r="48" spans="1:5" x14ac:dyDescent="0.25">
      <c r="A48" t="s">
        <v>287</v>
      </c>
      <c r="D48" s="69"/>
      <c r="E48" s="69">
        <f t="shared" si="2"/>
        <v>0</v>
      </c>
    </row>
    <row r="49" spans="1:22" x14ac:dyDescent="0.25">
      <c r="A49" s="70" t="s">
        <v>7</v>
      </c>
      <c r="B49" s="70"/>
      <c r="C49" s="70"/>
      <c r="D49" s="70"/>
      <c r="E49" s="71">
        <f>SUM(E18:E30)</f>
        <v>23034</v>
      </c>
    </row>
    <row r="53" spans="1:22" x14ac:dyDescent="0.25">
      <c r="A53" s="79" t="s">
        <v>339</v>
      </c>
      <c r="B53" s="78"/>
      <c r="C53" s="79" t="s">
        <v>312</v>
      </c>
      <c r="D53" s="79" t="s">
        <v>330</v>
      </c>
      <c r="E53" s="79" t="s">
        <v>345</v>
      </c>
      <c r="F53" s="78" t="s">
        <v>314</v>
      </c>
    </row>
    <row r="54" spans="1:22" x14ac:dyDescent="0.25">
      <c r="A54" s="140" t="s">
        <v>322</v>
      </c>
      <c r="B54" s="140"/>
      <c r="C54" s="140"/>
      <c r="D54" s="140"/>
      <c r="E54" s="140"/>
      <c r="F54" s="140"/>
    </row>
    <row r="55" spans="1:22" x14ac:dyDescent="0.25">
      <c r="A55" s="133" t="s">
        <v>341</v>
      </c>
      <c r="B55" s="133"/>
      <c r="C55">
        <v>25</v>
      </c>
      <c r="D55" t="s">
        <v>332</v>
      </c>
      <c r="E55">
        <v>1.92</v>
      </c>
      <c r="F55">
        <v>32</v>
      </c>
    </row>
    <row r="56" spans="1:22" x14ac:dyDescent="0.25">
      <c r="A56" s="83" t="s">
        <v>340</v>
      </c>
      <c r="B56" s="83"/>
      <c r="C56" s="84"/>
      <c r="D56" s="84" t="s">
        <v>332</v>
      </c>
      <c r="E56" s="84">
        <v>0.27</v>
      </c>
      <c r="F56" s="84">
        <v>3</v>
      </c>
    </row>
    <row r="57" spans="1:22" s="82" customFormat="1" x14ac:dyDescent="0.25">
      <c r="A57" s="83" t="s">
        <v>344</v>
      </c>
      <c r="B57" s="83"/>
      <c r="C57" s="84"/>
      <c r="D57" s="84" t="s">
        <v>346</v>
      </c>
      <c r="E57" s="84"/>
      <c r="F57" s="84">
        <v>7</v>
      </c>
      <c r="V57" s="89"/>
    </row>
    <row r="58" spans="1:22" x14ac:dyDescent="0.25">
      <c r="A58" s="132" t="s">
        <v>331</v>
      </c>
      <c r="B58" s="132"/>
      <c r="C58">
        <v>56</v>
      </c>
      <c r="D58" t="s">
        <v>332</v>
      </c>
      <c r="E58">
        <f>0.1*0.03*238</f>
        <v>0.71399999999999997</v>
      </c>
      <c r="F58" t="s">
        <v>347</v>
      </c>
    </row>
    <row r="59" spans="1:22" x14ac:dyDescent="0.25">
      <c r="A59" s="132" t="s">
        <v>315</v>
      </c>
      <c r="B59" s="132"/>
      <c r="C59">
        <v>50</v>
      </c>
      <c r="D59" t="s">
        <v>333</v>
      </c>
    </row>
    <row r="60" spans="1:22" x14ac:dyDescent="0.25">
      <c r="A60" s="132" t="s">
        <v>316</v>
      </c>
      <c r="B60" s="132"/>
      <c r="C60">
        <v>66</v>
      </c>
      <c r="D60" t="s">
        <v>334</v>
      </c>
      <c r="E60">
        <v>0.17499999999999999</v>
      </c>
      <c r="F60">
        <v>70</v>
      </c>
      <c r="H60" t="s">
        <v>349</v>
      </c>
      <c r="I60">
        <f>SUM(E58,E56,E55,E60)</f>
        <v>3.0789999999999997</v>
      </c>
    </row>
    <row r="61" spans="1:22" x14ac:dyDescent="0.25">
      <c r="A61" s="132" t="s">
        <v>317</v>
      </c>
      <c r="B61" s="132"/>
      <c r="C61">
        <v>16</v>
      </c>
      <c r="D61" t="s">
        <v>334</v>
      </c>
      <c r="H61" t="s">
        <v>19</v>
      </c>
      <c r="I61" s="75">
        <f>I60*8500</f>
        <v>26171.499999999996</v>
      </c>
    </row>
    <row r="62" spans="1:22" x14ac:dyDescent="0.25">
      <c r="A62" s="132" t="s">
        <v>318</v>
      </c>
      <c r="B62" s="132"/>
      <c r="C62">
        <v>144</v>
      </c>
      <c r="D62" t="s">
        <v>333</v>
      </c>
    </row>
    <row r="63" spans="1:22" x14ac:dyDescent="0.25">
      <c r="A63" s="132" t="s">
        <v>319</v>
      </c>
      <c r="B63" s="132"/>
      <c r="C63">
        <v>144</v>
      </c>
      <c r="D63" t="s">
        <v>333</v>
      </c>
    </row>
    <row r="64" spans="1:22" x14ac:dyDescent="0.25">
      <c r="A64" s="132" t="s">
        <v>320</v>
      </c>
      <c r="B64" s="132"/>
      <c r="C64">
        <v>10</v>
      </c>
      <c r="D64" t="s">
        <v>335</v>
      </c>
    </row>
    <row r="65" spans="1:6" x14ac:dyDescent="0.25">
      <c r="A65" s="137" t="s">
        <v>321</v>
      </c>
      <c r="B65" s="137"/>
      <c r="C65">
        <v>1000</v>
      </c>
      <c r="D65" t="s">
        <v>333</v>
      </c>
    </row>
    <row r="66" spans="1:6" x14ac:dyDescent="0.25">
      <c r="A66" s="134" t="s">
        <v>343</v>
      </c>
      <c r="B66" s="134"/>
      <c r="C66" s="134"/>
      <c r="D66" s="134"/>
      <c r="E66" s="134"/>
      <c r="F66" s="134"/>
    </row>
    <row r="67" spans="1:6" x14ac:dyDescent="0.25">
      <c r="A67" s="135" t="s">
        <v>350</v>
      </c>
      <c r="B67" s="135"/>
      <c r="C67">
        <v>8</v>
      </c>
      <c r="D67" t="s">
        <v>338</v>
      </c>
      <c r="E67" t="s">
        <v>342</v>
      </c>
      <c r="F67">
        <v>9</v>
      </c>
    </row>
    <row r="68" spans="1:6" x14ac:dyDescent="0.25">
      <c r="A68" s="136" t="s">
        <v>323</v>
      </c>
      <c r="B68" s="136"/>
      <c r="C68">
        <v>500</v>
      </c>
      <c r="D68" t="s">
        <v>333</v>
      </c>
    </row>
    <row r="69" spans="1:6" x14ac:dyDescent="0.25">
      <c r="A69" s="132" t="s">
        <v>351</v>
      </c>
      <c r="B69" s="132"/>
      <c r="C69">
        <v>5</v>
      </c>
      <c r="D69" t="s">
        <v>333</v>
      </c>
    </row>
    <row r="70" spans="1:6" x14ac:dyDescent="0.25">
      <c r="A70" s="132" t="s">
        <v>352</v>
      </c>
      <c r="B70" s="132"/>
      <c r="C70">
        <v>7</v>
      </c>
      <c r="D70" t="s">
        <v>333</v>
      </c>
    </row>
    <row r="71" spans="1:6" x14ac:dyDescent="0.25">
      <c r="A71" s="132" t="s">
        <v>353</v>
      </c>
      <c r="B71" s="132"/>
      <c r="C71">
        <v>2</v>
      </c>
      <c r="D71" t="s">
        <v>333</v>
      </c>
    </row>
    <row r="72" spans="1:6" x14ac:dyDescent="0.25">
      <c r="A72" s="132" t="s">
        <v>324</v>
      </c>
      <c r="B72" s="132"/>
      <c r="C72">
        <v>9</v>
      </c>
      <c r="D72" t="s">
        <v>336</v>
      </c>
    </row>
    <row r="73" spans="1:6" x14ac:dyDescent="0.25">
      <c r="A73" s="132" t="s">
        <v>325</v>
      </c>
      <c r="B73" s="132"/>
      <c r="C73">
        <v>9</v>
      </c>
      <c r="D73" t="s">
        <v>337</v>
      </c>
    </row>
    <row r="74" spans="1:6" x14ac:dyDescent="0.25">
      <c r="A74" s="132" t="s">
        <v>326</v>
      </c>
      <c r="B74" s="132"/>
      <c r="C74">
        <v>9</v>
      </c>
      <c r="D74" t="s">
        <v>337</v>
      </c>
    </row>
    <row r="75" spans="1:6" x14ac:dyDescent="0.25">
      <c r="A75" s="132" t="s">
        <v>327</v>
      </c>
      <c r="B75" s="132"/>
      <c r="C75">
        <v>5</v>
      </c>
      <c r="D75" t="s">
        <v>333</v>
      </c>
    </row>
    <row r="76" spans="1:6" x14ac:dyDescent="0.25">
      <c r="A76" s="132" t="s">
        <v>328</v>
      </c>
      <c r="B76" s="132"/>
      <c r="C76">
        <v>1</v>
      </c>
      <c r="D76" t="s">
        <v>333</v>
      </c>
    </row>
    <row r="77" spans="1:6" x14ac:dyDescent="0.25">
      <c r="A77" s="132" t="s">
        <v>329</v>
      </c>
      <c r="B77" s="132"/>
      <c r="C77">
        <v>1</v>
      </c>
      <c r="D77" t="s">
        <v>333</v>
      </c>
    </row>
    <row r="79" spans="1:6" x14ac:dyDescent="0.25">
      <c r="A79" s="80" t="s">
        <v>348</v>
      </c>
      <c r="B79" s="80"/>
      <c r="C79" s="80"/>
      <c r="D79" s="81">
        <v>39800</v>
      </c>
    </row>
    <row r="82" spans="1:6" x14ac:dyDescent="0.25">
      <c r="A82" s="139" t="s">
        <v>376</v>
      </c>
      <c r="B82" s="139"/>
      <c r="C82" s="139"/>
      <c r="D82" s="139"/>
      <c r="E82" s="139"/>
    </row>
    <row r="83" spans="1:6" ht="28.5" x14ac:dyDescent="0.45">
      <c r="A83" s="68" t="s">
        <v>128</v>
      </c>
      <c r="B83" s="68"/>
      <c r="C83" s="91"/>
      <c r="D83" s="91"/>
      <c r="E83" s="91"/>
    </row>
    <row r="84" spans="1:6" x14ac:dyDescent="0.25">
      <c r="A84" s="61" t="s">
        <v>107</v>
      </c>
      <c r="B84" s="61" t="s">
        <v>290</v>
      </c>
      <c r="C84" s="61" t="s">
        <v>108</v>
      </c>
      <c r="D84" s="61" t="s">
        <v>109</v>
      </c>
      <c r="E84" s="61" t="s">
        <v>19</v>
      </c>
    </row>
    <row r="85" spans="1:6" x14ac:dyDescent="0.25">
      <c r="A85" s="9" t="s">
        <v>377</v>
      </c>
      <c r="B85" s="9" t="s">
        <v>378</v>
      </c>
      <c r="C85" s="91">
        <v>13.06</v>
      </c>
      <c r="D85" s="69">
        <v>2200</v>
      </c>
      <c r="E85" s="69">
        <f t="shared" ref="E85:E95" si="3">C85*D85</f>
        <v>28732</v>
      </c>
    </row>
    <row r="86" spans="1:6" x14ac:dyDescent="0.25">
      <c r="A86" s="91" t="s">
        <v>278</v>
      </c>
      <c r="B86" s="91"/>
      <c r="C86" s="91">
        <v>13</v>
      </c>
      <c r="D86" s="69">
        <v>200</v>
      </c>
      <c r="E86" s="69">
        <f t="shared" si="3"/>
        <v>2600</v>
      </c>
    </row>
    <row r="87" spans="1:6" x14ac:dyDescent="0.25">
      <c r="A87" s="91" t="s">
        <v>264</v>
      </c>
      <c r="B87" s="91"/>
      <c r="C87" s="91">
        <v>1</v>
      </c>
      <c r="D87" s="69">
        <v>8000</v>
      </c>
      <c r="E87" s="69">
        <f t="shared" si="3"/>
        <v>8000</v>
      </c>
    </row>
    <row r="88" spans="1:6" s="91" customFormat="1" x14ac:dyDescent="0.25">
      <c r="A88" s="91" t="s">
        <v>279</v>
      </c>
      <c r="C88" s="91">
        <v>38</v>
      </c>
      <c r="D88" s="69">
        <v>210</v>
      </c>
      <c r="E88" s="69">
        <f t="shared" ref="E88" si="4">C88*D88</f>
        <v>7980</v>
      </c>
    </row>
    <row r="89" spans="1:6" x14ac:dyDescent="0.25">
      <c r="A89" s="91" t="s">
        <v>382</v>
      </c>
      <c r="B89" s="91"/>
      <c r="C89" s="91">
        <v>1</v>
      </c>
      <c r="D89" s="69">
        <v>1500</v>
      </c>
      <c r="E89" s="69">
        <f t="shared" si="3"/>
        <v>1500</v>
      </c>
    </row>
    <row r="90" spans="1:6" x14ac:dyDescent="0.25">
      <c r="A90" s="91" t="s">
        <v>381</v>
      </c>
      <c r="B90" s="91"/>
      <c r="C90" s="91">
        <v>1</v>
      </c>
      <c r="D90" s="69">
        <v>6000</v>
      </c>
      <c r="E90" s="69">
        <f t="shared" si="3"/>
        <v>6000</v>
      </c>
    </row>
    <row r="91" spans="1:6" x14ac:dyDescent="0.25">
      <c r="A91" s="91" t="s">
        <v>281</v>
      </c>
      <c r="B91" s="91"/>
      <c r="C91" s="91">
        <v>9</v>
      </c>
      <c r="D91" s="69">
        <v>220</v>
      </c>
      <c r="E91" s="69">
        <f t="shared" si="3"/>
        <v>1980</v>
      </c>
    </row>
    <row r="92" spans="1:6" x14ac:dyDescent="0.25">
      <c r="A92" s="91" t="s">
        <v>270</v>
      </c>
      <c r="B92" s="91"/>
      <c r="C92" s="91">
        <v>1</v>
      </c>
      <c r="D92" s="69">
        <v>400</v>
      </c>
      <c r="E92" s="69">
        <f t="shared" si="3"/>
        <v>400</v>
      </c>
    </row>
    <row r="93" spans="1:6" x14ac:dyDescent="0.25">
      <c r="A93" s="91" t="s">
        <v>379</v>
      </c>
      <c r="B93" s="91"/>
      <c r="C93" s="91">
        <v>14.4</v>
      </c>
      <c r="D93" s="69">
        <v>600</v>
      </c>
      <c r="E93" s="69">
        <f t="shared" si="3"/>
        <v>8640</v>
      </c>
    </row>
    <row r="94" spans="1:6" s="91" customFormat="1" x14ac:dyDescent="0.25">
      <c r="A94" s="91" t="s">
        <v>380</v>
      </c>
      <c r="C94" s="91">
        <v>8.4</v>
      </c>
      <c r="D94" s="69">
        <v>400</v>
      </c>
      <c r="E94" s="69">
        <f t="shared" ref="E94" si="5">C94*D94</f>
        <v>3360</v>
      </c>
    </row>
    <row r="95" spans="1:6" x14ac:dyDescent="0.25">
      <c r="A95" s="91" t="s">
        <v>383</v>
      </c>
      <c r="B95" s="91"/>
      <c r="C95" s="91">
        <v>1</v>
      </c>
      <c r="D95" s="69">
        <v>600</v>
      </c>
      <c r="E95" s="69">
        <f t="shared" si="3"/>
        <v>600</v>
      </c>
    </row>
    <row r="96" spans="1:6" s="95" customFormat="1" x14ac:dyDescent="0.25">
      <c r="A96" s="98" t="s">
        <v>392</v>
      </c>
      <c r="B96" s="98"/>
      <c r="C96" s="98"/>
      <c r="D96" s="99"/>
      <c r="E96" s="102">
        <f>SUM(E85:E95)</f>
        <v>69792</v>
      </c>
      <c r="F96" s="74"/>
    </row>
    <row r="97" spans="1:22" x14ac:dyDescent="0.25">
      <c r="A97" s="138" t="s">
        <v>292</v>
      </c>
      <c r="B97" s="138"/>
      <c r="C97" s="138"/>
      <c r="D97" s="138"/>
      <c r="E97" s="138"/>
    </row>
    <row r="98" spans="1:22" s="91" customFormat="1" x14ac:dyDescent="0.25">
      <c r="A98" s="91" t="s">
        <v>384</v>
      </c>
      <c r="C98" s="91">
        <f>63-7</f>
        <v>56</v>
      </c>
      <c r="D98" s="69">
        <v>500</v>
      </c>
      <c r="E98" s="69">
        <f>C98*D98</f>
        <v>28000</v>
      </c>
    </row>
    <row r="99" spans="1:22" s="91" customFormat="1" x14ac:dyDescent="0.25">
      <c r="A99" s="91" t="s">
        <v>385</v>
      </c>
      <c r="C99" s="91">
        <f>8+7</f>
        <v>15</v>
      </c>
      <c r="D99" s="69">
        <v>400</v>
      </c>
      <c r="E99" s="69">
        <f>C99*D99</f>
        <v>6000</v>
      </c>
    </row>
    <row r="100" spans="1:22" x14ac:dyDescent="0.25">
      <c r="A100" s="91" t="s">
        <v>386</v>
      </c>
      <c r="B100" s="91"/>
      <c r="C100" s="91">
        <v>1</v>
      </c>
      <c r="D100" s="69">
        <v>3500</v>
      </c>
      <c r="E100" s="69">
        <f>C100*D100</f>
        <v>3500</v>
      </c>
    </row>
    <row r="101" spans="1:22" s="95" customFormat="1" x14ac:dyDescent="0.25">
      <c r="A101" s="98" t="s">
        <v>393</v>
      </c>
      <c r="B101" s="98"/>
      <c r="C101" s="98"/>
      <c r="D101" s="99"/>
      <c r="E101" s="102">
        <f>SUM(E98:E100)</f>
        <v>37500</v>
      </c>
      <c r="F101" s="74"/>
    </row>
    <row r="102" spans="1:22" x14ac:dyDescent="0.25">
      <c r="A102" t="s">
        <v>394</v>
      </c>
      <c r="E102" s="74">
        <f>FLOOR((E96+E101)*0.05,3)</f>
        <v>5364</v>
      </c>
    </row>
    <row r="103" spans="1:22" s="112" customFormat="1" x14ac:dyDescent="0.25">
      <c r="A103" s="98" t="s">
        <v>413</v>
      </c>
      <c r="B103" s="144"/>
      <c r="C103" s="144"/>
      <c r="D103" s="144"/>
      <c r="E103" s="102">
        <f>SUM(E101:E102)</f>
        <v>42864</v>
      </c>
    </row>
    <row r="104" spans="1:22" x14ac:dyDescent="0.25">
      <c r="A104" s="100" t="s">
        <v>189</v>
      </c>
      <c r="B104" s="100"/>
      <c r="C104" s="100">
        <v>51</v>
      </c>
      <c r="D104" s="100">
        <v>1</v>
      </c>
      <c r="E104" s="101">
        <f>E96+E101+E102</f>
        <v>112656</v>
      </c>
    </row>
    <row r="105" spans="1:22" ht="28.5" x14ac:dyDescent="0.45">
      <c r="A105" s="68" t="s">
        <v>157</v>
      </c>
      <c r="B105" s="104"/>
      <c r="C105" s="104"/>
      <c r="D105" s="104"/>
      <c r="E105" s="104"/>
      <c r="U105" s="89"/>
      <c r="V105"/>
    </row>
    <row r="106" spans="1:22" x14ac:dyDescent="0.25">
      <c r="A106" s="79" t="s">
        <v>107</v>
      </c>
      <c r="B106" s="79" t="s">
        <v>108</v>
      </c>
      <c r="C106" s="79" t="s">
        <v>109</v>
      </c>
      <c r="D106" s="79" t="s">
        <v>345</v>
      </c>
      <c r="E106" s="79" t="s">
        <v>391</v>
      </c>
      <c r="U106" s="89"/>
      <c r="V106"/>
    </row>
    <row r="107" spans="1:22" x14ac:dyDescent="0.25">
      <c r="A107" s="107" t="s">
        <v>388</v>
      </c>
      <c r="B107" s="104">
        <v>14</v>
      </c>
      <c r="C107" s="75">
        <v>8200</v>
      </c>
      <c r="D107" s="104">
        <f>0.1*0.2*6*B107</f>
        <v>1.6800000000000004</v>
      </c>
      <c r="E107" s="75">
        <f>C107*D107</f>
        <v>13776.000000000004</v>
      </c>
      <c r="U107" s="89"/>
      <c r="V107"/>
    </row>
    <row r="108" spans="1:22" x14ac:dyDescent="0.25">
      <c r="A108" s="103" t="s">
        <v>390</v>
      </c>
      <c r="B108" s="104">
        <v>84</v>
      </c>
      <c r="C108" s="75">
        <v>60</v>
      </c>
      <c r="D108" s="104"/>
      <c r="E108" s="75">
        <f t="shared" ref="E108:E124" si="6">C108*B108</f>
        <v>5040</v>
      </c>
      <c r="U108" s="89"/>
      <c r="V108"/>
    </row>
    <row r="109" spans="1:22" s="96" customFormat="1" x14ac:dyDescent="0.25">
      <c r="A109" s="103" t="s">
        <v>404</v>
      </c>
      <c r="B109" s="104">
        <v>1</v>
      </c>
      <c r="C109" s="75">
        <v>8200</v>
      </c>
      <c r="D109" s="104"/>
      <c r="E109" s="75">
        <f t="shared" si="6"/>
        <v>8200</v>
      </c>
    </row>
    <row r="110" spans="1:22" s="104" customFormat="1" x14ac:dyDescent="0.25">
      <c r="A110" s="109" t="s">
        <v>120</v>
      </c>
      <c r="B110" s="17">
        <v>1</v>
      </c>
      <c r="C110" s="110">
        <v>2000</v>
      </c>
      <c r="D110" s="17"/>
      <c r="E110" s="110">
        <f t="shared" si="6"/>
        <v>2000</v>
      </c>
    </row>
    <row r="111" spans="1:22" s="104" customFormat="1" x14ac:dyDescent="0.25">
      <c r="A111" s="103" t="s">
        <v>405</v>
      </c>
      <c r="B111" s="104">
        <v>1</v>
      </c>
      <c r="C111" s="75">
        <v>9000</v>
      </c>
      <c r="E111" s="75">
        <f t="shared" si="6"/>
        <v>9000</v>
      </c>
    </row>
    <row r="112" spans="1:22" x14ac:dyDescent="0.25">
      <c r="A112" s="103" t="s">
        <v>411</v>
      </c>
      <c r="B112" s="104">
        <v>1</v>
      </c>
      <c r="C112" s="75">
        <v>2000</v>
      </c>
      <c r="D112" s="104"/>
      <c r="E112" s="75">
        <f t="shared" si="6"/>
        <v>2000</v>
      </c>
      <c r="U112" s="89"/>
      <c r="V112"/>
    </row>
    <row r="113" spans="1:22" s="104" customFormat="1" x14ac:dyDescent="0.25">
      <c r="A113" s="103" t="s">
        <v>412</v>
      </c>
      <c r="B113" s="104">
        <v>1</v>
      </c>
      <c r="C113" s="75">
        <v>800</v>
      </c>
      <c r="E113" s="75">
        <f t="shared" si="6"/>
        <v>800</v>
      </c>
    </row>
    <row r="114" spans="1:22" x14ac:dyDescent="0.25">
      <c r="A114" s="105" t="s">
        <v>161</v>
      </c>
      <c r="B114" s="104">
        <v>1</v>
      </c>
      <c r="C114" s="75">
        <v>2700</v>
      </c>
      <c r="D114" s="104"/>
      <c r="E114" s="75">
        <f t="shared" si="6"/>
        <v>2700</v>
      </c>
      <c r="U114" s="89"/>
      <c r="V114"/>
    </row>
    <row r="115" spans="1:22" x14ac:dyDescent="0.25">
      <c r="A115" s="103" t="s">
        <v>406</v>
      </c>
      <c r="B115" s="104">
        <v>1</v>
      </c>
      <c r="C115" s="75">
        <v>2500</v>
      </c>
      <c r="D115" s="104"/>
      <c r="E115" s="75">
        <f t="shared" si="6"/>
        <v>2500</v>
      </c>
      <c r="U115" s="89"/>
      <c r="V115"/>
    </row>
    <row r="116" spans="1:22" s="104" customFormat="1" x14ac:dyDescent="0.25">
      <c r="A116" s="103" t="s">
        <v>159</v>
      </c>
      <c r="B116" s="104">
        <v>1</v>
      </c>
      <c r="C116" s="75">
        <v>1000</v>
      </c>
      <c r="E116" s="75">
        <f t="shared" si="6"/>
        <v>1000</v>
      </c>
    </row>
    <row r="117" spans="1:22" s="104" customFormat="1" x14ac:dyDescent="0.25">
      <c r="A117" s="103" t="s">
        <v>407</v>
      </c>
      <c r="B117" s="104">
        <v>1</v>
      </c>
      <c r="C117" s="75">
        <v>1000</v>
      </c>
      <c r="E117" s="75">
        <f t="shared" si="6"/>
        <v>1000</v>
      </c>
    </row>
    <row r="118" spans="1:22" x14ac:dyDescent="0.25">
      <c r="A118" s="109" t="s">
        <v>120</v>
      </c>
      <c r="B118" s="17">
        <v>1</v>
      </c>
      <c r="C118" s="110">
        <v>500</v>
      </c>
      <c r="D118" s="17"/>
      <c r="E118" s="110">
        <f t="shared" si="6"/>
        <v>500</v>
      </c>
      <c r="U118" s="89"/>
      <c r="V118"/>
    </row>
    <row r="119" spans="1:22" s="104" customFormat="1" x14ac:dyDescent="0.25">
      <c r="A119" s="104" t="s">
        <v>410</v>
      </c>
      <c r="B119" s="104">
        <v>1</v>
      </c>
      <c r="C119" s="75">
        <v>1000</v>
      </c>
      <c r="E119" s="75">
        <f t="shared" si="6"/>
        <v>1000</v>
      </c>
    </row>
    <row r="120" spans="1:22" x14ac:dyDescent="0.25">
      <c r="A120" s="108" t="s">
        <v>409</v>
      </c>
      <c r="B120" s="104">
        <v>1</v>
      </c>
      <c r="C120" s="75">
        <v>22000</v>
      </c>
      <c r="D120" s="104"/>
      <c r="E120" s="75">
        <f t="shared" si="6"/>
        <v>22000</v>
      </c>
      <c r="U120" s="89"/>
      <c r="V120"/>
    </row>
    <row r="121" spans="1:22" s="104" customFormat="1" x14ac:dyDescent="0.25">
      <c r="A121" s="111" t="s">
        <v>145</v>
      </c>
      <c r="B121" s="104">
        <v>1</v>
      </c>
      <c r="C121" s="75">
        <v>1500</v>
      </c>
      <c r="E121" s="75">
        <f t="shared" si="6"/>
        <v>1500</v>
      </c>
    </row>
    <row r="122" spans="1:22" x14ac:dyDescent="0.25">
      <c r="A122" s="103" t="s">
        <v>351</v>
      </c>
      <c r="B122" s="104">
        <v>20</v>
      </c>
      <c r="C122" s="75">
        <v>120</v>
      </c>
      <c r="D122" s="104"/>
      <c r="E122" s="75">
        <f t="shared" si="6"/>
        <v>2400</v>
      </c>
      <c r="U122" s="89"/>
      <c r="V122"/>
    </row>
    <row r="123" spans="1:22" x14ac:dyDescent="0.25">
      <c r="A123" s="103" t="s">
        <v>352</v>
      </c>
      <c r="B123" s="104">
        <v>12</v>
      </c>
      <c r="C123" s="75">
        <v>180</v>
      </c>
      <c r="D123" s="104"/>
      <c r="E123" s="75">
        <f t="shared" si="6"/>
        <v>2160</v>
      </c>
      <c r="U123" s="89"/>
      <c r="V123"/>
    </row>
    <row r="124" spans="1:22" x14ac:dyDescent="0.25">
      <c r="A124" s="103" t="s">
        <v>120</v>
      </c>
      <c r="B124" s="104">
        <v>1</v>
      </c>
      <c r="C124" s="75">
        <v>2000</v>
      </c>
      <c r="D124" s="104"/>
      <c r="E124" s="75">
        <f t="shared" si="6"/>
        <v>2000</v>
      </c>
      <c r="U124" s="89"/>
      <c r="V124"/>
    </row>
    <row r="125" spans="1:22" x14ac:dyDescent="0.25">
      <c r="A125" s="100" t="s">
        <v>7</v>
      </c>
      <c r="B125" s="100"/>
      <c r="C125" s="113"/>
      <c r="D125" s="100"/>
      <c r="E125" s="113">
        <f>SUM(E107:E124)</f>
        <v>79576</v>
      </c>
      <c r="U125" s="89"/>
      <c r="V125"/>
    </row>
    <row r="126" spans="1:22" x14ac:dyDescent="0.25">
      <c r="A126" s="131" t="s">
        <v>292</v>
      </c>
      <c r="B126" s="131"/>
      <c r="C126" s="131"/>
      <c r="D126" s="131"/>
      <c r="E126" s="131"/>
      <c r="F126" s="106"/>
    </row>
    <row r="127" spans="1:22" x14ac:dyDescent="0.25">
      <c r="A127" s="104" t="s">
        <v>157</v>
      </c>
      <c r="B127" s="104">
        <v>53</v>
      </c>
      <c r="C127" s="69">
        <v>500</v>
      </c>
      <c r="D127" s="69"/>
      <c r="E127" s="75">
        <f>C127*B127</f>
        <v>26500</v>
      </c>
      <c r="U127" s="89"/>
      <c r="V127"/>
    </row>
    <row r="128" spans="1:22" s="104" customFormat="1" x14ac:dyDescent="0.25">
      <c r="A128" s="100" t="s">
        <v>7</v>
      </c>
      <c r="B128" s="100"/>
      <c r="C128" s="100"/>
      <c r="D128" s="101"/>
      <c r="E128" s="101">
        <f>SUM(E127)</f>
        <v>26500</v>
      </c>
    </row>
    <row r="129" spans="1:22" x14ac:dyDescent="0.25">
      <c r="A129" s="114" t="s">
        <v>403</v>
      </c>
      <c r="B129" s="114"/>
      <c r="C129" s="114"/>
      <c r="D129" s="115"/>
      <c r="E129" s="115">
        <f>FLOOR((E128+E125)*1.05,2)</f>
        <v>111378</v>
      </c>
      <c r="U129" s="89"/>
      <c r="V129"/>
    </row>
    <row r="130" spans="1:22" ht="28.5" x14ac:dyDescent="0.45">
      <c r="A130" s="68" t="s">
        <v>402</v>
      </c>
    </row>
    <row r="131" spans="1:22" x14ac:dyDescent="0.25">
      <c r="A131" s="79" t="s">
        <v>107</v>
      </c>
      <c r="B131" s="78"/>
      <c r="C131" s="79" t="s">
        <v>108</v>
      </c>
      <c r="D131" s="79" t="s">
        <v>330</v>
      </c>
      <c r="E131" s="79" t="s">
        <v>345</v>
      </c>
      <c r="F131" s="75" t="s">
        <v>408</v>
      </c>
    </row>
    <row r="132" spans="1:22" x14ac:dyDescent="0.25">
      <c r="A132" s="128" t="s">
        <v>322</v>
      </c>
      <c r="B132" s="129"/>
      <c r="C132" s="129"/>
      <c r="D132" s="129"/>
      <c r="E132" s="130"/>
      <c r="F132" s="97">
        <v>8200</v>
      </c>
    </row>
    <row r="133" spans="1:22" x14ac:dyDescent="0.25">
      <c r="A133" s="133" t="s">
        <v>388</v>
      </c>
      <c r="B133" s="133"/>
      <c r="C133" s="91">
        <v>15</v>
      </c>
      <c r="D133" s="91" t="s">
        <v>395</v>
      </c>
      <c r="E133" s="96">
        <f>0.1*0.2*6*C133</f>
        <v>1.8000000000000003</v>
      </c>
      <c r="F133" s="75"/>
    </row>
    <row r="134" spans="1:22" x14ac:dyDescent="0.25">
      <c r="A134" s="132" t="s">
        <v>389</v>
      </c>
      <c r="B134" s="132"/>
      <c r="C134" s="96">
        <v>30</v>
      </c>
      <c r="D134" s="96" t="s">
        <v>395</v>
      </c>
      <c r="E134" s="96">
        <f>0.1*0.03*6*C134</f>
        <v>0.54</v>
      </c>
      <c r="F134" s="75"/>
    </row>
    <row r="135" spans="1:22" x14ac:dyDescent="0.25">
      <c r="A135" s="132" t="s">
        <v>399</v>
      </c>
      <c r="B135" s="132"/>
      <c r="C135" s="91">
        <v>54</v>
      </c>
      <c r="D135" s="91" t="s">
        <v>395</v>
      </c>
      <c r="E135" s="91">
        <f>0.1*0.03*6*C135</f>
        <v>0.97200000000000009</v>
      </c>
      <c r="F135" s="75"/>
    </row>
    <row r="136" spans="1:22" x14ac:dyDescent="0.25">
      <c r="A136" s="132" t="s">
        <v>390</v>
      </c>
      <c r="B136" s="132"/>
      <c r="C136" s="91">
        <v>72</v>
      </c>
      <c r="D136" s="91" t="s">
        <v>334</v>
      </c>
      <c r="E136" s="91">
        <f>0.05*0.05*C136</f>
        <v>0.18000000000000005</v>
      </c>
      <c r="F136" s="75"/>
    </row>
    <row r="137" spans="1:22" x14ac:dyDescent="0.25">
      <c r="A137" s="132" t="s">
        <v>315</v>
      </c>
      <c r="B137" s="132"/>
      <c r="C137" s="91">
        <v>50</v>
      </c>
      <c r="D137" s="91" t="s">
        <v>333</v>
      </c>
      <c r="E137" s="91"/>
      <c r="F137" s="75"/>
    </row>
    <row r="138" spans="1:22" x14ac:dyDescent="0.25">
      <c r="A138" s="132" t="s">
        <v>320</v>
      </c>
      <c r="B138" s="132"/>
      <c r="C138" s="91">
        <v>10</v>
      </c>
      <c r="D138" s="91" t="s">
        <v>335</v>
      </c>
      <c r="E138" s="91"/>
      <c r="F138" s="75"/>
    </row>
    <row r="139" spans="1:22" x14ac:dyDescent="0.25">
      <c r="A139" s="137" t="s">
        <v>321</v>
      </c>
      <c r="B139" s="137"/>
      <c r="C139" s="91">
        <v>1000</v>
      </c>
      <c r="D139" s="91" t="s">
        <v>333</v>
      </c>
      <c r="E139" s="91"/>
      <c r="F139" s="75"/>
    </row>
    <row r="140" spans="1:22" x14ac:dyDescent="0.25">
      <c r="A140" s="134" t="s">
        <v>343</v>
      </c>
      <c r="B140" s="134"/>
      <c r="C140" s="134"/>
      <c r="D140" s="134"/>
      <c r="E140" s="134"/>
      <c r="F140" s="134"/>
    </row>
    <row r="141" spans="1:22" x14ac:dyDescent="0.25">
      <c r="A141" s="135" t="s">
        <v>396</v>
      </c>
      <c r="B141" s="135"/>
      <c r="C141" s="91">
        <v>9</v>
      </c>
      <c r="D141" s="91" t="s">
        <v>338</v>
      </c>
      <c r="E141" s="91" t="s">
        <v>342</v>
      </c>
      <c r="F141" s="75"/>
    </row>
    <row r="142" spans="1:22" x14ac:dyDescent="0.25">
      <c r="A142" s="136" t="s">
        <v>323</v>
      </c>
      <c r="B142" s="136"/>
      <c r="C142" s="91">
        <v>500</v>
      </c>
      <c r="D142" s="91" t="s">
        <v>333</v>
      </c>
      <c r="E142" s="91"/>
      <c r="F142" s="75"/>
    </row>
    <row r="143" spans="1:22" x14ac:dyDescent="0.25">
      <c r="A143" s="132" t="s">
        <v>351</v>
      </c>
      <c r="B143" s="132"/>
      <c r="C143" s="91">
        <v>5</v>
      </c>
      <c r="D143" s="91" t="s">
        <v>333</v>
      </c>
      <c r="E143" s="91"/>
      <c r="F143" s="75"/>
    </row>
    <row r="144" spans="1:22" x14ac:dyDescent="0.25">
      <c r="A144" s="132" t="s">
        <v>352</v>
      </c>
      <c r="B144" s="132"/>
      <c r="C144" s="91">
        <v>7</v>
      </c>
      <c r="D144" s="91" t="s">
        <v>333</v>
      </c>
      <c r="E144" s="91"/>
      <c r="F144" s="75"/>
    </row>
    <row r="145" spans="1:6" x14ac:dyDescent="0.25">
      <c r="A145" s="132" t="s">
        <v>353</v>
      </c>
      <c r="B145" s="132"/>
      <c r="C145" s="91">
        <v>2</v>
      </c>
      <c r="D145" s="91" t="s">
        <v>333</v>
      </c>
      <c r="E145" s="91"/>
      <c r="F145" s="75"/>
    </row>
    <row r="146" spans="1:6" x14ac:dyDescent="0.25">
      <c r="A146" s="132" t="s">
        <v>324</v>
      </c>
      <c r="B146" s="132"/>
      <c r="C146" s="91">
        <v>9</v>
      </c>
      <c r="D146" s="91" t="s">
        <v>397</v>
      </c>
      <c r="E146" s="91"/>
      <c r="F146" s="75"/>
    </row>
    <row r="147" spans="1:6" x14ac:dyDescent="0.25">
      <c r="A147" s="132" t="s">
        <v>325</v>
      </c>
      <c r="B147" s="132"/>
      <c r="C147" s="91">
        <v>9</v>
      </c>
      <c r="D147" s="91" t="s">
        <v>398</v>
      </c>
      <c r="E147" s="91"/>
      <c r="F147" s="75"/>
    </row>
    <row r="148" spans="1:6" x14ac:dyDescent="0.25">
      <c r="A148" s="132" t="s">
        <v>326</v>
      </c>
      <c r="B148" s="132"/>
      <c r="C148" s="91">
        <v>9</v>
      </c>
      <c r="D148" s="91" t="s">
        <v>398</v>
      </c>
      <c r="E148" s="91"/>
      <c r="F148" s="75"/>
    </row>
    <row r="149" spans="1:6" x14ac:dyDescent="0.25">
      <c r="A149" s="132" t="s">
        <v>327</v>
      </c>
      <c r="B149" s="132"/>
      <c r="C149" s="91">
        <v>5</v>
      </c>
      <c r="D149" s="91" t="s">
        <v>333</v>
      </c>
      <c r="E149" s="91"/>
      <c r="F149" s="75"/>
    </row>
    <row r="150" spans="1:6" x14ac:dyDescent="0.25">
      <c r="A150" s="132" t="s">
        <v>328</v>
      </c>
      <c r="B150" s="132"/>
      <c r="C150" s="91">
        <v>1</v>
      </c>
      <c r="D150" s="91" t="s">
        <v>333</v>
      </c>
      <c r="E150" s="91"/>
      <c r="F150" s="75"/>
    </row>
    <row r="151" spans="1:6" x14ac:dyDescent="0.25">
      <c r="A151" s="132" t="s">
        <v>329</v>
      </c>
      <c r="B151" s="132"/>
      <c r="C151" s="91">
        <v>1</v>
      </c>
      <c r="D151" s="91" t="s">
        <v>333</v>
      </c>
      <c r="E151" s="91"/>
      <c r="F151" s="75"/>
    </row>
    <row r="154" spans="1:6" x14ac:dyDescent="0.25">
      <c r="A154" s="131" t="s">
        <v>292</v>
      </c>
      <c r="B154" s="131"/>
      <c r="C154" s="131"/>
      <c r="D154" s="131"/>
      <c r="E154" s="131"/>
      <c r="F154" s="33"/>
    </row>
    <row r="155" spans="1:6" x14ac:dyDescent="0.25">
      <c r="A155" s="91" t="s">
        <v>157</v>
      </c>
      <c r="B155" s="91"/>
      <c r="C155" s="91">
        <v>53</v>
      </c>
      <c r="D155" s="69">
        <v>500</v>
      </c>
      <c r="E155" s="69">
        <f>C155*D155</f>
        <v>26500</v>
      </c>
      <c r="F155" s="75"/>
    </row>
    <row r="156" spans="1:6" x14ac:dyDescent="0.25">
      <c r="A156" s="91" t="s">
        <v>311</v>
      </c>
      <c r="B156" s="91"/>
      <c r="C156" s="91">
        <v>27</v>
      </c>
      <c r="D156" s="69">
        <v>550</v>
      </c>
      <c r="E156" s="69">
        <f>C156*D156</f>
        <v>14850</v>
      </c>
      <c r="F156" s="75"/>
    </row>
    <row r="157" spans="1:6" x14ac:dyDescent="0.25">
      <c r="A157" s="91" t="s">
        <v>387</v>
      </c>
      <c r="B157" s="91"/>
      <c r="C157" s="91">
        <v>32.299999999999997</v>
      </c>
      <c r="D157" s="69">
        <v>300</v>
      </c>
      <c r="E157" s="69">
        <f>C157*D157</f>
        <v>9690</v>
      </c>
      <c r="F157" s="75"/>
    </row>
    <row r="158" spans="1:6" x14ac:dyDescent="0.25">
      <c r="A158" s="70" t="s">
        <v>7</v>
      </c>
      <c r="B158" s="70"/>
      <c r="C158" s="70">
        <v>51</v>
      </c>
      <c r="D158" s="70">
        <v>1</v>
      </c>
      <c r="E158" s="71">
        <f>SUM(E155:E157)</f>
        <v>51040</v>
      </c>
      <c r="F158" s="70"/>
    </row>
    <row r="161" spans="1:5" x14ac:dyDescent="0.25">
      <c r="A161" s="138" t="s">
        <v>414</v>
      </c>
      <c r="B161" s="138"/>
      <c r="C161" s="138"/>
      <c r="D161" s="138"/>
      <c r="E161" s="138"/>
    </row>
    <row r="162" spans="1:5" x14ac:dyDescent="0.25">
      <c r="A162" s="112" t="s">
        <v>415</v>
      </c>
      <c r="B162" s="112"/>
      <c r="C162" s="112">
        <v>57</v>
      </c>
      <c r="D162" s="69">
        <v>600</v>
      </c>
      <c r="E162" s="69">
        <f>C162*D162</f>
        <v>34200</v>
      </c>
    </row>
    <row r="163" spans="1:5" x14ac:dyDescent="0.25">
      <c r="A163" s="112" t="s">
        <v>394</v>
      </c>
      <c r="B163" s="112"/>
      <c r="C163" s="112"/>
      <c r="D163" s="112"/>
      <c r="E163" s="74">
        <f>FLOOR(E162*0.05,3)</f>
        <v>1710</v>
      </c>
    </row>
    <row r="164" spans="1:5" x14ac:dyDescent="0.25">
      <c r="A164" s="145" t="s">
        <v>413</v>
      </c>
      <c r="B164" s="146"/>
      <c r="C164" s="146"/>
      <c r="D164" s="146"/>
      <c r="E164" s="147">
        <f>SUM(E162:E163)</f>
        <v>35910</v>
      </c>
    </row>
  </sheetData>
  <mergeCells count="52">
    <mergeCell ref="A161:E161"/>
    <mergeCell ref="A126:E126"/>
    <mergeCell ref="A54:F54"/>
    <mergeCell ref="G1:T11"/>
    <mergeCell ref="A12:E12"/>
    <mergeCell ref="A31:E31"/>
    <mergeCell ref="M19:N19"/>
    <mergeCell ref="M18:N18"/>
    <mergeCell ref="A66:F66"/>
    <mergeCell ref="A55:B55"/>
    <mergeCell ref="A58:B58"/>
    <mergeCell ref="A59:B59"/>
    <mergeCell ref="A60:B60"/>
    <mergeCell ref="A61:B61"/>
    <mergeCell ref="A62:B62"/>
    <mergeCell ref="A63:B63"/>
    <mergeCell ref="A64:B64"/>
    <mergeCell ref="A65:B65"/>
    <mergeCell ref="A67:B67"/>
    <mergeCell ref="A68:B68"/>
    <mergeCell ref="A69:B69"/>
    <mergeCell ref="A70:B70"/>
    <mergeCell ref="A71:B71"/>
    <mergeCell ref="A97:E97"/>
    <mergeCell ref="A82:E82"/>
    <mergeCell ref="A77:B77"/>
    <mergeCell ref="A72:B72"/>
    <mergeCell ref="A73:B73"/>
    <mergeCell ref="A74:B74"/>
    <mergeCell ref="A75:B75"/>
    <mergeCell ref="A76:B76"/>
    <mergeCell ref="A139:B139"/>
    <mergeCell ref="A135:B135"/>
    <mergeCell ref="A137:B137"/>
    <mergeCell ref="A136:B136"/>
    <mergeCell ref="A134:B134"/>
    <mergeCell ref="A132:E132"/>
    <mergeCell ref="A154:E154"/>
    <mergeCell ref="A150:B150"/>
    <mergeCell ref="A151:B151"/>
    <mergeCell ref="A133:B133"/>
    <mergeCell ref="A140:F140"/>
    <mergeCell ref="A146:B146"/>
    <mergeCell ref="A147:B147"/>
    <mergeCell ref="A148:B148"/>
    <mergeCell ref="A149:B149"/>
    <mergeCell ref="A138:B138"/>
    <mergeCell ref="A141:B141"/>
    <mergeCell ref="A142:B142"/>
    <mergeCell ref="A143:B143"/>
    <mergeCell ref="A144:B144"/>
    <mergeCell ref="A145:B145"/>
  </mergeCells>
  <pageMargins left="0.7" right="0.7" top="0.75" bottom="0.75" header="0.3" footer="0.3"/>
  <pageSetup paperSize="9" scale="4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 помещений</vt:lpstr>
      <vt:lpstr>Расходы</vt:lpstr>
      <vt:lpstr>Веранда</vt:lpstr>
      <vt:lpstr>Фундамент забор+гараж</vt:lpstr>
      <vt:lpstr>Забор по северу</vt:lpstr>
      <vt:lpstr>Гараж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cp:lastPrinted>2019-04-22T11:18:18Z</cp:lastPrinted>
  <dcterms:created xsi:type="dcterms:W3CDTF">2017-10-02T15:02:16Z</dcterms:created>
  <dcterms:modified xsi:type="dcterms:W3CDTF">2019-05-06T04:40:02Z</dcterms:modified>
</cp:coreProperties>
</file>