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440" windowHeight="12600" activeTab="5"/>
  </bookViews>
  <sheets>
    <sheet name="План помещений" sheetId="1" r:id="rId1"/>
    <sheet name="Расходы" sheetId="2" r:id="rId2"/>
    <sheet name="Веранда" sheetId="3" r:id="rId3"/>
    <sheet name="Фундамент забор+гараж" sheetId="4" r:id="rId4"/>
    <sheet name="Забор по северу" sheetId="5" r:id="rId5"/>
    <sheet name="Гараж" sheetId="6" r:id="rId6"/>
  </sheets>
  <calcPr calcId="145621"/>
</workbook>
</file>

<file path=xl/calcChain.xml><?xml version="1.0" encoding="utf-8"?>
<calcChain xmlns="http://schemas.openxmlformats.org/spreadsheetml/2006/main">
  <c r="N19" i="6" l="1"/>
  <c r="N17" i="6"/>
  <c r="D98" i="3"/>
  <c r="I20" i="6" l="1"/>
  <c r="I19" i="6"/>
  <c r="E36" i="6" l="1"/>
  <c r="E35" i="6"/>
  <c r="E34" i="6"/>
  <c r="E33" i="6"/>
  <c r="E32" i="6"/>
  <c r="E30" i="6"/>
  <c r="E29" i="6"/>
  <c r="E28" i="6"/>
  <c r="E27" i="6"/>
  <c r="E26" i="6"/>
  <c r="E25" i="6"/>
  <c r="E24" i="6"/>
  <c r="E23" i="6"/>
  <c r="E22" i="6"/>
  <c r="E21" i="6"/>
  <c r="E20" i="6"/>
  <c r="E13" i="6"/>
  <c r="E11" i="6"/>
  <c r="E10" i="6"/>
  <c r="E9" i="6"/>
  <c r="E8" i="6"/>
  <c r="E7" i="6" l="1"/>
  <c r="E4" i="6"/>
  <c r="E6" i="6"/>
  <c r="E19" i="6" l="1"/>
  <c r="E18" i="6"/>
  <c r="E37" i="6" l="1"/>
  <c r="E5" i="6"/>
  <c r="E3" i="6" l="1"/>
  <c r="E14" i="6" s="1"/>
  <c r="I4" i="2" l="1"/>
  <c r="K4" i="2" s="1"/>
  <c r="F20" i="5" l="1"/>
  <c r="F17" i="5"/>
  <c r="F16" i="5"/>
  <c r="H16" i="5" l="1"/>
  <c r="Q4" i="5"/>
  <c r="J20" i="5"/>
  <c r="J16" i="5" l="1"/>
  <c r="J17" i="5"/>
  <c r="J28" i="4" l="1"/>
  <c r="J33" i="4"/>
  <c r="J32" i="4"/>
  <c r="J31" i="4"/>
  <c r="J13" i="4"/>
  <c r="J29" i="4" l="1"/>
  <c r="J27" i="4"/>
  <c r="J26" i="4"/>
  <c r="J34" i="4" s="1"/>
  <c r="J16" i="4"/>
  <c r="J12" i="4"/>
  <c r="J17" i="4"/>
  <c r="J11" i="4"/>
  <c r="J30" i="4"/>
  <c r="J10" i="4"/>
  <c r="J14" i="4"/>
  <c r="J9" i="4"/>
  <c r="J8" i="4"/>
  <c r="J7" i="4"/>
  <c r="J6" i="4"/>
  <c r="J5" i="4"/>
  <c r="J15" i="4"/>
  <c r="J4" i="4"/>
  <c r="J3" i="4"/>
  <c r="D14" i="4"/>
  <c r="D11" i="4"/>
  <c r="D10" i="4"/>
  <c r="D9" i="4"/>
  <c r="D13" i="4"/>
  <c r="D8" i="4"/>
  <c r="D7" i="4"/>
  <c r="D6" i="4"/>
  <c r="D5" i="4"/>
  <c r="D12" i="4"/>
  <c r="D4" i="4"/>
  <c r="D3" i="4"/>
  <c r="B24" i="4" l="1"/>
  <c r="C24" i="4"/>
  <c r="C25" i="4"/>
  <c r="J18" i="4"/>
  <c r="B25" i="4"/>
  <c r="D15" i="4"/>
  <c r="I3" i="2"/>
  <c r="C26" i="4" l="1"/>
  <c r="D25" i="4"/>
  <c r="D24" i="4"/>
  <c r="B26" i="4"/>
  <c r="B29" i="4" s="1"/>
  <c r="G14" i="3"/>
  <c r="D26" i="4" l="1"/>
  <c r="D97" i="3"/>
  <c r="D96" i="3"/>
  <c r="D95" i="3"/>
  <c r="D94" i="3"/>
  <c r="D93" i="3"/>
  <c r="D92" i="3"/>
  <c r="D91" i="3"/>
  <c r="D90" i="3"/>
  <c r="D89" i="3"/>
  <c r="D88" i="3"/>
  <c r="D87" i="3"/>
  <c r="D86" i="3"/>
  <c r="D84" i="3"/>
  <c r="D63" i="3"/>
  <c r="D85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2" i="3"/>
  <c r="D57" i="3"/>
  <c r="D59" i="3"/>
  <c r="D58" i="3"/>
  <c r="D56" i="3"/>
  <c r="D55" i="3"/>
  <c r="D52" i="3"/>
  <c r="D47" i="3"/>
  <c r="D53" i="3"/>
  <c r="D51" i="3"/>
  <c r="D49" i="3"/>
  <c r="D48" i="3"/>
  <c r="D46" i="3"/>
  <c r="D45" i="3"/>
  <c r="D44" i="3"/>
  <c r="D43" i="3"/>
  <c r="D42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19" i="3"/>
  <c r="D18" i="3"/>
  <c r="D17" i="3"/>
  <c r="D16" i="3"/>
  <c r="D15" i="3"/>
  <c r="D13" i="3"/>
  <c r="D12" i="3"/>
  <c r="D11" i="3"/>
  <c r="D10" i="3"/>
  <c r="D9" i="3"/>
  <c r="D7" i="3"/>
  <c r="D6" i="3"/>
  <c r="D5" i="3"/>
  <c r="D4" i="3"/>
  <c r="D3" i="3"/>
  <c r="H6" i="3" l="1"/>
  <c r="D20" i="3"/>
  <c r="D82" i="3"/>
  <c r="G5" i="3" s="1"/>
  <c r="H4" i="3"/>
  <c r="H5" i="3"/>
  <c r="G6" i="3"/>
  <c r="D60" i="3"/>
  <c r="G4" i="3" s="1"/>
  <c r="H3" i="3"/>
  <c r="D40" i="3"/>
  <c r="G3" i="3" s="1"/>
  <c r="I5" i="3" l="1"/>
  <c r="I6" i="3"/>
  <c r="I4" i="3"/>
  <c r="H7" i="3"/>
  <c r="G7" i="3"/>
  <c r="I3" i="3"/>
  <c r="E43" i="2"/>
  <c r="D43" i="2"/>
  <c r="C43" i="2"/>
  <c r="D24" i="2"/>
  <c r="I7" i="3" l="1"/>
  <c r="J2" i="1"/>
  <c r="F2" i="1"/>
  <c r="E2" i="1"/>
  <c r="D2" i="1"/>
  <c r="C2" i="1"/>
  <c r="B2" i="1"/>
  <c r="B3" i="1"/>
  <c r="F3" i="1"/>
  <c r="J3" i="1"/>
  <c r="E3" i="1"/>
  <c r="D3" i="1"/>
  <c r="C3" i="1"/>
  <c r="D15" i="2" l="1"/>
  <c r="E41" i="2" l="1"/>
  <c r="E40" i="2"/>
  <c r="E42" i="2"/>
  <c r="C21" i="2" l="1"/>
  <c r="I50" i="2"/>
  <c r="E39" i="2" l="1"/>
  <c r="D39" i="2"/>
  <c r="C39" i="2"/>
  <c r="D37" i="2" l="1"/>
  <c r="C37" i="2"/>
  <c r="E38" i="2" l="1"/>
  <c r="E37" i="2"/>
  <c r="E36" i="2" l="1"/>
  <c r="E35" i="2"/>
  <c r="C53" i="2" l="1"/>
  <c r="I52" i="2" l="1"/>
  <c r="E21" i="2" l="1"/>
  <c r="E34" i="2" l="1"/>
  <c r="E33" i="2" l="1"/>
  <c r="E32" i="2"/>
  <c r="E31" i="2" l="1"/>
  <c r="C24" i="2"/>
  <c r="E4" i="1" l="1"/>
  <c r="H5" i="1"/>
  <c r="G5" i="1"/>
  <c r="F5" i="1"/>
  <c r="E5" i="1"/>
  <c r="D5" i="1"/>
  <c r="J5" i="1" s="1"/>
  <c r="F4" i="1"/>
  <c r="D4" i="1"/>
  <c r="C4" i="1"/>
  <c r="J4" i="1" s="1"/>
  <c r="E29" i="2" l="1"/>
  <c r="E30" i="2"/>
  <c r="C20" i="2"/>
  <c r="E27" i="2" l="1"/>
  <c r="E26" i="2"/>
  <c r="K3" i="2" l="1"/>
  <c r="E16" i="2" l="1"/>
  <c r="C52" i="2" l="1"/>
  <c r="E28" i="2"/>
  <c r="C18" i="2" l="1"/>
  <c r="E24" i="2" l="1"/>
  <c r="E23" i="2"/>
  <c r="E22" i="2" l="1"/>
  <c r="E20" i="2"/>
  <c r="E17" i="2"/>
  <c r="E18" i="2" l="1"/>
  <c r="D8" i="2"/>
  <c r="C8" i="2" l="1"/>
  <c r="C25" i="2" l="1"/>
  <c r="D25" i="2"/>
  <c r="E25" i="2" l="1"/>
  <c r="D7" i="2"/>
  <c r="C7" i="2"/>
  <c r="C12" i="2" l="1"/>
  <c r="C15" i="2" l="1"/>
  <c r="E15" i="2" l="1"/>
  <c r="C14" i="2"/>
  <c r="E11" i="2"/>
  <c r="E10" i="2" l="1"/>
  <c r="E19" i="2" l="1"/>
  <c r="E9" i="2" l="1"/>
  <c r="E14" i="2"/>
  <c r="E13" i="2" l="1"/>
  <c r="E12" i="2" l="1"/>
  <c r="D3" i="2" l="1"/>
  <c r="E8" i="2" l="1"/>
  <c r="E7" i="2"/>
  <c r="E5" i="2"/>
  <c r="E4" i="2"/>
  <c r="E3" i="2"/>
  <c r="E2" i="2"/>
  <c r="D6" i="2"/>
  <c r="C6" i="2"/>
  <c r="C55" i="2" l="1"/>
  <c r="E6" i="2"/>
  <c r="I6" i="1"/>
  <c r="K60" i="2" l="1"/>
  <c r="C54" i="2" s="1"/>
  <c r="D48" i="2" s="1"/>
  <c r="H6" i="1"/>
  <c r="G6" i="1"/>
  <c r="F6" i="1"/>
  <c r="E6" i="1"/>
  <c r="D6" i="1"/>
  <c r="C6" i="1"/>
  <c r="J6" i="1" l="1"/>
  <c r="C48" i="2"/>
  <c r="B7" i="1"/>
  <c r="B10" i="1" l="1"/>
  <c r="D10" i="1" s="1"/>
  <c r="C10" i="1"/>
  <c r="B11" i="1"/>
  <c r="C11" i="1"/>
  <c r="D11" i="1" s="1"/>
  <c r="D12" i="1" l="1"/>
  <c r="B18" i="1" s="1"/>
</calcChain>
</file>

<file path=xl/comments1.xml><?xml version="1.0" encoding="utf-8"?>
<comments xmlns="http://schemas.openxmlformats.org/spreadsheetml/2006/main">
  <authors>
    <author>Головачев Алексей Радьевич</author>
  </authors>
  <commentList>
    <comment ref="A6" authorId="0">
      <text>
        <r>
          <rPr>
            <b/>
            <sz val="9"/>
            <color indexed="81"/>
            <rFont val="Tahoma"/>
            <charset val="1"/>
          </rPr>
          <t xml:space="preserve">1. На 1м3 кладки ШБ требуется 0,25м3 раствора
2. 1м3 раствора = 1м3 песка + 0,3м3 или 466кг цемента
</t>
        </r>
      </text>
    </comment>
  </commentList>
</comments>
</file>

<file path=xl/sharedStrings.xml><?xml version="1.0" encoding="utf-8"?>
<sst xmlns="http://schemas.openxmlformats.org/spreadsheetml/2006/main" count="379" uniqueCount="303">
  <si>
    <t>Помещение</t>
  </si>
  <si>
    <t>Спальня 1</t>
  </si>
  <si>
    <t>Зал+Кухня</t>
  </si>
  <si>
    <t>Санузел+Котельная</t>
  </si>
  <si>
    <t xml:space="preserve">Работа </t>
  </si>
  <si>
    <t>Кафель</t>
  </si>
  <si>
    <t>Полы</t>
  </si>
  <si>
    <t>Итого</t>
  </si>
  <si>
    <t>Ванна стены</t>
  </si>
  <si>
    <t>Перегородка</t>
  </si>
  <si>
    <t>Унитаз</t>
  </si>
  <si>
    <t>Смеситель</t>
  </si>
  <si>
    <t>Высота потолка</t>
  </si>
  <si>
    <t>Цена кафеля</t>
  </si>
  <si>
    <t>Работа(полы:ванна)</t>
  </si>
  <si>
    <t>Всего:</t>
  </si>
  <si>
    <t>Итого Sпола:</t>
  </si>
  <si>
    <t>Дата</t>
  </si>
  <si>
    <t>Наименование</t>
  </si>
  <si>
    <t>Сумма</t>
  </si>
  <si>
    <t>Оплачено</t>
  </si>
  <si>
    <t>Задаток</t>
  </si>
  <si>
    <t>Крыльцо+веранда</t>
  </si>
  <si>
    <t>Трап и гофра</t>
  </si>
  <si>
    <t>Кафель в ванную</t>
  </si>
  <si>
    <t>Клей плиточный (8м)+ грунтовка</t>
  </si>
  <si>
    <t>Долг</t>
  </si>
  <si>
    <t>Электрика+400р.перенос автомата</t>
  </si>
  <si>
    <t>Кафель на пол в комнаты</t>
  </si>
  <si>
    <t>Охранная система (установка)</t>
  </si>
  <si>
    <t>Стоимость дома</t>
  </si>
  <si>
    <t>Гидроизоляция и затирка</t>
  </si>
  <si>
    <t>ПОЛНАЯ СТОИМОСТЬ ДОМА</t>
  </si>
  <si>
    <t>Работа кафель в комнатах</t>
  </si>
  <si>
    <t>Клей плиточный 7 м</t>
  </si>
  <si>
    <t>Смеситель и душ в ванной</t>
  </si>
  <si>
    <t>Кухонный гарнитур</t>
  </si>
  <si>
    <t>ВСЕГО:</t>
  </si>
  <si>
    <t>Клей плиточный 6м + грунтовка</t>
  </si>
  <si>
    <t>Электрика на кухне</t>
  </si>
  <si>
    <t>Договор КП нотариус</t>
  </si>
  <si>
    <t>Сопровождение сделки(ЧИБ)</t>
  </si>
  <si>
    <t>Ипотека (требуемая сумма)</t>
  </si>
  <si>
    <t>Продажа квартиры</t>
  </si>
  <si>
    <t>Со счета</t>
  </si>
  <si>
    <t>Ипотека графики</t>
  </si>
  <si>
    <t>Аннуитет</t>
  </si>
  <si>
    <t>В месяц</t>
  </si>
  <si>
    <t>Переплата</t>
  </si>
  <si>
    <t>Полная стоимость, %годовых</t>
  </si>
  <si>
    <t>Чистая</t>
  </si>
  <si>
    <t>С тек.затратами</t>
  </si>
  <si>
    <t>С затратами</t>
  </si>
  <si>
    <t>Диф(макс.)</t>
  </si>
  <si>
    <t>Кафель в кухню</t>
  </si>
  <si>
    <t>Вычеты</t>
  </si>
  <si>
    <t>Потолок</t>
  </si>
  <si>
    <t>Всего вычетов</t>
  </si>
  <si>
    <t>Дверь</t>
  </si>
  <si>
    <t>Клей плиточный 8 м</t>
  </si>
  <si>
    <t>От Жени с Пашей</t>
  </si>
  <si>
    <t>Всего своих средств</t>
  </si>
  <si>
    <t>Изменение</t>
  </si>
  <si>
    <t>Проценты</t>
  </si>
  <si>
    <t>Духовка</t>
  </si>
  <si>
    <t>Газовая панель</t>
  </si>
  <si>
    <t>Дней</t>
  </si>
  <si>
    <t>От Жени с Пашей (расчет процентов)</t>
  </si>
  <si>
    <t xml:space="preserve">Ставка </t>
  </si>
  <si>
    <t>Остаток
долга</t>
  </si>
  <si>
    <t>Клей плиточный 6 м</t>
  </si>
  <si>
    <t>Работа кафель в ванной/перегородка</t>
  </si>
  <si>
    <t>Грунтовка,штукатурка,затирка</t>
  </si>
  <si>
    <t>Коридор</t>
  </si>
  <si>
    <t>Обои в зал и коридор</t>
  </si>
  <si>
    <t>ИПОТЕКА</t>
  </si>
  <si>
    <t>Бетон-контакт,ограничитель 4 шт.</t>
  </si>
  <si>
    <t>Плитка на пол докупили</t>
  </si>
  <si>
    <t>Уголок в ванную и клей</t>
  </si>
  <si>
    <t>Аванс</t>
  </si>
  <si>
    <t>Входная дверь (плат. 18.12 и 18.01)</t>
  </si>
  <si>
    <t>Затирка 1б.</t>
  </si>
  <si>
    <t>Регистрация в РосРеестре</t>
  </si>
  <si>
    <t>Электрокотел</t>
  </si>
  <si>
    <t>Сумма договора</t>
  </si>
  <si>
    <t>Первоначалка</t>
  </si>
  <si>
    <t>Ипотека</t>
  </si>
  <si>
    <t>Резерв</t>
  </si>
  <si>
    <t>Смеситель на кухню</t>
  </si>
  <si>
    <t>Ручки для кухонного гарнитура</t>
  </si>
  <si>
    <t>Итого Sстен</t>
  </si>
  <si>
    <t>Sстены 6</t>
  </si>
  <si>
    <t>Sстены 5</t>
  </si>
  <si>
    <t>Sпола</t>
  </si>
  <si>
    <t>Натяжной потолок зал+ванная</t>
  </si>
  <si>
    <t>Оценка для Сбера</t>
  </si>
  <si>
    <t>Осталось за дом (без ипотеки)</t>
  </si>
  <si>
    <t>Освещение в зал</t>
  </si>
  <si>
    <t>Гардины в зал</t>
  </si>
  <si>
    <t>Откосы вх.дверь</t>
  </si>
  <si>
    <t>Зеркало в ванную</t>
  </si>
  <si>
    <t>Спальня 2(детская)</t>
  </si>
  <si>
    <t xml:space="preserve">Sстены 1(В) </t>
  </si>
  <si>
    <t>Sстены 2(Ю)</t>
  </si>
  <si>
    <t>Sстены 3(З)</t>
  </si>
  <si>
    <t>Sстены 4(С)</t>
  </si>
  <si>
    <t>Фундамент</t>
  </si>
  <si>
    <t>Наименование работ/материалов</t>
  </si>
  <si>
    <t>Количество</t>
  </si>
  <si>
    <t>Цена</t>
  </si>
  <si>
    <t>Разбивочные работы</t>
  </si>
  <si>
    <t>Работа ямобура (4 скважины х 600 руб.)</t>
  </si>
  <si>
    <t>Работа землекопа</t>
  </si>
  <si>
    <t>Устройство щебеночного основания (1 «Камаз» щебня)</t>
  </si>
  <si>
    <t>Работы по устройству основания (15м3 х 50 руб.)</t>
  </si>
  <si>
    <t>Устройство армокаркаса</t>
  </si>
  <si>
    <t>Ф12 213м.п. х 42 руб.</t>
  </si>
  <si>
    <t>Ф6 40м.п. х 16 руб.</t>
  </si>
  <si>
    <t>Вязальная проволока</t>
  </si>
  <si>
    <t>Диск</t>
  </si>
  <si>
    <t>Доставка</t>
  </si>
  <si>
    <t>Устройство опалубки:</t>
  </si>
  <si>
    <t>Доска 0.5м3 х 9000 руб.</t>
  </si>
  <si>
    <t>Гвозди, саморезы</t>
  </si>
  <si>
    <t xml:space="preserve">Бетонирование 11м3 х 2600 руб. </t>
  </si>
  <si>
    <t>Работа 11м3 х 1500 руб.</t>
  </si>
  <si>
    <t>Итого:</t>
  </si>
  <si>
    <t>Строительство веранды</t>
  </si>
  <si>
    <t>Стены</t>
  </si>
  <si>
    <t>Устройство стен (тамбур)</t>
  </si>
  <si>
    <t>Рубероид рул.</t>
  </si>
  <si>
    <t>Шлакоблок м3</t>
  </si>
  <si>
    <t>Поддоны шт.</t>
  </si>
  <si>
    <t>Сетка арматурная шт.</t>
  </si>
  <si>
    <t>Ерши(арматура)</t>
  </si>
  <si>
    <t>Цемент меш.</t>
  </si>
  <si>
    <t>Песок 1 Камаз</t>
  </si>
  <si>
    <t>Нарезка уголка</t>
  </si>
  <si>
    <t>Доставка сетки, цемент, уголок</t>
  </si>
  <si>
    <t>Покраска уголка</t>
  </si>
  <si>
    <t>Монтаж уголка</t>
  </si>
  <si>
    <t>Кладка шлакоблока (работа) 19х450</t>
  </si>
  <si>
    <t>Резка пенопласта, сверление и забивка ершей</t>
  </si>
  <si>
    <t>Доска 50х200х6000 5шт.
Доска 30х200х6000 11шт.
Итого 0,3+0,4=0,7м3</t>
  </si>
  <si>
    <t>Пропитка антисептик</t>
  </si>
  <si>
    <t>Саморезы</t>
  </si>
  <si>
    <t>Пленка 1 рул.</t>
  </si>
  <si>
    <t>Скрепки</t>
  </si>
  <si>
    <t>Работа 11м2х500</t>
  </si>
  <si>
    <t>Утеплитель</t>
  </si>
  <si>
    <t>2м3х1200</t>
  </si>
  <si>
    <t>Песок есть</t>
  </si>
  <si>
    <t>Цемент 4 меш.</t>
  </si>
  <si>
    <t>Штукатурка внутренняя(черновая) S=19м2</t>
  </si>
  <si>
    <t>Маяки 11х50</t>
  </si>
  <si>
    <t>Ротбанд</t>
  </si>
  <si>
    <t>Работа 11х100р.</t>
  </si>
  <si>
    <t>Кровля</t>
  </si>
  <si>
    <t>Кровля:</t>
  </si>
  <si>
    <t>Проволока</t>
  </si>
  <si>
    <t>Уголки 50х50</t>
  </si>
  <si>
    <t>Саморезы, гвозди</t>
  </si>
  <si>
    <t>Пленка, скрепки от потолка</t>
  </si>
  <si>
    <t>Металлочерепица 34м2х250р</t>
  </si>
  <si>
    <t>Конек круглый 10мх300р.</t>
  </si>
  <si>
    <t>Уплотнитель 20мх100р.</t>
  </si>
  <si>
    <t>Профиль пристенный нижний и верхний 16мх300р.</t>
  </si>
  <si>
    <t>Заглушки конька 2х300р.</t>
  </si>
  <si>
    <t>Саморезы кровельные 500шт.х2.5р</t>
  </si>
  <si>
    <t>Профлист 5л.х600р.</t>
  </si>
  <si>
    <t>Угол 8х2м = 16мх80р.</t>
  </si>
  <si>
    <t>Gпрофиль 16мх100р.</t>
  </si>
  <si>
    <t>Упаковка</t>
  </si>
  <si>
    <t>Работа кровля 22Х600р.</t>
  </si>
  <si>
    <t>Установка конька, профиля пристенного 17мх200р.</t>
  </si>
  <si>
    <t>Карнизы установка 12х500р.</t>
  </si>
  <si>
    <t>Устройство потолка:</t>
  </si>
  <si>
    <t>Дюбель-гвоздь</t>
  </si>
  <si>
    <t>Уголок пластиковый</t>
  </si>
  <si>
    <t>Профиль оконный</t>
  </si>
  <si>
    <t>Клей 130кг</t>
  </si>
  <si>
    <t>Сетка 1рул.</t>
  </si>
  <si>
    <t>Скотч малярный</t>
  </si>
  <si>
    <t>Грунтовка 1ведро</t>
  </si>
  <si>
    <t>Короед 3 меш.х800</t>
  </si>
  <si>
    <t>Краска</t>
  </si>
  <si>
    <t>Работа</t>
  </si>
  <si>
    <t>Работа 26мх600р.</t>
  </si>
  <si>
    <t>Откосы работа 8х250р</t>
  </si>
  <si>
    <t>Всего</t>
  </si>
  <si>
    <t>Материал</t>
  </si>
  <si>
    <t>Отделка</t>
  </si>
  <si>
    <t>Доска 50x150x6000 1,1м2</t>
  </si>
  <si>
    <t>Пенопласт фасадн.Ф25 100мм</t>
  </si>
  <si>
    <t>Уголок 75х75 на перемычки 12,4 п.м.</t>
  </si>
  <si>
    <t>Работа 19м2</t>
  </si>
  <si>
    <t>Отделка наружная:</t>
  </si>
  <si>
    <t>Электрика</t>
  </si>
  <si>
    <t>Элемент</t>
  </si>
  <si>
    <t>Гофра 16</t>
  </si>
  <si>
    <t>Гофра 25</t>
  </si>
  <si>
    <t>Гофра 20</t>
  </si>
  <si>
    <t>Провод
3х1.5</t>
  </si>
  <si>
    <t>Провод
3х2.5</t>
  </si>
  <si>
    <t>Монтажная
коробка</t>
  </si>
  <si>
    <t>От счетчика</t>
  </si>
  <si>
    <t>Розетки 
по потолку</t>
  </si>
  <si>
    <t>Розетки
по стене</t>
  </si>
  <si>
    <t>Освещение
по потолку</t>
  </si>
  <si>
    <t>Освещение по стене</t>
  </si>
  <si>
    <t>Клипсы</t>
  </si>
  <si>
    <t>Плита гаража</t>
  </si>
  <si>
    <t>Работа экскаватора 1ч 1500р</t>
  </si>
  <si>
    <t>Работа ямобура 1свая 400р</t>
  </si>
  <si>
    <t>Скала Камаз</t>
  </si>
  <si>
    <t>Устройство щебеночного основания</t>
  </si>
  <si>
    <t>Опалубка</t>
  </si>
  <si>
    <t>Бетон</t>
  </si>
  <si>
    <t>Работа по бетону</t>
  </si>
  <si>
    <t>Фундамент под забор L=14,5м</t>
  </si>
  <si>
    <t>Работа ямобура 6штх2м</t>
  </si>
  <si>
    <t xml:space="preserve">Доставка </t>
  </si>
  <si>
    <t>Диск по металлу</t>
  </si>
  <si>
    <t>Бетон, м3</t>
  </si>
  <si>
    <t>Труба 80х80 8штХ2.2м=17,6м</t>
  </si>
  <si>
    <t>Монтаж труб</t>
  </si>
  <si>
    <t>Арматура д.6 70мх16р</t>
  </si>
  <si>
    <t>Арматура д.12 420мх30р</t>
  </si>
  <si>
    <t>Арматура д.12, м</t>
  </si>
  <si>
    <t>Арматура д.6, м</t>
  </si>
  <si>
    <t>Плита</t>
  </si>
  <si>
    <t>Забор</t>
  </si>
  <si>
    <t>Материалы</t>
  </si>
  <si>
    <t>Доставка бетона</t>
  </si>
  <si>
    <t>Работа по бетону 14,5+12м</t>
  </si>
  <si>
    <t>Покупаю сам</t>
  </si>
  <si>
    <t>За материалы без бетона</t>
  </si>
  <si>
    <t>Бетон гараж</t>
  </si>
  <si>
    <t>Бетон забор, м3</t>
  </si>
  <si>
    <t>Доставка арматуры</t>
  </si>
  <si>
    <t>Труба под столбы</t>
  </si>
  <si>
    <t>Труба под перемычки</t>
  </si>
  <si>
    <t>Профлист</t>
  </si>
  <si>
    <t>Длина,м</t>
  </si>
  <si>
    <t>Высота,м</t>
  </si>
  <si>
    <t>Высота, м</t>
  </si>
  <si>
    <t>Вглубь, м</t>
  </si>
  <si>
    <t>Кол-во</t>
  </si>
  <si>
    <t>высота столба</t>
  </si>
  <si>
    <t>наименование</t>
  </si>
  <si>
    <t>вес пог. М.</t>
  </si>
  <si>
    <t>цена за м. пог.</t>
  </si>
  <si>
    <t>цена за столб</t>
  </si>
  <si>
    <t>кол-во столбов</t>
  </si>
  <si>
    <t>сумма за столбы</t>
  </si>
  <si>
    <t>ширина пролёта</t>
  </si>
  <si>
    <t>Труба проф. 80х80х3 (12)</t>
  </si>
  <si>
    <t>Труба проф. 40х20х2 (6)</t>
  </si>
  <si>
    <t>Труба проф. 60х60х2 (6)</t>
  </si>
  <si>
    <t>длина забора</t>
  </si>
  <si>
    <t>Марка</t>
  </si>
  <si>
    <t>C8-0,45</t>
  </si>
  <si>
    <t>Ворота</t>
  </si>
  <si>
    <t>Ширина</t>
  </si>
  <si>
    <t>Доставка шлакоблока</t>
  </si>
  <si>
    <t>Доставка профлиста</t>
  </si>
  <si>
    <t>Мауэрлат (брус 100*150 6м)</t>
  </si>
  <si>
    <t>Стропила (брус 100*200 6м)</t>
  </si>
  <si>
    <t>Ветровая планка (доска 25*200 6м)</t>
  </si>
  <si>
    <t>Пояски на подшив карниза (доска 25*100 6м)</t>
  </si>
  <si>
    <t>Рубероид</t>
  </si>
  <si>
    <t>Вентиляция</t>
  </si>
  <si>
    <t>Контробрешетка (брус 50*50 6м)</t>
  </si>
  <si>
    <t>Гидроизоляция кровли</t>
  </si>
  <si>
    <t>Метизы (саморезы)</t>
  </si>
  <si>
    <t>Планка торцевая</t>
  </si>
  <si>
    <t>Планка карнизная</t>
  </si>
  <si>
    <t>Капельник</t>
  </si>
  <si>
    <t>Гидроизоляция между фундаментом и шлакоблоком. Верхний ряд шб под мауэрлат дополнительно укрепить арматурой 2 нитки и замонолитить
Перемычка над воротами Ж/Б или монолитная.</t>
  </si>
  <si>
    <t>Поддоны</t>
  </si>
  <si>
    <t>Цемент, меш.</t>
  </si>
  <si>
    <t>Профлист НС-35R, м.п.</t>
  </si>
  <si>
    <t>Кладочная сетка 50*50 (100*100) каждый 3йряд</t>
  </si>
  <si>
    <t>Песок, (мытый или отсев доломитовый), м3</t>
  </si>
  <si>
    <r>
      <t>Кладка Ш/Б (1500р.м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, 450р.м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</t>
    </r>
  </si>
  <si>
    <t>Работа кровля с утепл (400-850р.м2)</t>
  </si>
  <si>
    <t>Подшива карниза (300-400р.м.п)</t>
  </si>
  <si>
    <t>Стропилька (300-500р.м2)</t>
  </si>
  <si>
    <t>Монтаж черепицы(200-400р.м2)</t>
  </si>
  <si>
    <t>Монтаж утеплителя (80-100р.м2)</t>
  </si>
  <si>
    <t>Уголок под перемычки 10м</t>
  </si>
  <si>
    <t>Обрешетка (доска обрез или необрез 25*100 6м)</t>
  </si>
  <si>
    <t>Объем</t>
  </si>
  <si>
    <t>Шлакоблок /1.44 м3 пд/, поддон (9 или 10 пд)</t>
  </si>
  <si>
    <t>РАБОТА</t>
  </si>
  <si>
    <t>12,34 или 13,72м3</t>
  </si>
  <si>
    <t>Цены на материалы</t>
  </si>
  <si>
    <t>НС-35</t>
  </si>
  <si>
    <t>Цена за м3</t>
  </si>
  <si>
    <t>Цена за м.п.</t>
  </si>
  <si>
    <t>С-21</t>
  </si>
  <si>
    <t>Отделка кораедом</t>
  </si>
  <si>
    <t>Штукатурка черновая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</si>
</sst>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&quot;р.&quot;_-;\-* #,##0.00&quot;р.&quot;_-;_-* &quot;-&quot;??&quot;р.&quot;_-;_-@_-"/>
    <numFmt numFmtId="164" formatCode="_-* #,##0.00\ &quot;₽&quot;_-;\-* #,##0.00\ &quot;₽&quot;_-;_-* &quot;-&quot;??\ &quot;₽&quot;_-;_-@_-"/>
    <numFmt numFmtId="165" formatCode="#,##0.00&quot;р.&quot;"/>
    <numFmt numFmtId="166" formatCode="#,##0.00\ &quot;₽&quot;"/>
    <numFmt numFmtId="167" formatCode="0.0"/>
    <numFmt numFmtId="168" formatCode="_-* #,##0.00\ [$₽-419]_-;\-* #,##0.00\ [$₽-419]_-;_-* &quot;-&quot;??\ [$₽-419]_-;_-@_-"/>
  </numFmts>
  <fonts count="21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u/>
      <sz val="14"/>
      <color theme="1"/>
      <name val="Calibri"/>
      <family val="2"/>
      <charset val="204"/>
      <scheme val="minor"/>
    </font>
    <font>
      <b/>
      <u/>
      <sz val="14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b/>
      <u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sz val="9"/>
      <color indexed="81"/>
      <name val="Tahoma"/>
      <charset val="1"/>
    </font>
    <font>
      <vertAlign val="superscript"/>
      <sz val="11"/>
      <color theme="1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</borders>
  <cellStyleXfs count="2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3" fillId="9" borderId="0" applyNumberFormat="0" applyBorder="0" applyAlignment="0" applyProtection="0"/>
    <xf numFmtId="0" fontId="5" fillId="10" borderId="0" applyNumberFormat="0" applyBorder="0" applyAlignment="0" applyProtection="0"/>
    <xf numFmtId="9" fontId="5" fillId="0" borderId="0" applyFont="0" applyFill="0" applyBorder="0" applyAlignment="0" applyProtection="0"/>
    <xf numFmtId="0" fontId="3" fillId="11" borderId="0" applyNumberFormat="0" applyBorder="0" applyAlignment="0" applyProtection="0"/>
    <xf numFmtId="0" fontId="5" fillId="12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5" applyNumberFormat="0" applyAlignment="0" applyProtection="0"/>
    <xf numFmtId="0" fontId="4" fillId="15" borderId="6" applyNumberFormat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44" fontId="5" fillId="0" borderId="0" applyFont="0" applyFill="0" applyBorder="0" applyAlignment="0" applyProtection="0"/>
    <xf numFmtId="0" fontId="3" fillId="19" borderId="0" applyNumberFormat="0" applyBorder="0" applyAlignment="0" applyProtection="0"/>
  </cellStyleXfs>
  <cellXfs count="90">
    <xf numFmtId="0" fontId="0" fillId="0" borderId="0" xfId="0"/>
    <xf numFmtId="0" fontId="1" fillId="0" borderId="1" xfId="1"/>
    <xf numFmtId="0" fontId="1" fillId="0" borderId="1" xfId="1" applyAlignment="1">
      <alignment wrapText="1"/>
    </xf>
    <xf numFmtId="2" fontId="0" fillId="0" borderId="0" xfId="0" applyNumberFormat="1"/>
    <xf numFmtId="0" fontId="1" fillId="0" borderId="1" xfId="1" applyFill="1"/>
    <xf numFmtId="0" fontId="2" fillId="0" borderId="2" xfId="2"/>
    <xf numFmtId="14" fontId="0" fillId="0" borderId="0" xfId="0" applyNumberFormat="1"/>
    <xf numFmtId="165" fontId="1" fillId="0" borderId="1" xfId="1" applyNumberFormat="1"/>
    <xf numFmtId="165" fontId="0" fillId="0" borderId="0" xfId="0" applyNumberFormat="1"/>
    <xf numFmtId="0" fontId="0" fillId="0" borderId="0" xfId="0" applyAlignment="1">
      <alignment wrapText="1"/>
    </xf>
    <xf numFmtId="0" fontId="4" fillId="2" borderId="0" xfId="3" applyFont="1"/>
    <xf numFmtId="165" fontId="4" fillId="2" borderId="0" xfId="3" applyNumberFormat="1" applyFont="1"/>
    <xf numFmtId="165" fontId="3" fillId="3" borderId="0" xfId="4" applyNumberFormat="1"/>
    <xf numFmtId="165" fontId="3" fillId="5" borderId="0" xfId="6" applyNumberFormat="1"/>
    <xf numFmtId="166" fontId="0" fillId="0" borderId="0" xfId="0" applyNumberFormat="1"/>
    <xf numFmtId="165" fontId="5" fillId="4" borderId="0" xfId="5" applyNumberFormat="1"/>
    <xf numFmtId="0" fontId="5" fillId="4" borderId="0" xfId="5"/>
    <xf numFmtId="0" fontId="5" fillId="7" borderId="0" xfId="8"/>
    <xf numFmtId="0" fontId="3" fillId="6" borderId="0" xfId="7"/>
    <xf numFmtId="0" fontId="0" fillId="7" borderId="0" xfId="8" applyFont="1"/>
    <xf numFmtId="0" fontId="5" fillId="8" borderId="0" xfId="9"/>
    <xf numFmtId="0" fontId="3" fillId="9" borderId="0" xfId="10"/>
    <xf numFmtId="165" fontId="3" fillId="9" borderId="0" xfId="10" applyNumberFormat="1"/>
    <xf numFmtId="0" fontId="5" fillId="10" borderId="0" xfId="11"/>
    <xf numFmtId="165" fontId="5" fillId="10" borderId="0" xfId="11" applyNumberFormat="1"/>
    <xf numFmtId="0" fontId="6" fillId="0" borderId="0" xfId="0" applyFont="1"/>
    <xf numFmtId="0" fontId="0" fillId="4" borderId="0" xfId="5" applyFont="1"/>
    <xf numFmtId="9" fontId="6" fillId="0" borderId="0" xfId="12" applyFont="1"/>
    <xf numFmtId="0" fontId="0" fillId="4" borderId="0" xfId="5" applyFont="1" applyAlignment="1">
      <alignment wrapText="1"/>
    </xf>
    <xf numFmtId="1" fontId="0" fillId="0" borderId="0" xfId="0" applyNumberFormat="1"/>
    <xf numFmtId="0" fontId="3" fillId="11" borderId="0" xfId="13"/>
    <xf numFmtId="165" fontId="3" fillId="11" borderId="0" xfId="13" applyNumberFormat="1"/>
    <xf numFmtId="0" fontId="5" fillId="12" borderId="0" xfId="14"/>
    <xf numFmtId="0" fontId="7" fillId="13" borderId="0" xfId="15"/>
    <xf numFmtId="0" fontId="9" fillId="0" borderId="0" xfId="0" applyFont="1"/>
    <xf numFmtId="0" fontId="0" fillId="0" borderId="0" xfId="0" applyAlignment="1">
      <alignment wrapText="1" shrinkToFit="1"/>
    </xf>
    <xf numFmtId="0" fontId="9" fillId="0" borderId="0" xfId="0" applyFont="1" applyAlignment="1">
      <alignment wrapText="1" shrinkToFit="1"/>
    </xf>
    <xf numFmtId="0" fontId="9" fillId="0" borderId="0" xfId="0" applyFont="1" applyAlignment="1">
      <alignment horizontal="justify" vertical="center" wrapText="1"/>
    </xf>
    <xf numFmtId="0" fontId="9" fillId="0" borderId="0" xfId="0" applyFont="1" applyBorder="1" applyAlignment="1">
      <alignment horizontal="justify" vertical="center" wrapText="1"/>
    </xf>
    <xf numFmtId="0" fontId="8" fillId="14" borderId="5" xfId="16"/>
    <xf numFmtId="0" fontId="4" fillId="15" borderId="6" xfId="17"/>
    <xf numFmtId="0" fontId="13" fillId="0" borderId="0" xfId="0" applyFont="1" applyAlignment="1"/>
    <xf numFmtId="0" fontId="13" fillId="0" borderId="0" xfId="0" applyFont="1" applyAlignment="1">
      <alignment horizontal="center"/>
    </xf>
    <xf numFmtId="0" fontId="14" fillId="0" borderId="0" xfId="0" applyFont="1" applyFill="1" applyBorder="1"/>
    <xf numFmtId="166" fontId="4" fillId="15" borderId="6" xfId="17" applyNumberFormat="1"/>
    <xf numFmtId="166" fontId="0" fillId="0" borderId="0" xfId="0" applyNumberFormat="1" applyFill="1" applyBorder="1"/>
    <xf numFmtId="0" fontId="5" fillId="17" borderId="0" xfId="19"/>
    <xf numFmtId="166" fontId="5" fillId="17" borderId="0" xfId="19" applyNumberFormat="1"/>
    <xf numFmtId="166" fontId="8" fillId="14" borderId="5" xfId="16" applyNumberFormat="1"/>
    <xf numFmtId="166" fontId="5" fillId="17" borderId="0" xfId="19" applyNumberFormat="1" applyBorder="1"/>
    <xf numFmtId="0" fontId="0" fillId="17" borderId="0" xfId="19" applyFont="1"/>
    <xf numFmtId="0" fontId="13" fillId="0" borderId="0" xfId="0" applyFont="1"/>
    <xf numFmtId="0" fontId="0" fillId="0" borderId="0" xfId="0" applyNumberFormat="1"/>
    <xf numFmtId="0" fontId="4" fillId="15" borderId="6" xfId="17" applyNumberFormat="1"/>
    <xf numFmtId="0" fontId="5" fillId="17" borderId="0" xfId="19" applyNumberFormat="1"/>
    <xf numFmtId="0" fontId="0" fillId="8" borderId="0" xfId="9" applyFont="1"/>
    <xf numFmtId="0" fontId="5" fillId="16" borderId="0" xfId="18"/>
    <xf numFmtId="0" fontId="2" fillId="0" borderId="2" xfId="2" applyAlignment="1">
      <alignment wrapText="1"/>
    </xf>
    <xf numFmtId="0" fontId="5" fillId="18" borderId="0" xfId="20" applyAlignment="1">
      <alignment wrapText="1"/>
    </xf>
    <xf numFmtId="0" fontId="5" fillId="18" borderId="0" xfId="20"/>
    <xf numFmtId="0" fontId="6" fillId="4" borderId="0" xfId="5" applyFont="1"/>
    <xf numFmtId="0" fontId="6" fillId="8" borderId="0" xfId="9" applyFont="1"/>
    <xf numFmtId="0" fontId="16" fillId="0" borderId="0" xfId="0" applyFont="1"/>
    <xf numFmtId="0" fontId="17" fillId="0" borderId="0" xfId="0" applyFont="1" applyAlignment="1">
      <alignment horizontal="center" vertical="center" wrapText="1"/>
    </xf>
    <xf numFmtId="0" fontId="17" fillId="0" borderId="0" xfId="0" applyFont="1"/>
    <xf numFmtId="2" fontId="16" fillId="0" borderId="0" xfId="0" applyNumberFormat="1" applyFont="1"/>
    <xf numFmtId="1" fontId="16" fillId="0" borderId="0" xfId="0" applyNumberFormat="1" applyFont="1"/>
    <xf numFmtId="167" fontId="16" fillId="0" borderId="0" xfId="0" applyNumberFormat="1" applyFont="1"/>
    <xf numFmtId="0" fontId="18" fillId="0" borderId="0" xfId="0" applyFont="1"/>
    <xf numFmtId="168" fontId="0" fillId="0" borderId="0" xfId="21" applyNumberFormat="1" applyFont="1"/>
    <xf numFmtId="0" fontId="3" fillId="19" borderId="0" xfId="22"/>
    <xf numFmtId="168" fontId="3" fillId="19" borderId="0" xfId="22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168" fontId="0" fillId="0" borderId="0" xfId="0" applyNumberFormat="1"/>
    <xf numFmtId="44" fontId="0" fillId="0" borderId="0" xfId="21" applyFont="1"/>
    <xf numFmtId="0" fontId="5" fillId="7" borderId="0" xfId="8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12" fillId="0" borderId="0" xfId="0" applyFont="1" applyAlignment="1">
      <alignment horizontal="center"/>
    </xf>
    <xf numFmtId="0" fontId="15" fillId="0" borderId="0" xfId="0" applyFont="1" applyAlignment="1"/>
    <xf numFmtId="0" fontId="0" fillId="0" borderId="0" xfId="0" applyAlignment="1"/>
    <xf numFmtId="0" fontId="12" fillId="0" borderId="0" xfId="0" applyFo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left"/>
    </xf>
    <xf numFmtId="164" fontId="12" fillId="0" borderId="7" xfId="0" applyNumberFormat="1" applyFont="1" applyBorder="1" applyAlignment="1"/>
    <xf numFmtId="0" fontId="0" fillId="0" borderId="0" xfId="0" applyAlignment="1">
      <alignment vertical="top" wrapText="1"/>
    </xf>
    <xf numFmtId="0" fontId="7" fillId="13" borderId="0" xfId="15" applyAlignment="1">
      <alignment horizontal="center"/>
    </xf>
  </cellXfs>
  <cellStyles count="23">
    <cellStyle name="20% - Акцент1" xfId="5" builtinId="30"/>
    <cellStyle name="20% - Акцент3" xfId="11" builtinId="38"/>
    <cellStyle name="20% - Акцент4" xfId="19" builtinId="42"/>
    <cellStyle name="20% - Акцент6" xfId="8" builtinId="50"/>
    <cellStyle name="40% - Акцент1" xfId="9" builtinId="31"/>
    <cellStyle name="40% - Акцент2" xfId="14" builtinId="35"/>
    <cellStyle name="40% - Акцент3" xfId="18" builtinId="39"/>
    <cellStyle name="40% - Акцент5" xfId="20" builtinId="47"/>
    <cellStyle name="60% - Акцент2" xfId="6" builtinId="36"/>
    <cellStyle name="60% - Акцент3" xfId="7" builtinId="40"/>
    <cellStyle name="60% - Акцент4" xfId="4" builtinId="44"/>
    <cellStyle name="Акцент1" xfId="3" builtinId="29"/>
    <cellStyle name="Акцент2" xfId="10" builtinId="33"/>
    <cellStyle name="Акцент3" xfId="13" builtinId="37"/>
    <cellStyle name="Акцент5" xfId="22" builtinId="45"/>
    <cellStyle name="Вычисление" xfId="16" builtinId="22"/>
    <cellStyle name="Денежный" xfId="21" builtinId="4"/>
    <cellStyle name="Заголовок 1" xfId="1" builtinId="16"/>
    <cellStyle name="Заголовок 2" xfId="2" builtinId="17"/>
    <cellStyle name="Контрольная ячейка" xfId="17" builtinId="23"/>
    <cellStyle name="Обычный" xfId="0" builtinId="0"/>
    <cellStyle name="Процентный" xfId="12" builtinId="5"/>
    <cellStyle name="Хороший" xfId="15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J2" sqref="J2"/>
    </sheetView>
  </sheetViews>
  <sheetFormatPr defaultRowHeight="15" x14ac:dyDescent="0.25"/>
  <cols>
    <col min="1" max="1" width="21.7109375" customWidth="1"/>
    <col min="2" max="2" width="14.7109375" customWidth="1"/>
    <col min="3" max="3" width="15.28515625" customWidth="1"/>
    <col min="4" max="4" width="16.85546875" customWidth="1"/>
    <col min="5" max="5" width="17.42578125" customWidth="1"/>
    <col min="6" max="6" width="18" customWidth="1"/>
    <col min="7" max="7" width="12.28515625" customWidth="1"/>
    <col min="8" max="8" width="13.7109375" customWidth="1"/>
    <col min="9" max="9" width="17.85546875" customWidth="1"/>
    <col min="10" max="10" width="16.28515625" customWidth="1"/>
  </cols>
  <sheetData>
    <row r="1" spans="1:10" ht="20.25" thickBot="1" x14ac:dyDescent="0.35">
      <c r="A1" s="1" t="s">
        <v>0</v>
      </c>
      <c r="B1" s="2" t="s">
        <v>93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92</v>
      </c>
      <c r="H1" s="1" t="s">
        <v>91</v>
      </c>
      <c r="I1" s="4" t="s">
        <v>9</v>
      </c>
      <c r="J1" s="1" t="s">
        <v>90</v>
      </c>
    </row>
    <row r="2" spans="1:10" ht="15.75" thickTop="1" x14ac:dyDescent="0.25">
      <c r="A2" t="s">
        <v>1</v>
      </c>
      <c r="B2" s="3">
        <f>5.12*3.17</f>
        <v>16.230399999999999</v>
      </c>
      <c r="C2" s="3">
        <f>3.17*B15-1.45*1.4</f>
        <v>6.5290000000000017</v>
      </c>
      <c r="D2" s="3">
        <f>5.12*B15-0.9*2</f>
        <v>12.024000000000001</v>
      </c>
      <c r="E2" s="3">
        <f>3.17*B15</f>
        <v>8.5590000000000011</v>
      </c>
      <c r="F2" s="3">
        <f>5.12*B15</f>
        <v>13.824000000000002</v>
      </c>
      <c r="G2" s="3">
        <v>0</v>
      </c>
      <c r="H2" s="3">
        <v>0</v>
      </c>
      <c r="I2">
        <v>0</v>
      </c>
      <c r="J2" s="3">
        <f>SUM(C2:I2)</f>
        <v>40.936000000000007</v>
      </c>
    </row>
    <row r="3" spans="1:10" x14ac:dyDescent="0.25">
      <c r="A3" t="s">
        <v>101</v>
      </c>
      <c r="B3" s="3">
        <f>3.73*3.17</f>
        <v>11.8241</v>
      </c>
      <c r="C3" s="3">
        <f>3.17*B15</f>
        <v>8.5590000000000011</v>
      </c>
      <c r="D3" s="3">
        <f>3.73*B15-0.9*2</f>
        <v>8.270999999999999</v>
      </c>
      <c r="E3" s="3">
        <f>3.17*B15-1.15*1.4</f>
        <v>6.9490000000000016</v>
      </c>
      <c r="F3" s="3">
        <f>3.73*B15</f>
        <v>10.071</v>
      </c>
      <c r="G3" s="3">
        <v>0</v>
      </c>
      <c r="H3" s="3">
        <v>0</v>
      </c>
      <c r="I3">
        <v>0</v>
      </c>
      <c r="J3" s="3">
        <f>SUM(C3:I3)</f>
        <v>33.85</v>
      </c>
    </row>
    <row r="4" spans="1:10" x14ac:dyDescent="0.25">
      <c r="A4" t="s">
        <v>2</v>
      </c>
      <c r="B4" s="3">
        <v>27.33</v>
      </c>
      <c r="C4" s="3">
        <f>4.38*B15-1.45*1.4</f>
        <v>9.7960000000000012</v>
      </c>
      <c r="D4" s="3">
        <f>6.24*B15-1.15*1.4</f>
        <v>15.238000000000003</v>
      </c>
      <c r="E4" s="3">
        <f>3.2*B15-2</f>
        <v>6.6400000000000006</v>
      </c>
      <c r="F4" s="3">
        <f>6.28*B15-0.9*2*2</f>
        <v>13.356000000000003</v>
      </c>
      <c r="G4" s="3">
        <v>0</v>
      </c>
      <c r="H4" s="3">
        <v>0</v>
      </c>
      <c r="I4">
        <v>0</v>
      </c>
      <c r="J4" s="3">
        <f>SUM(C4:I4)</f>
        <v>45.030000000000008</v>
      </c>
    </row>
    <row r="5" spans="1:10" x14ac:dyDescent="0.25">
      <c r="A5" t="s">
        <v>73</v>
      </c>
      <c r="B5" s="3">
        <v>6.22</v>
      </c>
      <c r="C5" s="3">
        <v>0</v>
      </c>
      <c r="D5" s="3">
        <f>1.14*B15-0.7*2</f>
        <v>1.6779999999999999</v>
      </c>
      <c r="E5" s="3">
        <f>0.6*B15</f>
        <v>1.62</v>
      </c>
      <c r="F5" s="3">
        <f>1.56*B15</f>
        <v>4.2120000000000006</v>
      </c>
      <c r="G5" s="3">
        <f>1.8*B15-1*2</f>
        <v>2.8600000000000003</v>
      </c>
      <c r="H5" s="3">
        <f>2.7*B15</f>
        <v>7.2900000000000009</v>
      </c>
      <c r="I5">
        <v>0</v>
      </c>
      <c r="J5" s="3">
        <f>SUM(C5:I5)</f>
        <v>17.660000000000004</v>
      </c>
    </row>
    <row r="6" spans="1:10" x14ac:dyDescent="0.25">
      <c r="A6" t="s">
        <v>3</v>
      </c>
      <c r="B6" s="3">
        <v>7</v>
      </c>
      <c r="C6" s="3">
        <f>3.05*B15</f>
        <v>8.2349999999999994</v>
      </c>
      <c r="D6" s="3">
        <f>2.63*B15-1.15*1.4</f>
        <v>5.4909999999999997</v>
      </c>
      <c r="E6" s="3">
        <f>2.46*B15</f>
        <v>6.6420000000000003</v>
      </c>
      <c r="F6" s="3">
        <f>1.74*B15</f>
        <v>4.6980000000000004</v>
      </c>
      <c r="G6" s="3">
        <f>0.6*B15</f>
        <v>1.62</v>
      </c>
      <c r="H6" s="3">
        <f>0.89*B15-2*0.7</f>
        <v>1.0030000000000001</v>
      </c>
      <c r="I6" s="3">
        <f>1*2*2+0.2*2</f>
        <v>4.4000000000000004</v>
      </c>
      <c r="J6" s="3">
        <f>SUM(C6:I7)</f>
        <v>32.088999999999999</v>
      </c>
    </row>
    <row r="7" spans="1:10" x14ac:dyDescent="0.25">
      <c r="A7" t="s">
        <v>16</v>
      </c>
      <c r="B7" s="3">
        <f>SUM(B2:B6)</f>
        <v>68.604500000000002</v>
      </c>
      <c r="C7" s="3"/>
      <c r="D7" s="3"/>
      <c r="E7" s="3"/>
      <c r="F7" s="3"/>
      <c r="G7" s="3"/>
      <c r="H7" s="3"/>
    </row>
    <row r="9" spans="1:10" x14ac:dyDescent="0.25">
      <c r="B9" t="s">
        <v>4</v>
      </c>
      <c r="C9" t="s">
        <v>5</v>
      </c>
      <c r="D9" t="s">
        <v>7</v>
      </c>
    </row>
    <row r="10" spans="1:10" x14ac:dyDescent="0.25">
      <c r="A10" t="s">
        <v>6</v>
      </c>
      <c r="B10">
        <f>B7*C16</f>
        <v>34302.25</v>
      </c>
      <c r="C10">
        <f>B7*B17</f>
        <v>41162.700000000004</v>
      </c>
      <c r="D10">
        <f>B10+C10</f>
        <v>75464.950000000012</v>
      </c>
    </row>
    <row r="11" spans="1:10" x14ac:dyDescent="0.25">
      <c r="A11" t="s">
        <v>8</v>
      </c>
      <c r="B11">
        <f>J6*B16</f>
        <v>9626.6999999999989</v>
      </c>
      <c r="C11">
        <f>J6*B17</f>
        <v>19253.399999999998</v>
      </c>
      <c r="D11">
        <f>B11+C11</f>
        <v>28880.1</v>
      </c>
    </row>
    <row r="12" spans="1:10" x14ac:dyDescent="0.25">
      <c r="B12" t="s">
        <v>7</v>
      </c>
      <c r="D12">
        <f>SUM(D10:D11)</f>
        <v>104345.05000000002</v>
      </c>
    </row>
    <row r="13" spans="1:10" x14ac:dyDescent="0.25">
      <c r="A13" t="s">
        <v>10</v>
      </c>
      <c r="B13">
        <v>5000</v>
      </c>
    </row>
    <row r="14" spans="1:10" x14ac:dyDescent="0.25">
      <c r="A14" t="s">
        <v>11</v>
      </c>
      <c r="B14">
        <v>5000</v>
      </c>
    </row>
    <row r="15" spans="1:10" x14ac:dyDescent="0.25">
      <c r="A15" s="33" t="s">
        <v>12</v>
      </c>
      <c r="B15" s="33">
        <v>2.7</v>
      </c>
    </row>
    <row r="16" spans="1:10" x14ac:dyDescent="0.25">
      <c r="A16" t="s">
        <v>14</v>
      </c>
      <c r="B16">
        <v>300</v>
      </c>
      <c r="C16">
        <v>500</v>
      </c>
    </row>
    <row r="17" spans="1:2" x14ac:dyDescent="0.25">
      <c r="A17" t="s">
        <v>13</v>
      </c>
      <c r="B17">
        <v>600</v>
      </c>
    </row>
    <row r="18" spans="1:2" x14ac:dyDescent="0.25">
      <c r="A18" t="s">
        <v>15</v>
      </c>
      <c r="B18">
        <f>D12+B13+B14</f>
        <v>114345.05000000002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opLeftCell="B1" workbookViewId="0">
      <selection activeCell="K4" sqref="K4"/>
    </sheetView>
  </sheetViews>
  <sheetFormatPr defaultRowHeight="15" x14ac:dyDescent="0.25"/>
  <cols>
    <col min="1" max="1" width="11.7109375" customWidth="1"/>
    <col min="2" max="2" width="34.5703125" customWidth="1"/>
    <col min="3" max="4" width="15.28515625" customWidth="1"/>
    <col min="5" max="5" width="12.140625" customWidth="1"/>
    <col min="6" max="6" width="12.5703125" customWidth="1"/>
    <col min="7" max="7" width="10.7109375" bestFit="1" customWidth="1"/>
    <col min="8" max="8" width="14.28515625" customWidth="1"/>
    <col min="9" max="9" width="13.28515625" bestFit="1" customWidth="1"/>
    <col min="10" max="11" width="15.5703125" customWidth="1"/>
    <col min="12" max="12" width="14.140625" customWidth="1"/>
    <col min="13" max="13" width="10.5703125" bestFit="1" customWidth="1"/>
  </cols>
  <sheetData>
    <row r="1" spans="1:12" ht="20.25" thickBot="1" x14ac:dyDescent="0.35">
      <c r="A1" s="1" t="s">
        <v>17</v>
      </c>
      <c r="B1" s="1" t="s">
        <v>18</v>
      </c>
      <c r="C1" s="7" t="s">
        <v>19</v>
      </c>
      <c r="D1" s="7" t="s">
        <v>20</v>
      </c>
      <c r="E1" s="5" t="s">
        <v>26</v>
      </c>
      <c r="G1" s="25" t="s">
        <v>67</v>
      </c>
      <c r="H1" s="25"/>
      <c r="I1" s="25"/>
      <c r="J1" s="25" t="s">
        <v>68</v>
      </c>
      <c r="K1" s="27">
        <v>7.0000000000000007E-2</v>
      </c>
      <c r="L1" s="27">
        <v>0.05</v>
      </c>
    </row>
    <row r="2" spans="1:12" ht="30.75" thickTop="1" x14ac:dyDescent="0.25">
      <c r="A2" s="6">
        <v>43003</v>
      </c>
      <c r="B2" t="s">
        <v>21</v>
      </c>
      <c r="C2" s="8">
        <v>20000</v>
      </c>
      <c r="D2" s="8">
        <v>20000</v>
      </c>
      <c r="E2" s="8">
        <f>C2-D2</f>
        <v>0</v>
      </c>
      <c r="G2" s="16" t="s">
        <v>17</v>
      </c>
      <c r="H2" s="26" t="s">
        <v>62</v>
      </c>
      <c r="I2" s="26" t="s">
        <v>66</v>
      </c>
      <c r="J2" s="28" t="s">
        <v>69</v>
      </c>
      <c r="K2" s="26" t="s">
        <v>63</v>
      </c>
    </row>
    <row r="3" spans="1:12" x14ac:dyDescent="0.25">
      <c r="A3" s="6">
        <v>43022</v>
      </c>
      <c r="B3" t="s">
        <v>22</v>
      </c>
      <c r="C3" s="8">
        <v>70536</v>
      </c>
      <c r="D3" s="8">
        <f>50000+20536</f>
        <v>70536</v>
      </c>
      <c r="E3" s="8">
        <f t="shared" ref="E3:E7" si="0">C3-D3</f>
        <v>0</v>
      </c>
      <c r="G3" s="6">
        <v>43059</v>
      </c>
      <c r="H3" s="8">
        <v>0</v>
      </c>
      <c r="I3" s="29">
        <f ca="1">TODAY()-G3</f>
        <v>484</v>
      </c>
      <c r="J3" s="14">
        <v>200000</v>
      </c>
      <c r="K3" s="14">
        <f ca="1">J3*K1/365*I3</f>
        <v>18564.383561643837</v>
      </c>
    </row>
    <row r="4" spans="1:12" x14ac:dyDescent="0.25">
      <c r="A4" s="6">
        <v>43026</v>
      </c>
      <c r="B4" t="s">
        <v>23</v>
      </c>
      <c r="C4" s="8">
        <v>604</v>
      </c>
      <c r="D4" s="8">
        <v>604</v>
      </c>
      <c r="E4" s="8">
        <f t="shared" si="0"/>
        <v>0</v>
      </c>
      <c r="G4" s="6">
        <v>43290</v>
      </c>
      <c r="H4" s="8">
        <v>0</v>
      </c>
      <c r="I4" s="29">
        <f ca="1">TODAY()-G4</f>
        <v>253</v>
      </c>
      <c r="J4" s="14">
        <v>170000</v>
      </c>
      <c r="K4" s="14">
        <f ca="1">J4*L1/365*I4</f>
        <v>5891.7808219178078</v>
      </c>
    </row>
    <row r="5" spans="1:12" x14ac:dyDescent="0.25">
      <c r="A5" s="6">
        <v>43030</v>
      </c>
      <c r="B5" t="s">
        <v>24</v>
      </c>
      <c r="C5" s="8">
        <v>22505</v>
      </c>
      <c r="D5" s="8">
        <v>22505</v>
      </c>
      <c r="E5" s="8">
        <f t="shared" si="0"/>
        <v>0</v>
      </c>
      <c r="I5" s="8"/>
      <c r="J5" s="8"/>
      <c r="K5" s="8"/>
    </row>
    <row r="6" spans="1:12" x14ac:dyDescent="0.25">
      <c r="A6" s="6">
        <v>43030</v>
      </c>
      <c r="B6" s="9" t="s">
        <v>25</v>
      </c>
      <c r="C6" s="8">
        <f>240*7+709</f>
        <v>2389</v>
      </c>
      <c r="D6" s="8">
        <f>240*7+709</f>
        <v>2389</v>
      </c>
      <c r="E6" s="8">
        <f t="shared" si="0"/>
        <v>0</v>
      </c>
      <c r="I6" s="8"/>
      <c r="J6" s="8"/>
      <c r="K6" s="8"/>
    </row>
    <row r="7" spans="1:12" x14ac:dyDescent="0.25">
      <c r="A7" s="6">
        <v>43031</v>
      </c>
      <c r="B7" t="s">
        <v>28</v>
      </c>
      <c r="C7" s="8">
        <f>36610+500</f>
        <v>37110</v>
      </c>
      <c r="D7" s="8">
        <f>18000+18610+500</f>
        <v>37110</v>
      </c>
      <c r="E7" s="8">
        <f t="shared" si="0"/>
        <v>0</v>
      </c>
    </row>
    <row r="8" spans="1:12" x14ac:dyDescent="0.25">
      <c r="A8" s="6">
        <v>43031</v>
      </c>
      <c r="B8" s="9" t="s">
        <v>27</v>
      </c>
      <c r="C8" s="8">
        <f>5600+4500+400+600</f>
        <v>11100</v>
      </c>
      <c r="D8" s="8">
        <f>5600+5500</f>
        <v>11100</v>
      </c>
      <c r="E8" s="8">
        <f t="shared" ref="E8:E29" si="1">C8-D8</f>
        <v>0</v>
      </c>
    </row>
    <row r="9" spans="1:12" x14ac:dyDescent="0.25">
      <c r="A9" s="6">
        <v>43038</v>
      </c>
      <c r="B9" s="9" t="s">
        <v>31</v>
      </c>
      <c r="C9" s="8">
        <v>1050</v>
      </c>
      <c r="D9" s="8">
        <v>1050</v>
      </c>
      <c r="E9" s="8">
        <f t="shared" si="1"/>
        <v>0</v>
      </c>
    </row>
    <row r="10" spans="1:12" x14ac:dyDescent="0.25">
      <c r="A10" s="6">
        <v>43040</v>
      </c>
      <c r="B10" s="9" t="s">
        <v>34</v>
      </c>
      <c r="C10" s="8">
        <v>1820</v>
      </c>
      <c r="D10" s="8">
        <v>1820</v>
      </c>
      <c r="E10" s="8">
        <f t="shared" si="1"/>
        <v>0</v>
      </c>
    </row>
    <row r="11" spans="1:12" x14ac:dyDescent="0.25">
      <c r="A11" s="6">
        <v>43044</v>
      </c>
      <c r="B11" s="9" t="s">
        <v>35</v>
      </c>
      <c r="C11" s="8">
        <v>4818</v>
      </c>
      <c r="D11" s="8">
        <v>4818</v>
      </c>
      <c r="E11" s="8">
        <f t="shared" si="1"/>
        <v>0</v>
      </c>
    </row>
    <row r="12" spans="1:12" ht="30" x14ac:dyDescent="0.25">
      <c r="A12" s="6">
        <v>43050</v>
      </c>
      <c r="B12" s="9" t="s">
        <v>71</v>
      </c>
      <c r="C12" s="8">
        <f>20000+1500</f>
        <v>21500</v>
      </c>
      <c r="D12" s="8">
        <v>21500</v>
      </c>
      <c r="E12" s="8">
        <f t="shared" si="1"/>
        <v>0</v>
      </c>
    </row>
    <row r="13" spans="1:12" x14ac:dyDescent="0.25">
      <c r="A13" s="6">
        <v>43067</v>
      </c>
      <c r="B13" s="9" t="s">
        <v>29</v>
      </c>
      <c r="C13" s="8">
        <v>11900</v>
      </c>
      <c r="D13" s="8">
        <v>11900</v>
      </c>
      <c r="E13" s="8">
        <f t="shared" si="1"/>
        <v>0</v>
      </c>
    </row>
    <row r="14" spans="1:12" x14ac:dyDescent="0.25">
      <c r="A14" s="6">
        <v>43050</v>
      </c>
      <c r="B14" s="9" t="s">
        <v>10</v>
      </c>
      <c r="C14" s="8">
        <f>7101</f>
        <v>7101</v>
      </c>
      <c r="D14" s="8">
        <v>7101</v>
      </c>
      <c r="E14" s="8">
        <f t="shared" si="1"/>
        <v>0</v>
      </c>
    </row>
    <row r="15" spans="1:12" x14ac:dyDescent="0.25">
      <c r="A15" s="6">
        <v>43047</v>
      </c>
      <c r="B15" s="9" t="s">
        <v>36</v>
      </c>
      <c r="C15" s="8">
        <f>75906+12670</f>
        <v>88576</v>
      </c>
      <c r="D15" s="8">
        <f>38000+5500+40900+600+3576</f>
        <v>88576</v>
      </c>
      <c r="E15" s="8">
        <f t="shared" si="1"/>
        <v>0</v>
      </c>
    </row>
    <row r="16" spans="1:12" x14ac:dyDescent="0.25">
      <c r="A16" s="6">
        <v>43064</v>
      </c>
      <c r="B16" s="9" t="s">
        <v>64</v>
      </c>
      <c r="C16" s="8">
        <v>30776</v>
      </c>
      <c r="D16" s="8">
        <v>30776</v>
      </c>
      <c r="E16" s="8">
        <f t="shared" si="1"/>
        <v>0</v>
      </c>
    </row>
    <row r="17" spans="1:5" x14ac:dyDescent="0.25">
      <c r="A17" s="6">
        <v>43061</v>
      </c>
      <c r="B17" s="9" t="s">
        <v>65</v>
      </c>
      <c r="C17" s="8">
        <v>12790</v>
      </c>
      <c r="D17" s="8">
        <v>12790</v>
      </c>
      <c r="E17" s="8">
        <f t="shared" si="1"/>
        <v>0</v>
      </c>
    </row>
    <row r="18" spans="1:5" x14ac:dyDescent="0.25">
      <c r="A18" s="6">
        <v>43057</v>
      </c>
      <c r="B18" s="9" t="s">
        <v>39</v>
      </c>
      <c r="C18" s="8">
        <f>2500+2250</f>
        <v>4750</v>
      </c>
      <c r="D18" s="8">
        <v>4750</v>
      </c>
      <c r="E18" s="8">
        <f t="shared" si="1"/>
        <v>0</v>
      </c>
    </row>
    <row r="19" spans="1:5" x14ac:dyDescent="0.25">
      <c r="A19" s="6">
        <v>43067</v>
      </c>
      <c r="B19" s="9" t="s">
        <v>33</v>
      </c>
      <c r="C19" s="8">
        <v>31500</v>
      </c>
      <c r="D19" s="8">
        <v>31500</v>
      </c>
      <c r="E19" s="8">
        <f t="shared" si="1"/>
        <v>0</v>
      </c>
    </row>
    <row r="20" spans="1:5" x14ac:dyDescent="0.25">
      <c r="A20" s="6">
        <v>43063</v>
      </c>
      <c r="B20" s="9" t="s">
        <v>40</v>
      </c>
      <c r="C20" s="8">
        <f>15670+410</f>
        <v>16080</v>
      </c>
      <c r="D20" s="8">
        <v>16080</v>
      </c>
      <c r="E20" s="8">
        <f t="shared" si="1"/>
        <v>0</v>
      </c>
    </row>
    <row r="21" spans="1:5" x14ac:dyDescent="0.25">
      <c r="A21" s="6">
        <v>43095</v>
      </c>
      <c r="B21" s="9" t="s">
        <v>82</v>
      </c>
      <c r="C21" s="8">
        <f>2000+350+200</f>
        <v>2550</v>
      </c>
      <c r="D21" s="8">
        <v>2550</v>
      </c>
      <c r="E21" s="8">
        <f t="shared" si="1"/>
        <v>0</v>
      </c>
    </row>
    <row r="22" spans="1:5" x14ac:dyDescent="0.25">
      <c r="A22" s="6">
        <v>43070</v>
      </c>
      <c r="B22" s="9" t="s">
        <v>41</v>
      </c>
      <c r="C22" s="8">
        <v>12000</v>
      </c>
      <c r="D22" s="8">
        <v>12000</v>
      </c>
      <c r="E22" s="8">
        <f t="shared" si="1"/>
        <v>0</v>
      </c>
    </row>
    <row r="23" spans="1:5" x14ac:dyDescent="0.25">
      <c r="A23" s="6">
        <v>43057</v>
      </c>
      <c r="B23" s="9" t="s">
        <v>54</v>
      </c>
      <c r="C23" s="8">
        <v>1596</v>
      </c>
      <c r="D23" s="8">
        <v>1596</v>
      </c>
      <c r="E23" s="8">
        <f t="shared" si="1"/>
        <v>0</v>
      </c>
    </row>
    <row r="24" spans="1:5" x14ac:dyDescent="0.25">
      <c r="A24" s="6">
        <v>43057</v>
      </c>
      <c r="B24" s="9" t="s">
        <v>80</v>
      </c>
      <c r="C24" s="8">
        <f>24000+3000</f>
        <v>27000</v>
      </c>
      <c r="D24" s="8">
        <f>14000+3000+5000+5000</f>
        <v>27000</v>
      </c>
      <c r="E24" s="8">
        <f t="shared" si="1"/>
        <v>0</v>
      </c>
    </row>
    <row r="25" spans="1:5" x14ac:dyDescent="0.25">
      <c r="A25" s="6">
        <v>43051</v>
      </c>
      <c r="B25" s="9" t="s">
        <v>38</v>
      </c>
      <c r="C25" s="8">
        <f>260*6+549</f>
        <v>2109</v>
      </c>
      <c r="D25" s="8">
        <f>1560+549</f>
        <v>2109</v>
      </c>
      <c r="E25" s="8">
        <f t="shared" si="1"/>
        <v>0</v>
      </c>
    </row>
    <row r="26" spans="1:5" x14ac:dyDescent="0.25">
      <c r="A26" s="6">
        <v>43062</v>
      </c>
      <c r="B26" s="9" t="s">
        <v>72</v>
      </c>
      <c r="C26" s="8">
        <v>2080</v>
      </c>
      <c r="D26" s="8">
        <v>2080</v>
      </c>
      <c r="E26" s="8">
        <f t="shared" si="1"/>
        <v>0</v>
      </c>
    </row>
    <row r="27" spans="1:5" x14ac:dyDescent="0.25">
      <c r="A27" s="6">
        <v>43063</v>
      </c>
      <c r="B27" s="9" t="s">
        <v>74</v>
      </c>
      <c r="C27" s="8">
        <v>11851</v>
      </c>
      <c r="D27" s="8">
        <v>11851</v>
      </c>
      <c r="E27" s="8">
        <f t="shared" si="1"/>
        <v>0</v>
      </c>
    </row>
    <row r="28" spans="1:5" x14ac:dyDescent="0.25">
      <c r="A28" s="6">
        <v>43058</v>
      </c>
      <c r="B28" s="9" t="s">
        <v>59</v>
      </c>
      <c r="C28" s="8">
        <v>1820</v>
      </c>
      <c r="D28" s="8">
        <v>1820</v>
      </c>
      <c r="E28" s="8">
        <f t="shared" si="1"/>
        <v>0</v>
      </c>
    </row>
    <row r="29" spans="1:5" x14ac:dyDescent="0.25">
      <c r="A29" s="6">
        <v>43060</v>
      </c>
      <c r="B29" s="9" t="s">
        <v>70</v>
      </c>
      <c r="C29" s="8">
        <v>1560</v>
      </c>
      <c r="D29" s="8">
        <v>1560</v>
      </c>
      <c r="E29" s="8">
        <f t="shared" si="1"/>
        <v>0</v>
      </c>
    </row>
    <row r="30" spans="1:5" x14ac:dyDescent="0.25">
      <c r="A30" s="6">
        <v>43063</v>
      </c>
      <c r="B30" s="9" t="s">
        <v>70</v>
      </c>
      <c r="C30" s="8">
        <v>1560</v>
      </c>
      <c r="D30" s="8">
        <v>1560</v>
      </c>
      <c r="E30" s="8">
        <f t="shared" ref="E30:E42" si="2">C30-D30</f>
        <v>0</v>
      </c>
    </row>
    <row r="31" spans="1:5" x14ac:dyDescent="0.25">
      <c r="A31" s="6">
        <v>43064</v>
      </c>
      <c r="B31" s="9" t="s">
        <v>76</v>
      </c>
      <c r="C31" s="8">
        <v>390</v>
      </c>
      <c r="D31" s="8">
        <v>390</v>
      </c>
      <c r="E31" s="8">
        <f t="shared" si="2"/>
        <v>0</v>
      </c>
    </row>
    <row r="32" spans="1:5" x14ac:dyDescent="0.25">
      <c r="A32" s="6">
        <v>43065</v>
      </c>
      <c r="B32" s="9" t="s">
        <v>77</v>
      </c>
      <c r="C32" s="8">
        <v>1490</v>
      </c>
      <c r="D32" s="8">
        <v>1490</v>
      </c>
      <c r="E32" s="8">
        <f t="shared" si="2"/>
        <v>0</v>
      </c>
    </row>
    <row r="33" spans="1:9" x14ac:dyDescent="0.25">
      <c r="A33" s="6">
        <v>43065</v>
      </c>
      <c r="B33" s="9" t="s">
        <v>78</v>
      </c>
      <c r="C33" s="8">
        <v>430</v>
      </c>
      <c r="D33" s="8">
        <v>430</v>
      </c>
      <c r="E33" s="8">
        <f t="shared" si="2"/>
        <v>0</v>
      </c>
    </row>
    <row r="34" spans="1:9" x14ac:dyDescent="0.25">
      <c r="A34" s="6">
        <v>43066</v>
      </c>
      <c r="B34" s="9" t="s">
        <v>81</v>
      </c>
      <c r="C34" s="8">
        <v>320</v>
      </c>
      <c r="D34" s="8">
        <v>320</v>
      </c>
      <c r="E34" s="8">
        <f t="shared" si="2"/>
        <v>0</v>
      </c>
    </row>
    <row r="35" spans="1:9" x14ac:dyDescent="0.25">
      <c r="A35" s="6">
        <v>43072</v>
      </c>
      <c r="B35" s="9" t="s">
        <v>88</v>
      </c>
      <c r="C35" s="8">
        <v>2970</v>
      </c>
      <c r="D35" s="8">
        <v>2970</v>
      </c>
      <c r="E35" s="8">
        <f t="shared" si="2"/>
        <v>0</v>
      </c>
    </row>
    <row r="36" spans="1:9" x14ac:dyDescent="0.25">
      <c r="A36" s="6">
        <v>43072</v>
      </c>
      <c r="B36" s="9" t="s">
        <v>89</v>
      </c>
      <c r="C36" s="8">
        <v>3800</v>
      </c>
      <c r="D36" s="8">
        <v>3800</v>
      </c>
      <c r="E36" s="8">
        <f t="shared" si="2"/>
        <v>0</v>
      </c>
    </row>
    <row r="37" spans="1:9" x14ac:dyDescent="0.25">
      <c r="A37" s="6">
        <v>43086</v>
      </c>
      <c r="B37" s="9" t="s">
        <v>94</v>
      </c>
      <c r="C37" s="8">
        <f>17500+400</f>
        <v>17900</v>
      </c>
      <c r="D37" s="8">
        <f>9000+8500+400</f>
        <v>17900</v>
      </c>
      <c r="E37" s="8">
        <f t="shared" si="2"/>
        <v>0</v>
      </c>
    </row>
    <row r="38" spans="1:9" x14ac:dyDescent="0.25">
      <c r="A38" s="6">
        <v>43077</v>
      </c>
      <c r="B38" s="9" t="s">
        <v>95</v>
      </c>
      <c r="C38" s="8">
        <v>3000</v>
      </c>
      <c r="D38" s="8">
        <v>3000</v>
      </c>
      <c r="E38" s="8">
        <f t="shared" si="2"/>
        <v>0</v>
      </c>
    </row>
    <row r="39" spans="1:9" x14ac:dyDescent="0.25">
      <c r="A39" s="6">
        <v>43085</v>
      </c>
      <c r="B39" s="9" t="s">
        <v>97</v>
      </c>
      <c r="C39" s="8">
        <f>2230+420</f>
        <v>2650</v>
      </c>
      <c r="D39" s="8">
        <f>2230+420</f>
        <v>2650</v>
      </c>
      <c r="E39" s="8">
        <f t="shared" si="2"/>
        <v>0</v>
      </c>
    </row>
    <row r="40" spans="1:9" x14ac:dyDescent="0.25">
      <c r="A40" s="6">
        <v>43093</v>
      </c>
      <c r="B40" s="9" t="s">
        <v>100</v>
      </c>
      <c r="C40" s="8">
        <v>1330</v>
      </c>
      <c r="D40" s="8">
        <v>1330</v>
      </c>
      <c r="E40" s="8">
        <f t="shared" si="2"/>
        <v>0</v>
      </c>
    </row>
    <row r="41" spans="1:9" x14ac:dyDescent="0.25">
      <c r="A41" s="6">
        <v>43095</v>
      </c>
      <c r="B41" s="9" t="s">
        <v>99</v>
      </c>
      <c r="C41" s="8">
        <v>4200</v>
      </c>
      <c r="D41" s="8">
        <v>4200</v>
      </c>
      <c r="E41" s="8">
        <f t="shared" si="2"/>
        <v>0</v>
      </c>
    </row>
    <row r="42" spans="1:9" x14ac:dyDescent="0.25">
      <c r="A42" s="6">
        <v>43093</v>
      </c>
      <c r="B42" s="9" t="s">
        <v>98</v>
      </c>
      <c r="C42" s="8">
        <v>2289</v>
      </c>
      <c r="D42" s="8">
        <v>2289</v>
      </c>
      <c r="E42" s="8">
        <f t="shared" si="2"/>
        <v>0</v>
      </c>
    </row>
    <row r="43" spans="1:9" x14ac:dyDescent="0.25">
      <c r="A43" s="10" t="s">
        <v>37</v>
      </c>
      <c r="B43" s="10"/>
      <c r="C43" s="11">
        <f>SUM(C3:C42)</f>
        <v>481800</v>
      </c>
      <c r="D43" s="11">
        <f>SUM(D3:D42)</f>
        <v>481800</v>
      </c>
      <c r="E43" s="11">
        <f>SUM(E3:E42)</f>
        <v>0</v>
      </c>
    </row>
    <row r="45" spans="1:9" x14ac:dyDescent="0.25">
      <c r="C45" s="8"/>
    </row>
    <row r="46" spans="1:9" x14ac:dyDescent="0.25">
      <c r="C46" s="77" t="s">
        <v>75</v>
      </c>
      <c r="D46" s="78"/>
    </row>
    <row r="47" spans="1:9" x14ac:dyDescent="0.25">
      <c r="C47" s="15" t="s">
        <v>51</v>
      </c>
      <c r="D47" s="16" t="s">
        <v>50</v>
      </c>
      <c r="H47" s="20" t="s">
        <v>55</v>
      </c>
      <c r="I47" s="20"/>
    </row>
    <row r="48" spans="1:9" x14ac:dyDescent="0.25">
      <c r="B48" t="s">
        <v>42</v>
      </c>
      <c r="C48" s="13">
        <f>C54-C52+E43</f>
        <v>-2300000</v>
      </c>
      <c r="D48" s="13">
        <f>C54-C52</f>
        <v>-2300000</v>
      </c>
      <c r="H48" t="s">
        <v>56</v>
      </c>
      <c r="I48" s="8">
        <v>20000</v>
      </c>
    </row>
    <row r="49" spans="2:11" x14ac:dyDescent="0.25">
      <c r="B49" t="s">
        <v>43</v>
      </c>
      <c r="C49" s="8">
        <v>2000000</v>
      </c>
      <c r="H49" t="s">
        <v>58</v>
      </c>
      <c r="I49" s="8">
        <v>12000</v>
      </c>
    </row>
    <row r="50" spans="2:11" x14ac:dyDescent="0.25">
      <c r="B50" t="s">
        <v>44</v>
      </c>
      <c r="C50" s="8">
        <v>100000</v>
      </c>
      <c r="H50" t="s">
        <v>79</v>
      </c>
      <c r="I50" s="8">
        <f>520000+1600000</f>
        <v>2120000</v>
      </c>
    </row>
    <row r="51" spans="2:11" x14ac:dyDescent="0.25">
      <c r="B51" t="s">
        <v>60</v>
      </c>
      <c r="C51" s="8">
        <v>200000</v>
      </c>
      <c r="H51" t="s">
        <v>83</v>
      </c>
      <c r="I51" s="8">
        <v>-18800</v>
      </c>
    </row>
    <row r="52" spans="2:11" x14ac:dyDescent="0.25">
      <c r="B52" s="23" t="s">
        <v>61</v>
      </c>
      <c r="C52" s="24">
        <f>SUM(C49:C51)</f>
        <v>2300000</v>
      </c>
      <c r="H52" s="30" t="s">
        <v>57</v>
      </c>
      <c r="I52" s="31">
        <f>SUM(I48:I51)</f>
        <v>2133200</v>
      </c>
    </row>
    <row r="53" spans="2:11" x14ac:dyDescent="0.25">
      <c r="B53" t="s">
        <v>30</v>
      </c>
      <c r="C53" s="8">
        <f>2750000</f>
        <v>2750000</v>
      </c>
      <c r="I53" s="8"/>
    </row>
    <row r="54" spans="2:11" x14ac:dyDescent="0.25">
      <c r="B54" s="21" t="s">
        <v>96</v>
      </c>
      <c r="C54" s="22">
        <f>C53-I52-K60</f>
        <v>0</v>
      </c>
    </row>
    <row r="55" spans="2:11" x14ac:dyDescent="0.25">
      <c r="B55" s="18" t="s">
        <v>32</v>
      </c>
      <c r="C55" s="12">
        <f>C53+C43</f>
        <v>3231800</v>
      </c>
    </row>
    <row r="57" spans="2:11" x14ac:dyDescent="0.25">
      <c r="C57" s="76" t="s">
        <v>52</v>
      </c>
      <c r="D57" s="76"/>
      <c r="E57" s="76" t="s">
        <v>50</v>
      </c>
      <c r="F57" s="76"/>
      <c r="I57" s="17" t="s">
        <v>84</v>
      </c>
      <c r="J57" s="17"/>
      <c r="K57" s="14">
        <v>2736800</v>
      </c>
    </row>
    <row r="58" spans="2:11" x14ac:dyDescent="0.25">
      <c r="B58" t="s">
        <v>45</v>
      </c>
      <c r="C58" s="17" t="s">
        <v>46</v>
      </c>
      <c r="D58" s="19" t="s">
        <v>53</v>
      </c>
      <c r="E58" s="17" t="s">
        <v>46</v>
      </c>
      <c r="F58" s="19" t="s">
        <v>53</v>
      </c>
      <c r="I58" s="17" t="s">
        <v>85</v>
      </c>
      <c r="J58" s="17"/>
      <c r="K58" s="14">
        <v>2120000</v>
      </c>
    </row>
    <row r="59" spans="2:11" x14ac:dyDescent="0.25">
      <c r="B59" t="s">
        <v>47</v>
      </c>
      <c r="C59" s="14">
        <v>7500</v>
      </c>
      <c r="D59" s="14">
        <v>9800</v>
      </c>
      <c r="E59" s="14">
        <v>5900</v>
      </c>
      <c r="F59" s="14">
        <v>7700</v>
      </c>
      <c r="I59" s="19" t="s">
        <v>87</v>
      </c>
      <c r="J59" s="17"/>
      <c r="K59" s="14">
        <v>113924</v>
      </c>
    </row>
    <row r="60" spans="2:11" x14ac:dyDescent="0.25">
      <c r="B60" t="s">
        <v>48</v>
      </c>
      <c r="C60" s="14">
        <v>674000</v>
      </c>
      <c r="D60" s="14">
        <v>544000</v>
      </c>
      <c r="E60" s="14">
        <v>525000</v>
      </c>
      <c r="F60" s="14">
        <v>420000</v>
      </c>
      <c r="I60" s="32" t="s">
        <v>86</v>
      </c>
      <c r="J60" s="32"/>
      <c r="K60" s="14">
        <f>K57-K58</f>
        <v>616800</v>
      </c>
    </row>
    <row r="61" spans="2:11" x14ac:dyDescent="0.25">
      <c r="B61" t="s">
        <v>49</v>
      </c>
      <c r="C61">
        <v>10.996</v>
      </c>
      <c r="D61">
        <v>10.962999999999999</v>
      </c>
      <c r="E61">
        <v>10.996</v>
      </c>
      <c r="F61">
        <v>10.962999999999999</v>
      </c>
    </row>
  </sheetData>
  <mergeCells count="3">
    <mergeCell ref="C57:D57"/>
    <mergeCell ref="E57:F57"/>
    <mergeCell ref="C46:D46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opLeftCell="A46" zoomScale="115" zoomScaleNormal="115" workbookViewId="0">
      <selection activeCell="F59" sqref="F59"/>
    </sheetView>
  </sheetViews>
  <sheetFormatPr defaultRowHeight="15" x14ac:dyDescent="0.25"/>
  <cols>
    <col min="1" max="1" width="44" customWidth="1"/>
    <col min="3" max="3" width="12.140625" customWidth="1"/>
    <col min="4" max="4" width="12" customWidth="1"/>
    <col min="5" max="5" width="12.140625" customWidth="1"/>
    <col min="6" max="6" width="14.28515625" customWidth="1"/>
    <col min="7" max="7" width="12.85546875" customWidth="1"/>
    <col min="8" max="8" width="12.28515625" customWidth="1"/>
    <col min="9" max="9" width="12.5703125" customWidth="1"/>
    <col min="10" max="10" width="15.7109375" customWidth="1"/>
    <col min="12" max="12" width="13.42578125" customWidth="1"/>
  </cols>
  <sheetData>
    <row r="1" spans="1:13" ht="21" x14ac:dyDescent="0.35">
      <c r="A1" s="42" t="s">
        <v>106</v>
      </c>
      <c r="B1" s="41"/>
      <c r="C1" s="41"/>
      <c r="D1" s="41"/>
      <c r="E1" s="41"/>
      <c r="F1" s="41"/>
      <c r="G1" s="41"/>
      <c r="H1" s="41"/>
      <c r="I1" s="41"/>
    </row>
    <row r="2" spans="1:13" x14ac:dyDescent="0.25">
      <c r="A2" s="20" t="s">
        <v>107</v>
      </c>
      <c r="B2" s="20" t="s">
        <v>108</v>
      </c>
      <c r="C2" s="20" t="s">
        <v>109</v>
      </c>
      <c r="D2" s="20" t="s">
        <v>19</v>
      </c>
      <c r="F2" s="20"/>
      <c r="G2" s="55" t="s">
        <v>7</v>
      </c>
      <c r="H2" s="20" t="s">
        <v>186</v>
      </c>
      <c r="I2" s="20" t="s">
        <v>190</v>
      </c>
    </row>
    <row r="3" spans="1:13" x14ac:dyDescent="0.25">
      <c r="A3" s="35" t="s">
        <v>110</v>
      </c>
      <c r="B3">
        <v>1</v>
      </c>
      <c r="C3" s="14">
        <v>500</v>
      </c>
      <c r="D3" s="14">
        <f>B3*C3</f>
        <v>500</v>
      </c>
      <c r="F3" s="56" t="s">
        <v>128</v>
      </c>
      <c r="G3" s="14">
        <f>D40</f>
        <v>35184.800000000003</v>
      </c>
      <c r="H3" s="14">
        <f>SUM(D36:D39)</f>
        <v>10950</v>
      </c>
      <c r="I3" s="14">
        <f>G3-H3</f>
        <v>24234.800000000003</v>
      </c>
    </row>
    <row r="4" spans="1:13" x14ac:dyDescent="0.25">
      <c r="A4" s="35" t="s">
        <v>111</v>
      </c>
      <c r="B4">
        <v>4</v>
      </c>
      <c r="C4" s="14">
        <v>600</v>
      </c>
      <c r="D4" s="14">
        <f>B4*C4</f>
        <v>2400</v>
      </c>
      <c r="F4" s="56" t="s">
        <v>56</v>
      </c>
      <c r="G4" s="14">
        <f>D60</f>
        <v>25130</v>
      </c>
      <c r="H4" s="14">
        <f>SUM(D49,D53,D59)</f>
        <v>11350</v>
      </c>
      <c r="I4" s="14">
        <f>G4-H4</f>
        <v>13780</v>
      </c>
    </row>
    <row r="5" spans="1:13" x14ac:dyDescent="0.25">
      <c r="A5" s="35" t="s">
        <v>112</v>
      </c>
      <c r="B5">
        <v>1</v>
      </c>
      <c r="C5" s="14">
        <v>1000</v>
      </c>
      <c r="D5" s="14">
        <f>B5*C5</f>
        <v>1000</v>
      </c>
      <c r="F5" s="56" t="s">
        <v>157</v>
      </c>
      <c r="G5" s="14">
        <f>D82</f>
        <v>65780</v>
      </c>
      <c r="H5" s="14">
        <f>SUM(D79:D81)</f>
        <v>23100</v>
      </c>
      <c r="I5" s="14">
        <f>G5-H5</f>
        <v>42680</v>
      </c>
    </row>
    <row r="6" spans="1:13" ht="31.5" x14ac:dyDescent="0.25">
      <c r="A6" s="36" t="s">
        <v>113</v>
      </c>
      <c r="B6">
        <v>1</v>
      </c>
      <c r="C6" s="14">
        <v>5000</v>
      </c>
      <c r="D6" s="14">
        <f t="shared" ref="D6:D19" si="0">B6*C6</f>
        <v>5000</v>
      </c>
      <c r="F6" s="56" t="s">
        <v>191</v>
      </c>
      <c r="G6" s="14">
        <f>D98</f>
        <v>27500</v>
      </c>
      <c r="H6" s="14">
        <f>SUM(D96:D97)</f>
        <v>17600</v>
      </c>
      <c r="I6" s="14">
        <f>G6-H6</f>
        <v>9900</v>
      </c>
    </row>
    <row r="7" spans="1:13" ht="31.5" x14ac:dyDescent="0.25">
      <c r="A7" s="38" t="s">
        <v>114</v>
      </c>
      <c r="B7">
        <v>1</v>
      </c>
      <c r="C7" s="14">
        <v>750</v>
      </c>
      <c r="D7" s="14">
        <f t="shared" si="0"/>
        <v>750</v>
      </c>
      <c r="F7" s="39" t="s">
        <v>189</v>
      </c>
      <c r="G7" s="48">
        <f>SUM(G3:G6)</f>
        <v>153594.79999999999</v>
      </c>
      <c r="H7" s="48">
        <f>SUM(H3:H6)</f>
        <v>63000</v>
      </c>
      <c r="I7" s="48">
        <f>SUM(I3:I6)</f>
        <v>90594.8</v>
      </c>
    </row>
    <row r="8" spans="1:13" ht="18.75" x14ac:dyDescent="0.3">
      <c r="A8" s="83" t="s">
        <v>115</v>
      </c>
      <c r="B8" s="83"/>
      <c r="C8" s="83"/>
      <c r="D8" s="83"/>
    </row>
    <row r="9" spans="1:13" ht="18.75" x14ac:dyDescent="0.3">
      <c r="A9" s="37" t="s">
        <v>116</v>
      </c>
      <c r="B9">
        <v>213</v>
      </c>
      <c r="C9" s="14">
        <v>42</v>
      </c>
      <c r="D9" s="14">
        <f t="shared" si="0"/>
        <v>8946</v>
      </c>
      <c r="G9" s="79" t="s">
        <v>197</v>
      </c>
      <c r="H9" s="79"/>
    </row>
    <row r="10" spans="1:13" ht="52.5" thickBot="1" x14ac:dyDescent="0.35">
      <c r="A10" s="37" t="s">
        <v>117</v>
      </c>
      <c r="B10">
        <v>40</v>
      </c>
      <c r="C10" s="14">
        <v>16</v>
      </c>
      <c r="D10" s="14">
        <f t="shared" si="0"/>
        <v>640</v>
      </c>
      <c r="F10" s="5" t="s">
        <v>198</v>
      </c>
      <c r="G10" s="5" t="s">
        <v>199</v>
      </c>
      <c r="H10" s="5" t="s">
        <v>201</v>
      </c>
      <c r="I10" s="5" t="s">
        <v>200</v>
      </c>
      <c r="J10" s="57" t="s">
        <v>202</v>
      </c>
      <c r="K10" s="57" t="s">
        <v>203</v>
      </c>
      <c r="L10" s="57" t="s">
        <v>204</v>
      </c>
      <c r="M10" s="5" t="s">
        <v>210</v>
      </c>
    </row>
    <row r="11" spans="1:13" ht="16.5" thickTop="1" x14ac:dyDescent="0.25">
      <c r="A11" s="34" t="s">
        <v>118</v>
      </c>
      <c r="B11">
        <v>1</v>
      </c>
      <c r="C11" s="14">
        <v>300</v>
      </c>
      <c r="D11" s="14">
        <f t="shared" si="0"/>
        <v>300</v>
      </c>
      <c r="F11" t="s">
        <v>205</v>
      </c>
      <c r="G11" s="3"/>
      <c r="H11" s="3"/>
      <c r="I11" s="3">
        <v>2</v>
      </c>
      <c r="J11" s="3"/>
      <c r="K11" s="3"/>
      <c r="L11" s="3"/>
      <c r="M11">
        <v>10</v>
      </c>
    </row>
    <row r="12" spans="1:13" ht="30" x14ac:dyDescent="0.25">
      <c r="A12" s="34" t="s">
        <v>119</v>
      </c>
      <c r="B12">
        <v>1</v>
      </c>
      <c r="C12" s="14">
        <v>100</v>
      </c>
      <c r="D12" s="14">
        <f t="shared" si="0"/>
        <v>100</v>
      </c>
      <c r="F12" s="9" t="s">
        <v>206</v>
      </c>
      <c r="G12" s="3"/>
      <c r="H12" s="3">
        <v>14</v>
      </c>
      <c r="I12" s="3"/>
      <c r="J12" s="3"/>
      <c r="K12" s="3">
        <v>14</v>
      </c>
      <c r="L12" s="3">
        <v>4</v>
      </c>
      <c r="M12" s="3">
        <v>28</v>
      </c>
    </row>
    <row r="13" spans="1:13" ht="30" x14ac:dyDescent="0.25">
      <c r="A13" s="34" t="s">
        <v>120</v>
      </c>
      <c r="B13">
        <v>1</v>
      </c>
      <c r="C13" s="14">
        <v>500</v>
      </c>
      <c r="D13" s="14">
        <f t="shared" si="0"/>
        <v>500</v>
      </c>
      <c r="F13" s="9" t="s">
        <v>207</v>
      </c>
      <c r="G13" s="3"/>
      <c r="H13" s="3"/>
      <c r="I13" s="3"/>
      <c r="J13" s="3"/>
      <c r="K13" s="3">
        <v>9.5</v>
      </c>
      <c r="L13" s="3"/>
    </row>
    <row r="14" spans="1:13" ht="30.75" x14ac:dyDescent="0.3">
      <c r="A14" s="84" t="s">
        <v>121</v>
      </c>
      <c r="B14" s="85"/>
      <c r="C14" s="85"/>
      <c r="D14" s="85"/>
      <c r="F14" s="9" t="s">
        <v>208</v>
      </c>
      <c r="G14">
        <f>14+3.5+3+0.5+1.5</f>
        <v>22.5</v>
      </c>
      <c r="J14">
        <v>22</v>
      </c>
      <c r="L14">
        <v>3</v>
      </c>
      <c r="M14">
        <v>46</v>
      </c>
    </row>
    <row r="15" spans="1:13" ht="30" x14ac:dyDescent="0.25">
      <c r="A15" s="34" t="s">
        <v>122</v>
      </c>
      <c r="B15">
        <v>0.5</v>
      </c>
      <c r="C15" s="14">
        <v>9000</v>
      </c>
      <c r="D15" s="14">
        <f t="shared" si="0"/>
        <v>4500</v>
      </c>
      <c r="F15" s="9" t="s">
        <v>209</v>
      </c>
      <c r="J15">
        <v>5</v>
      </c>
    </row>
    <row r="16" spans="1:13" ht="15.75" x14ac:dyDescent="0.25">
      <c r="A16" s="34" t="s">
        <v>123</v>
      </c>
      <c r="B16">
        <v>1</v>
      </c>
      <c r="C16" s="14">
        <v>300</v>
      </c>
      <c r="D16" s="14">
        <f t="shared" si="0"/>
        <v>300</v>
      </c>
      <c r="F16" s="58" t="s">
        <v>7</v>
      </c>
      <c r="G16" s="59">
        <v>23</v>
      </c>
      <c r="H16" s="59">
        <v>14</v>
      </c>
      <c r="I16" s="59">
        <v>2</v>
      </c>
      <c r="J16" s="59">
        <v>27</v>
      </c>
      <c r="K16" s="59">
        <v>24</v>
      </c>
      <c r="L16" s="59">
        <v>7</v>
      </c>
      <c r="M16" s="59"/>
    </row>
    <row r="17" spans="1:4" ht="15.75" x14ac:dyDescent="0.25">
      <c r="A17" s="34" t="s">
        <v>120</v>
      </c>
      <c r="B17">
        <v>1</v>
      </c>
      <c r="C17" s="14">
        <v>500</v>
      </c>
      <c r="D17" s="14">
        <f t="shared" si="0"/>
        <v>500</v>
      </c>
    </row>
    <row r="18" spans="1:4" ht="15.75" x14ac:dyDescent="0.25">
      <c r="A18" s="34" t="s">
        <v>124</v>
      </c>
      <c r="B18">
        <v>11</v>
      </c>
      <c r="C18" s="14">
        <v>2600</v>
      </c>
      <c r="D18" s="14">
        <f t="shared" si="0"/>
        <v>28600</v>
      </c>
    </row>
    <row r="19" spans="1:4" ht="16.5" thickBot="1" x14ac:dyDescent="0.3">
      <c r="A19" s="34" t="s">
        <v>125</v>
      </c>
      <c r="B19">
        <v>11</v>
      </c>
      <c r="C19" s="14">
        <v>1500</v>
      </c>
      <c r="D19" s="14">
        <f t="shared" si="0"/>
        <v>16500</v>
      </c>
    </row>
    <row r="20" spans="1:4" ht="16.5" thickTop="1" thickBot="1" x14ac:dyDescent="0.3">
      <c r="A20" s="40" t="s">
        <v>126</v>
      </c>
      <c r="B20" s="40"/>
      <c r="C20" s="44"/>
      <c r="D20" s="44">
        <f>SUM(D3:D19)</f>
        <v>70536</v>
      </c>
    </row>
    <row r="21" spans="1:4" ht="15.75" thickTop="1" x14ac:dyDescent="0.25"/>
    <row r="22" spans="1:4" ht="20.25" x14ac:dyDescent="0.3">
      <c r="A22" s="43" t="s">
        <v>127</v>
      </c>
    </row>
    <row r="23" spans="1:4" x14ac:dyDescent="0.25">
      <c r="A23" s="20" t="s">
        <v>107</v>
      </c>
      <c r="B23" s="20" t="s">
        <v>108</v>
      </c>
      <c r="C23" s="20" t="s">
        <v>109</v>
      </c>
      <c r="D23" s="20" t="s">
        <v>19</v>
      </c>
    </row>
    <row r="24" spans="1:4" ht="18.75" x14ac:dyDescent="0.3">
      <c r="A24" s="86" t="s">
        <v>129</v>
      </c>
      <c r="B24" s="86"/>
      <c r="C24" s="86"/>
      <c r="D24" s="86"/>
    </row>
    <row r="25" spans="1:4" x14ac:dyDescent="0.25">
      <c r="A25" t="s">
        <v>130</v>
      </c>
      <c r="B25">
        <v>1</v>
      </c>
      <c r="C25" s="14">
        <v>400</v>
      </c>
      <c r="D25" s="14">
        <f>B25*C25</f>
        <v>400</v>
      </c>
    </row>
    <row r="26" spans="1:4" x14ac:dyDescent="0.25">
      <c r="A26" t="s">
        <v>131</v>
      </c>
      <c r="B26">
        <v>4.32</v>
      </c>
      <c r="C26" s="14">
        <v>1640</v>
      </c>
      <c r="D26" s="14">
        <f>B26*C26</f>
        <v>7084.8</v>
      </c>
    </row>
    <row r="27" spans="1:4" x14ac:dyDescent="0.25">
      <c r="A27" t="s">
        <v>132</v>
      </c>
      <c r="B27">
        <v>3</v>
      </c>
      <c r="C27" s="14">
        <v>250</v>
      </c>
      <c r="D27" s="14">
        <f t="shared" ref="D27:D39" si="1">B27*C27</f>
        <v>750</v>
      </c>
    </row>
    <row r="28" spans="1:4" x14ac:dyDescent="0.25">
      <c r="A28" t="s">
        <v>120</v>
      </c>
      <c r="B28">
        <v>1</v>
      </c>
      <c r="C28" s="14">
        <v>2500</v>
      </c>
      <c r="D28" s="14">
        <f t="shared" si="1"/>
        <v>2500</v>
      </c>
    </row>
    <row r="29" spans="1:4" x14ac:dyDescent="0.25">
      <c r="A29" t="s">
        <v>133</v>
      </c>
      <c r="B29">
        <v>3</v>
      </c>
      <c r="C29" s="14">
        <v>200</v>
      </c>
      <c r="D29" s="14">
        <f t="shared" si="1"/>
        <v>600</v>
      </c>
    </row>
    <row r="30" spans="1:4" x14ac:dyDescent="0.25">
      <c r="A30" t="s">
        <v>134</v>
      </c>
      <c r="B30">
        <v>1</v>
      </c>
      <c r="C30" s="14">
        <v>200</v>
      </c>
      <c r="D30" s="14">
        <f t="shared" si="1"/>
        <v>200</v>
      </c>
    </row>
    <row r="31" spans="1:4" x14ac:dyDescent="0.25">
      <c r="A31" t="s">
        <v>135</v>
      </c>
      <c r="B31">
        <v>8</v>
      </c>
      <c r="C31" s="14">
        <v>220</v>
      </c>
      <c r="D31" s="14">
        <f t="shared" si="1"/>
        <v>1760</v>
      </c>
    </row>
    <row r="32" spans="1:4" x14ac:dyDescent="0.25">
      <c r="A32" t="s">
        <v>136</v>
      </c>
      <c r="B32">
        <v>1</v>
      </c>
      <c r="C32" s="14">
        <v>6000</v>
      </c>
      <c r="D32" s="14">
        <f t="shared" si="1"/>
        <v>6000</v>
      </c>
    </row>
    <row r="33" spans="1:4" x14ac:dyDescent="0.25">
      <c r="A33" t="s">
        <v>194</v>
      </c>
      <c r="B33">
        <v>12.4</v>
      </c>
      <c r="C33" s="14">
        <v>350</v>
      </c>
      <c r="D33" s="14">
        <f t="shared" si="1"/>
        <v>4340</v>
      </c>
    </row>
    <row r="34" spans="1:4" x14ac:dyDescent="0.25">
      <c r="A34" t="s">
        <v>137</v>
      </c>
      <c r="B34">
        <v>1</v>
      </c>
      <c r="C34" s="14">
        <v>100</v>
      </c>
      <c r="D34" s="14">
        <f t="shared" si="1"/>
        <v>100</v>
      </c>
    </row>
    <row r="35" spans="1:4" x14ac:dyDescent="0.25">
      <c r="A35" t="s">
        <v>138</v>
      </c>
      <c r="B35">
        <v>1</v>
      </c>
      <c r="C35" s="14">
        <v>500</v>
      </c>
      <c r="D35" s="14">
        <f t="shared" si="1"/>
        <v>500</v>
      </c>
    </row>
    <row r="36" spans="1:4" x14ac:dyDescent="0.25">
      <c r="A36" s="46" t="s">
        <v>139</v>
      </c>
      <c r="B36" s="46">
        <v>1</v>
      </c>
      <c r="C36" s="47">
        <v>500</v>
      </c>
      <c r="D36" s="47">
        <f t="shared" si="1"/>
        <v>500</v>
      </c>
    </row>
    <row r="37" spans="1:4" x14ac:dyDescent="0.25">
      <c r="A37" s="46" t="s">
        <v>140</v>
      </c>
      <c r="B37" s="46">
        <v>1</v>
      </c>
      <c r="C37" s="47">
        <v>900</v>
      </c>
      <c r="D37" s="47">
        <f t="shared" si="1"/>
        <v>900</v>
      </c>
    </row>
    <row r="38" spans="1:4" x14ac:dyDescent="0.25">
      <c r="A38" s="46" t="s">
        <v>141</v>
      </c>
      <c r="B38" s="46">
        <v>19</v>
      </c>
      <c r="C38" s="47">
        <v>450</v>
      </c>
      <c r="D38" s="47">
        <f t="shared" si="1"/>
        <v>8550</v>
      </c>
    </row>
    <row r="39" spans="1:4" ht="15.75" thickBot="1" x14ac:dyDescent="0.3">
      <c r="A39" s="46" t="s">
        <v>142</v>
      </c>
      <c r="B39" s="46">
        <v>1</v>
      </c>
      <c r="C39" s="47">
        <v>1000</v>
      </c>
      <c r="D39" s="47">
        <f t="shared" si="1"/>
        <v>1000</v>
      </c>
    </row>
    <row r="40" spans="1:4" ht="16.5" thickTop="1" thickBot="1" x14ac:dyDescent="0.3">
      <c r="A40" s="40" t="s">
        <v>126</v>
      </c>
      <c r="B40" s="40"/>
      <c r="C40" s="40"/>
      <c r="D40" s="44">
        <f>SUM(D25:D39)</f>
        <v>35184.800000000003</v>
      </c>
    </row>
    <row r="41" spans="1:4" ht="19.5" thickTop="1" x14ac:dyDescent="0.3">
      <c r="A41" s="87" t="s">
        <v>176</v>
      </c>
      <c r="B41" s="87"/>
      <c r="C41" s="87"/>
      <c r="D41" s="87"/>
    </row>
    <row r="42" spans="1:4" ht="45" x14ac:dyDescent="0.25">
      <c r="A42" s="9" t="s">
        <v>143</v>
      </c>
      <c r="B42">
        <v>0.7</v>
      </c>
      <c r="C42" s="45">
        <v>8500</v>
      </c>
      <c r="D42" s="14">
        <f t="shared" ref="D42:D49" si="2">B42*C42</f>
        <v>5950</v>
      </c>
    </row>
    <row r="43" spans="1:4" x14ac:dyDescent="0.25">
      <c r="A43" t="s">
        <v>120</v>
      </c>
      <c r="B43">
        <v>1</v>
      </c>
      <c r="C43" s="45">
        <v>500</v>
      </c>
      <c r="D43" s="14">
        <f t="shared" si="2"/>
        <v>500</v>
      </c>
    </row>
    <row r="44" spans="1:4" x14ac:dyDescent="0.25">
      <c r="A44" t="s">
        <v>144</v>
      </c>
      <c r="B44">
        <v>1</v>
      </c>
      <c r="C44" s="45">
        <v>1000</v>
      </c>
      <c r="D44" s="14">
        <f t="shared" si="2"/>
        <v>1000</v>
      </c>
    </row>
    <row r="45" spans="1:4" x14ac:dyDescent="0.25">
      <c r="A45" t="s">
        <v>145</v>
      </c>
      <c r="B45">
        <v>1</v>
      </c>
      <c r="C45" s="45">
        <v>500</v>
      </c>
      <c r="D45" s="14">
        <f t="shared" si="2"/>
        <v>500</v>
      </c>
    </row>
    <row r="46" spans="1:4" x14ac:dyDescent="0.25">
      <c r="A46" t="s">
        <v>146</v>
      </c>
      <c r="B46">
        <v>1</v>
      </c>
      <c r="C46" s="45">
        <v>1000</v>
      </c>
      <c r="D46" s="14">
        <f t="shared" si="2"/>
        <v>1000</v>
      </c>
    </row>
    <row r="47" spans="1:4" x14ac:dyDescent="0.25">
      <c r="A47" t="s">
        <v>147</v>
      </c>
      <c r="B47">
        <v>1</v>
      </c>
      <c r="C47" s="45">
        <v>100</v>
      </c>
      <c r="D47" s="14">
        <f t="shared" si="2"/>
        <v>100</v>
      </c>
    </row>
    <row r="48" spans="1:4" x14ac:dyDescent="0.25">
      <c r="A48" t="s">
        <v>120</v>
      </c>
      <c r="B48">
        <v>1</v>
      </c>
      <c r="C48" s="45">
        <v>200</v>
      </c>
      <c r="D48" s="14">
        <f t="shared" si="2"/>
        <v>200</v>
      </c>
    </row>
    <row r="49" spans="1:4" x14ac:dyDescent="0.25">
      <c r="A49" s="46" t="s">
        <v>148</v>
      </c>
      <c r="B49" s="46">
        <v>11</v>
      </c>
      <c r="C49" s="49">
        <v>500</v>
      </c>
      <c r="D49" s="47">
        <f t="shared" si="2"/>
        <v>5500</v>
      </c>
    </row>
    <row r="50" spans="1:4" x14ac:dyDescent="0.25">
      <c r="A50" s="80" t="s">
        <v>149</v>
      </c>
      <c r="B50" s="80"/>
      <c r="C50" s="80"/>
      <c r="D50" s="80"/>
    </row>
    <row r="51" spans="1:4" x14ac:dyDescent="0.25">
      <c r="A51" t="s">
        <v>150</v>
      </c>
      <c r="B51">
        <v>2</v>
      </c>
      <c r="C51" s="45">
        <v>1200</v>
      </c>
      <c r="D51" s="14">
        <f>B51*C51</f>
        <v>2400</v>
      </c>
    </row>
    <row r="52" spans="1:4" x14ac:dyDescent="0.25">
      <c r="A52" t="s">
        <v>120</v>
      </c>
      <c r="B52">
        <v>1</v>
      </c>
      <c r="C52" s="45">
        <v>300</v>
      </c>
      <c r="D52" s="14">
        <f>B52*C52</f>
        <v>300</v>
      </c>
    </row>
    <row r="53" spans="1:4" x14ac:dyDescent="0.25">
      <c r="A53" s="50" t="s">
        <v>156</v>
      </c>
      <c r="B53" s="46">
        <v>11</v>
      </c>
      <c r="C53" s="49">
        <v>100</v>
      </c>
      <c r="D53" s="47">
        <f>B53*C53</f>
        <v>1100</v>
      </c>
    </row>
    <row r="54" spans="1:4" x14ac:dyDescent="0.25">
      <c r="A54" s="80" t="s">
        <v>153</v>
      </c>
      <c r="B54" s="81"/>
      <c r="C54" s="81"/>
      <c r="D54" s="81"/>
    </row>
    <row r="55" spans="1:4" x14ac:dyDescent="0.25">
      <c r="A55" t="s">
        <v>151</v>
      </c>
      <c r="B55">
        <v>0</v>
      </c>
      <c r="C55" s="45">
        <v>0</v>
      </c>
      <c r="D55" s="14">
        <f>B55*C55</f>
        <v>0</v>
      </c>
    </row>
    <row r="56" spans="1:4" x14ac:dyDescent="0.25">
      <c r="A56" t="s">
        <v>152</v>
      </c>
      <c r="B56">
        <v>4</v>
      </c>
      <c r="C56" s="45">
        <v>220</v>
      </c>
      <c r="D56" s="14">
        <f>B56*C56</f>
        <v>880</v>
      </c>
    </row>
    <row r="57" spans="1:4" x14ac:dyDescent="0.25">
      <c r="A57" t="s">
        <v>154</v>
      </c>
      <c r="B57">
        <v>11</v>
      </c>
      <c r="C57" s="45">
        <v>50</v>
      </c>
      <c r="D57" s="14">
        <f>B57*C57</f>
        <v>550</v>
      </c>
    </row>
    <row r="58" spans="1:4" x14ac:dyDescent="0.25">
      <c r="A58" t="s">
        <v>155</v>
      </c>
      <c r="B58">
        <v>1</v>
      </c>
      <c r="C58" s="45">
        <v>400</v>
      </c>
      <c r="D58" s="14">
        <f>B58*C58</f>
        <v>400</v>
      </c>
    </row>
    <row r="59" spans="1:4" ht="15.75" thickBot="1" x14ac:dyDescent="0.3">
      <c r="A59" s="50" t="s">
        <v>195</v>
      </c>
      <c r="B59" s="46">
        <v>19</v>
      </c>
      <c r="C59" s="49">
        <v>250</v>
      </c>
      <c r="D59" s="47">
        <f>B59*C59</f>
        <v>4750</v>
      </c>
    </row>
    <row r="60" spans="1:4" ht="16.5" thickTop="1" thickBot="1" x14ac:dyDescent="0.3">
      <c r="A60" s="40" t="s">
        <v>126</v>
      </c>
      <c r="B60" s="40"/>
      <c r="C60" s="44">
        <v>0</v>
      </c>
      <c r="D60" s="44">
        <f>SUM(D55:D59)+SUM(D51:D53)+SUM(D42:D49)</f>
        <v>25130</v>
      </c>
    </row>
    <row r="61" spans="1:4" ht="21.75" thickTop="1" x14ac:dyDescent="0.35">
      <c r="A61" s="51" t="s">
        <v>158</v>
      </c>
    </row>
    <row r="62" spans="1:4" x14ac:dyDescent="0.25">
      <c r="A62" t="s">
        <v>192</v>
      </c>
      <c r="B62" s="52">
        <v>1.1000000000000001</v>
      </c>
      <c r="C62" s="14">
        <v>8500</v>
      </c>
      <c r="D62" s="14">
        <f>B62*C62</f>
        <v>9350</v>
      </c>
    </row>
    <row r="63" spans="1:4" x14ac:dyDescent="0.25">
      <c r="A63" s="52" t="s">
        <v>120</v>
      </c>
      <c r="B63" s="52">
        <v>1</v>
      </c>
      <c r="C63" s="14">
        <v>500</v>
      </c>
      <c r="D63" s="14">
        <f>B63*C63</f>
        <v>500</v>
      </c>
    </row>
    <row r="64" spans="1:4" x14ac:dyDescent="0.25">
      <c r="A64" t="s">
        <v>159</v>
      </c>
      <c r="B64" s="52">
        <v>1</v>
      </c>
      <c r="C64" s="14">
        <v>300</v>
      </c>
      <c r="D64" s="14">
        <f t="shared" ref="D64:D97" si="3">B64*C64</f>
        <v>300</v>
      </c>
    </row>
    <row r="65" spans="1:4" x14ac:dyDescent="0.25">
      <c r="A65" t="s">
        <v>160</v>
      </c>
      <c r="B65" s="52">
        <v>50</v>
      </c>
      <c r="C65" s="14">
        <v>50</v>
      </c>
      <c r="D65" s="14">
        <f t="shared" si="3"/>
        <v>2500</v>
      </c>
    </row>
    <row r="66" spans="1:4" x14ac:dyDescent="0.25">
      <c r="A66" t="s">
        <v>161</v>
      </c>
      <c r="B66" s="52">
        <v>1</v>
      </c>
      <c r="C66" s="14">
        <v>1000</v>
      </c>
      <c r="D66" s="14">
        <f t="shared" si="3"/>
        <v>1000</v>
      </c>
    </row>
    <row r="67" spans="1:4" x14ac:dyDescent="0.25">
      <c r="A67" t="s">
        <v>162</v>
      </c>
      <c r="B67" s="52">
        <v>0</v>
      </c>
      <c r="C67" s="14">
        <v>0</v>
      </c>
      <c r="D67" s="14">
        <f t="shared" si="3"/>
        <v>0</v>
      </c>
    </row>
    <row r="68" spans="1:4" x14ac:dyDescent="0.25">
      <c r="A68" t="s">
        <v>163</v>
      </c>
      <c r="B68" s="52">
        <v>34</v>
      </c>
      <c r="C68" s="14">
        <v>250</v>
      </c>
      <c r="D68" s="14">
        <f t="shared" si="3"/>
        <v>8500</v>
      </c>
    </row>
    <row r="69" spans="1:4" x14ac:dyDescent="0.25">
      <c r="A69" t="s">
        <v>164</v>
      </c>
      <c r="B69" s="52">
        <v>10</v>
      </c>
      <c r="C69" s="14">
        <v>300</v>
      </c>
      <c r="D69" s="14">
        <f t="shared" si="3"/>
        <v>3000</v>
      </c>
    </row>
    <row r="70" spans="1:4" x14ac:dyDescent="0.25">
      <c r="A70" t="s">
        <v>165</v>
      </c>
      <c r="B70" s="52">
        <v>20</v>
      </c>
      <c r="C70" s="14">
        <v>100</v>
      </c>
      <c r="D70" s="14">
        <f t="shared" si="3"/>
        <v>2000</v>
      </c>
    </row>
    <row r="71" spans="1:4" x14ac:dyDescent="0.25">
      <c r="A71" t="s">
        <v>166</v>
      </c>
      <c r="B71" s="52">
        <v>16</v>
      </c>
      <c r="C71" s="14">
        <v>300</v>
      </c>
      <c r="D71" s="14">
        <f t="shared" si="3"/>
        <v>4800</v>
      </c>
    </row>
    <row r="72" spans="1:4" x14ac:dyDescent="0.25">
      <c r="A72" t="s">
        <v>167</v>
      </c>
      <c r="B72" s="52">
        <v>2</v>
      </c>
      <c r="C72" s="14">
        <v>300</v>
      </c>
      <c r="D72" s="14">
        <f t="shared" si="3"/>
        <v>600</v>
      </c>
    </row>
    <row r="73" spans="1:4" x14ac:dyDescent="0.25">
      <c r="A73" t="s">
        <v>168</v>
      </c>
      <c r="B73" s="52">
        <v>500</v>
      </c>
      <c r="C73" s="14">
        <v>2.5</v>
      </c>
      <c r="D73" s="14">
        <f t="shared" si="3"/>
        <v>1250</v>
      </c>
    </row>
    <row r="74" spans="1:4" x14ac:dyDescent="0.25">
      <c r="A74" t="s">
        <v>169</v>
      </c>
      <c r="B74" s="52">
        <v>5</v>
      </c>
      <c r="C74" s="14">
        <v>600</v>
      </c>
      <c r="D74" s="14">
        <f t="shared" si="3"/>
        <v>3000</v>
      </c>
    </row>
    <row r="75" spans="1:4" x14ac:dyDescent="0.25">
      <c r="A75" t="s">
        <v>170</v>
      </c>
      <c r="B75" s="52">
        <v>16</v>
      </c>
      <c r="C75" s="14">
        <v>80</v>
      </c>
      <c r="D75" s="14">
        <f t="shared" si="3"/>
        <v>1280</v>
      </c>
    </row>
    <row r="76" spans="1:4" x14ac:dyDescent="0.25">
      <c r="A76" t="s">
        <v>171</v>
      </c>
      <c r="B76" s="52">
        <v>16</v>
      </c>
      <c r="C76" s="14">
        <v>100</v>
      </c>
      <c r="D76" s="14">
        <f t="shared" si="3"/>
        <v>1600</v>
      </c>
    </row>
    <row r="77" spans="1:4" x14ac:dyDescent="0.25">
      <c r="A77" t="s">
        <v>172</v>
      </c>
      <c r="B77" s="52">
        <v>1</v>
      </c>
      <c r="C77" s="14">
        <v>1500</v>
      </c>
      <c r="D77" s="14">
        <f t="shared" si="3"/>
        <v>1500</v>
      </c>
    </row>
    <row r="78" spans="1:4" x14ac:dyDescent="0.25">
      <c r="A78" t="s">
        <v>120</v>
      </c>
      <c r="B78" s="52">
        <v>1</v>
      </c>
      <c r="C78" s="14">
        <v>1500</v>
      </c>
      <c r="D78" s="14">
        <f t="shared" si="3"/>
        <v>1500</v>
      </c>
    </row>
    <row r="79" spans="1:4" x14ac:dyDescent="0.25">
      <c r="A79" s="46" t="s">
        <v>173</v>
      </c>
      <c r="B79" s="54">
        <v>22</v>
      </c>
      <c r="C79" s="47">
        <v>600</v>
      </c>
      <c r="D79" s="47">
        <f t="shared" si="3"/>
        <v>13200</v>
      </c>
    </row>
    <row r="80" spans="1:4" x14ac:dyDescent="0.25">
      <c r="A80" s="46" t="s">
        <v>174</v>
      </c>
      <c r="B80" s="54">
        <v>17</v>
      </c>
      <c r="C80" s="47">
        <v>200</v>
      </c>
      <c r="D80" s="47">
        <f t="shared" si="3"/>
        <v>3400</v>
      </c>
    </row>
    <row r="81" spans="1:4" ht="15.75" thickBot="1" x14ac:dyDescent="0.3">
      <c r="A81" s="46" t="s">
        <v>175</v>
      </c>
      <c r="B81" s="54">
        <v>13</v>
      </c>
      <c r="C81" s="47">
        <v>500</v>
      </c>
      <c r="D81" s="47">
        <f t="shared" si="3"/>
        <v>6500</v>
      </c>
    </row>
    <row r="82" spans="1:4" ht="16.5" thickTop="1" thickBot="1" x14ac:dyDescent="0.3">
      <c r="A82" s="40" t="s">
        <v>126</v>
      </c>
      <c r="B82" s="53">
        <v>0</v>
      </c>
      <c r="C82" s="44">
        <v>0</v>
      </c>
      <c r="D82" s="44">
        <f>SUM(D62:D81)</f>
        <v>65780</v>
      </c>
    </row>
    <row r="83" spans="1:4" ht="19.5" thickTop="1" x14ac:dyDescent="0.3">
      <c r="A83" s="82" t="s">
        <v>196</v>
      </c>
      <c r="B83" s="82"/>
      <c r="C83" s="82"/>
      <c r="D83" s="82"/>
    </row>
    <row r="84" spans="1:4" x14ac:dyDescent="0.25">
      <c r="A84" t="s">
        <v>193</v>
      </c>
      <c r="B84">
        <v>13</v>
      </c>
      <c r="C84" s="14">
        <v>450</v>
      </c>
      <c r="D84" s="8">
        <f t="shared" si="3"/>
        <v>5850</v>
      </c>
    </row>
    <row r="85" spans="1:4" x14ac:dyDescent="0.25">
      <c r="A85" t="s">
        <v>120</v>
      </c>
      <c r="B85">
        <v>1</v>
      </c>
      <c r="C85" s="14">
        <v>500</v>
      </c>
      <c r="D85" s="14">
        <f t="shared" si="3"/>
        <v>500</v>
      </c>
    </row>
    <row r="86" spans="1:4" x14ac:dyDescent="0.25">
      <c r="A86" t="s">
        <v>177</v>
      </c>
      <c r="B86">
        <v>100</v>
      </c>
      <c r="C86" s="14">
        <v>6</v>
      </c>
      <c r="D86" s="14">
        <f t="shared" si="3"/>
        <v>600</v>
      </c>
    </row>
    <row r="87" spans="1:4" x14ac:dyDescent="0.25">
      <c r="A87" t="s">
        <v>178</v>
      </c>
      <c r="B87">
        <v>10</v>
      </c>
      <c r="C87" s="14">
        <v>60</v>
      </c>
      <c r="D87" s="14">
        <f t="shared" si="3"/>
        <v>600</v>
      </c>
    </row>
    <row r="88" spans="1:4" x14ac:dyDescent="0.25">
      <c r="A88" t="s">
        <v>179</v>
      </c>
      <c r="B88">
        <v>7</v>
      </c>
      <c r="C88" s="14">
        <v>120</v>
      </c>
      <c r="D88" s="14">
        <f t="shared" si="3"/>
        <v>840</v>
      </c>
    </row>
    <row r="89" spans="1:4" x14ac:dyDescent="0.25">
      <c r="A89" t="s">
        <v>180</v>
      </c>
      <c r="B89">
        <v>6</v>
      </c>
      <c r="C89" s="14">
        <v>550</v>
      </c>
      <c r="D89" s="14">
        <f t="shared" si="3"/>
        <v>3300</v>
      </c>
    </row>
    <row r="90" spans="1:4" x14ac:dyDescent="0.25">
      <c r="A90" t="s">
        <v>181</v>
      </c>
      <c r="B90">
        <v>1</v>
      </c>
      <c r="C90" s="14">
        <v>1600</v>
      </c>
      <c r="D90" s="14">
        <f t="shared" si="3"/>
        <v>1600</v>
      </c>
    </row>
    <row r="91" spans="1:4" x14ac:dyDescent="0.25">
      <c r="A91" t="s">
        <v>182</v>
      </c>
      <c r="B91">
        <v>1</v>
      </c>
      <c r="C91" s="14">
        <v>100</v>
      </c>
      <c r="D91" s="14">
        <f t="shared" si="3"/>
        <v>100</v>
      </c>
    </row>
    <row r="92" spans="1:4" x14ac:dyDescent="0.25">
      <c r="A92" t="s">
        <v>183</v>
      </c>
      <c r="B92">
        <v>1</v>
      </c>
      <c r="C92" s="14">
        <v>1000</v>
      </c>
      <c r="D92" s="14">
        <f t="shared" si="3"/>
        <v>1000</v>
      </c>
    </row>
    <row r="93" spans="1:4" x14ac:dyDescent="0.25">
      <c r="A93" t="s">
        <v>184</v>
      </c>
      <c r="B93">
        <v>3</v>
      </c>
      <c r="C93" s="14">
        <v>800</v>
      </c>
      <c r="D93" s="14">
        <f t="shared" si="3"/>
        <v>2400</v>
      </c>
    </row>
    <row r="94" spans="1:4" x14ac:dyDescent="0.25">
      <c r="A94" t="s">
        <v>185</v>
      </c>
      <c r="B94">
        <v>1</v>
      </c>
      <c r="C94" s="14">
        <v>3000</v>
      </c>
      <c r="D94" s="14">
        <f t="shared" si="3"/>
        <v>3000</v>
      </c>
    </row>
    <row r="95" spans="1:4" x14ac:dyDescent="0.25">
      <c r="A95" t="s">
        <v>120</v>
      </c>
      <c r="B95">
        <v>1</v>
      </c>
      <c r="C95" s="14">
        <v>500</v>
      </c>
      <c r="D95" s="14">
        <f t="shared" si="3"/>
        <v>500</v>
      </c>
    </row>
    <row r="96" spans="1:4" x14ac:dyDescent="0.25">
      <c r="A96" s="46" t="s">
        <v>187</v>
      </c>
      <c r="B96" s="46">
        <v>26</v>
      </c>
      <c r="C96" s="47">
        <v>600</v>
      </c>
      <c r="D96" s="47">
        <f t="shared" si="3"/>
        <v>15600</v>
      </c>
    </row>
    <row r="97" spans="1:4" ht="15.75" thickBot="1" x14ac:dyDescent="0.3">
      <c r="A97" s="46" t="s">
        <v>188</v>
      </c>
      <c r="B97" s="46">
        <v>8</v>
      </c>
      <c r="C97" s="47">
        <v>250</v>
      </c>
      <c r="D97" s="47">
        <f t="shared" si="3"/>
        <v>2000</v>
      </c>
    </row>
    <row r="98" spans="1:4" ht="16.5" thickTop="1" thickBot="1" x14ac:dyDescent="0.3">
      <c r="A98" s="40" t="s">
        <v>126</v>
      </c>
      <c r="B98" s="40"/>
      <c r="C98" s="44"/>
      <c r="D98" s="44">
        <f>SUM(D89:D96)</f>
        <v>27500</v>
      </c>
    </row>
    <row r="99" spans="1:4" ht="15.75" thickTop="1" x14ac:dyDescent="0.25">
      <c r="C99" s="14"/>
      <c r="D99" s="14"/>
    </row>
    <row r="100" spans="1:4" x14ac:dyDescent="0.25">
      <c r="C100" s="14"/>
      <c r="D100" s="14"/>
    </row>
    <row r="101" spans="1:4" x14ac:dyDescent="0.25">
      <c r="C101" s="14"/>
      <c r="D101" s="14"/>
    </row>
  </sheetData>
  <mergeCells count="8">
    <mergeCell ref="G9:H9"/>
    <mergeCell ref="A54:D54"/>
    <mergeCell ref="A83:D83"/>
    <mergeCell ref="A8:D8"/>
    <mergeCell ref="A14:D14"/>
    <mergeCell ref="A24:D24"/>
    <mergeCell ref="A41:D41"/>
    <mergeCell ref="A50:D5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"/>
  <sheetViews>
    <sheetView workbookViewId="0">
      <selection activeCell="A2" sqref="A2:D2"/>
    </sheetView>
  </sheetViews>
  <sheetFormatPr defaultRowHeight="15" x14ac:dyDescent="0.25"/>
  <cols>
    <col min="1" max="1" width="37.42578125" customWidth="1"/>
    <col min="2" max="2" width="14" customWidth="1"/>
    <col min="3" max="3" width="14.85546875" customWidth="1"/>
    <col min="4" max="4" width="13.7109375" customWidth="1"/>
    <col min="7" max="7" width="37.140625" customWidth="1"/>
    <col min="8" max="8" width="14" customWidth="1"/>
    <col min="9" max="9" width="11.5703125" customWidth="1"/>
    <col min="10" max="10" width="11.7109375" customWidth="1"/>
  </cols>
  <sheetData>
    <row r="1" spans="1:10" ht="21" x14ac:dyDescent="0.35">
      <c r="A1" s="42" t="s">
        <v>211</v>
      </c>
      <c r="B1" s="41"/>
      <c r="C1" s="41"/>
      <c r="D1" s="41"/>
      <c r="G1" s="42" t="s">
        <v>219</v>
      </c>
      <c r="H1" s="41"/>
      <c r="I1" s="41"/>
      <c r="J1" s="41"/>
    </row>
    <row r="2" spans="1:10" x14ac:dyDescent="0.25">
      <c r="A2" s="61" t="s">
        <v>107</v>
      </c>
      <c r="B2" s="61" t="s">
        <v>108</v>
      </c>
      <c r="C2" s="61" t="s">
        <v>109</v>
      </c>
      <c r="D2" s="61" t="s">
        <v>19</v>
      </c>
      <c r="G2" s="61" t="s">
        <v>107</v>
      </c>
      <c r="H2" s="61" t="s">
        <v>108</v>
      </c>
      <c r="I2" s="61" t="s">
        <v>109</v>
      </c>
      <c r="J2" s="61" t="s">
        <v>19</v>
      </c>
    </row>
    <row r="3" spans="1:10" x14ac:dyDescent="0.25">
      <c r="A3" t="s">
        <v>212</v>
      </c>
      <c r="B3">
        <v>1</v>
      </c>
      <c r="C3" s="8">
        <v>1500</v>
      </c>
      <c r="D3" s="8">
        <f t="shared" ref="D3:D12" si="0">B3*C3</f>
        <v>1500</v>
      </c>
      <c r="G3" t="s">
        <v>212</v>
      </c>
      <c r="H3">
        <v>1</v>
      </c>
      <c r="I3" s="8">
        <v>1500</v>
      </c>
      <c r="J3" s="8">
        <f t="shared" ref="J3:J17" si="1">H3*I3</f>
        <v>1500</v>
      </c>
    </row>
    <row r="4" spans="1:10" x14ac:dyDescent="0.25">
      <c r="A4" t="s">
        <v>213</v>
      </c>
      <c r="B4">
        <v>4</v>
      </c>
      <c r="C4" s="8">
        <v>400</v>
      </c>
      <c r="D4" s="8">
        <f t="shared" si="0"/>
        <v>1600</v>
      </c>
      <c r="G4" t="s">
        <v>220</v>
      </c>
      <c r="H4">
        <v>12</v>
      </c>
      <c r="I4" s="8">
        <v>200</v>
      </c>
      <c r="J4" s="8">
        <f t="shared" si="1"/>
        <v>2400</v>
      </c>
    </row>
    <row r="5" spans="1:10" x14ac:dyDescent="0.25">
      <c r="A5" t="s">
        <v>227</v>
      </c>
      <c r="B5">
        <v>420</v>
      </c>
      <c r="C5" s="8">
        <v>0</v>
      </c>
      <c r="D5" s="8">
        <f t="shared" si="0"/>
        <v>0</v>
      </c>
      <c r="G5" t="s">
        <v>228</v>
      </c>
      <c r="H5">
        <v>119</v>
      </c>
      <c r="I5" s="8">
        <v>0</v>
      </c>
      <c r="J5" s="8">
        <f t="shared" si="1"/>
        <v>0</v>
      </c>
    </row>
    <row r="6" spans="1:10" x14ac:dyDescent="0.25">
      <c r="A6" t="s">
        <v>226</v>
      </c>
      <c r="B6">
        <v>70</v>
      </c>
      <c r="C6" s="8">
        <v>0</v>
      </c>
      <c r="D6" s="8">
        <f t="shared" si="0"/>
        <v>0</v>
      </c>
      <c r="G6" t="s">
        <v>229</v>
      </c>
      <c r="H6">
        <v>81</v>
      </c>
      <c r="I6" s="8">
        <v>0</v>
      </c>
      <c r="J6" s="8">
        <f t="shared" si="1"/>
        <v>0</v>
      </c>
    </row>
    <row r="7" spans="1:10" x14ac:dyDescent="0.25">
      <c r="A7" t="s">
        <v>118</v>
      </c>
      <c r="B7">
        <v>1</v>
      </c>
      <c r="C7" s="8">
        <v>0</v>
      </c>
      <c r="D7" s="8">
        <f t="shared" si="0"/>
        <v>0</v>
      </c>
      <c r="G7" t="s">
        <v>118</v>
      </c>
      <c r="H7">
        <v>1</v>
      </c>
      <c r="I7" s="8">
        <v>500</v>
      </c>
      <c r="J7" s="8">
        <f t="shared" si="1"/>
        <v>500</v>
      </c>
    </row>
    <row r="8" spans="1:10" x14ac:dyDescent="0.25">
      <c r="A8" t="s">
        <v>214</v>
      </c>
      <c r="B8">
        <v>1</v>
      </c>
      <c r="C8" s="8">
        <v>3000</v>
      </c>
      <c r="D8" s="8">
        <f t="shared" si="0"/>
        <v>3000</v>
      </c>
      <c r="G8" t="s">
        <v>221</v>
      </c>
      <c r="H8">
        <v>0</v>
      </c>
      <c r="I8" s="8">
        <v>500</v>
      </c>
      <c r="J8" s="8">
        <f t="shared" si="1"/>
        <v>0</v>
      </c>
    </row>
    <row r="9" spans="1:10" x14ac:dyDescent="0.25">
      <c r="A9" t="s">
        <v>216</v>
      </c>
      <c r="B9">
        <v>1</v>
      </c>
      <c r="C9" s="8">
        <v>6000</v>
      </c>
      <c r="D9" s="8">
        <f t="shared" si="0"/>
        <v>6000</v>
      </c>
      <c r="G9" t="s">
        <v>222</v>
      </c>
      <c r="H9">
        <v>1</v>
      </c>
      <c r="I9" s="8">
        <v>200</v>
      </c>
      <c r="J9" s="8">
        <f t="shared" si="1"/>
        <v>200</v>
      </c>
    </row>
    <row r="10" spans="1:10" x14ac:dyDescent="0.25">
      <c r="A10" t="s">
        <v>123</v>
      </c>
      <c r="B10">
        <v>0</v>
      </c>
      <c r="C10" s="8">
        <v>300</v>
      </c>
      <c r="D10" s="8">
        <f t="shared" si="0"/>
        <v>0</v>
      </c>
      <c r="G10" t="s">
        <v>216</v>
      </c>
      <c r="H10">
        <v>0</v>
      </c>
      <c r="I10" s="8">
        <v>6000</v>
      </c>
      <c r="J10" s="8">
        <f t="shared" si="1"/>
        <v>0</v>
      </c>
    </row>
    <row r="11" spans="1:10" x14ac:dyDescent="0.25">
      <c r="A11" t="s">
        <v>217</v>
      </c>
      <c r="B11">
        <v>0</v>
      </c>
      <c r="C11" s="8">
        <v>2800</v>
      </c>
      <c r="D11" s="8">
        <f t="shared" si="0"/>
        <v>0</v>
      </c>
      <c r="G11" t="s">
        <v>223</v>
      </c>
      <c r="H11">
        <v>0</v>
      </c>
      <c r="I11" s="8">
        <v>2800</v>
      </c>
      <c r="J11" s="8">
        <f t="shared" si="1"/>
        <v>0</v>
      </c>
    </row>
    <row r="12" spans="1:10" x14ac:dyDescent="0.25">
      <c r="A12" t="s">
        <v>112</v>
      </c>
      <c r="B12">
        <v>1</v>
      </c>
      <c r="C12" s="8">
        <v>500</v>
      </c>
      <c r="D12" s="8">
        <f t="shared" si="0"/>
        <v>500</v>
      </c>
      <c r="G12" t="s">
        <v>233</v>
      </c>
      <c r="H12">
        <v>0</v>
      </c>
      <c r="I12" s="8">
        <v>500</v>
      </c>
      <c r="J12" s="8">
        <f t="shared" si="1"/>
        <v>0</v>
      </c>
    </row>
    <row r="13" spans="1:10" x14ac:dyDescent="0.25">
      <c r="A13" t="s">
        <v>215</v>
      </c>
      <c r="B13">
        <v>40</v>
      </c>
      <c r="C13" s="8">
        <v>100</v>
      </c>
      <c r="D13" s="8">
        <f>B13*C13</f>
        <v>4000</v>
      </c>
      <c r="G13" t="s">
        <v>224</v>
      </c>
      <c r="H13">
        <v>17.600000000000001</v>
      </c>
      <c r="I13" s="8">
        <v>400</v>
      </c>
      <c r="J13" s="8">
        <f t="shared" si="1"/>
        <v>7040.0000000000009</v>
      </c>
    </row>
    <row r="14" spans="1:10" x14ac:dyDescent="0.25">
      <c r="A14" t="s">
        <v>218</v>
      </c>
      <c r="B14">
        <v>12</v>
      </c>
      <c r="C14" s="8">
        <v>1500</v>
      </c>
      <c r="D14" s="8">
        <f>B14*C14</f>
        <v>18000</v>
      </c>
      <c r="G14" t="s">
        <v>215</v>
      </c>
      <c r="H14">
        <v>10</v>
      </c>
      <c r="I14" s="8">
        <v>100</v>
      </c>
      <c r="J14" s="8">
        <f t="shared" si="1"/>
        <v>1000</v>
      </c>
    </row>
    <row r="15" spans="1:10" x14ac:dyDescent="0.25">
      <c r="A15" s="30" t="s">
        <v>7</v>
      </c>
      <c r="B15" s="30"/>
      <c r="C15" s="30"/>
      <c r="D15" s="31">
        <f>SUM(D3:D14)</f>
        <v>34600</v>
      </c>
      <c r="G15" t="s">
        <v>112</v>
      </c>
      <c r="H15">
        <v>1</v>
      </c>
      <c r="I15" s="8">
        <v>1000</v>
      </c>
      <c r="J15" s="8">
        <f t="shared" si="1"/>
        <v>1000</v>
      </c>
    </row>
    <row r="16" spans="1:10" x14ac:dyDescent="0.25">
      <c r="G16" t="s">
        <v>234</v>
      </c>
      <c r="H16">
        <v>26.5</v>
      </c>
      <c r="I16" s="8">
        <v>500</v>
      </c>
      <c r="J16" s="8">
        <f t="shared" si="1"/>
        <v>13250</v>
      </c>
    </row>
    <row r="17" spans="1:10" x14ac:dyDescent="0.25">
      <c r="G17" t="s">
        <v>225</v>
      </c>
      <c r="H17">
        <v>8</v>
      </c>
      <c r="I17" s="8">
        <v>300</v>
      </c>
      <c r="J17" s="8">
        <f t="shared" si="1"/>
        <v>2400</v>
      </c>
    </row>
    <row r="18" spans="1:10" x14ac:dyDescent="0.25">
      <c r="G18" s="30" t="s">
        <v>7</v>
      </c>
      <c r="H18" s="30"/>
      <c r="I18" s="30"/>
      <c r="J18" s="31">
        <f>SUM(J3:J17)</f>
        <v>29290</v>
      </c>
    </row>
    <row r="23" spans="1:10" x14ac:dyDescent="0.25">
      <c r="A23" s="16"/>
      <c r="B23" s="60" t="s">
        <v>232</v>
      </c>
      <c r="C23" s="60" t="s">
        <v>186</v>
      </c>
      <c r="D23" s="60" t="s">
        <v>7</v>
      </c>
    </row>
    <row r="24" spans="1:10" ht="21" x14ac:dyDescent="0.35">
      <c r="A24" t="s">
        <v>230</v>
      </c>
      <c r="B24" s="8">
        <f>SUM(D3:D11)</f>
        <v>12100</v>
      </c>
      <c r="C24" s="8">
        <f>SUM(D12:D14)</f>
        <v>22500</v>
      </c>
      <c r="D24" s="8">
        <f>SUM(B24:C24)</f>
        <v>34600</v>
      </c>
      <c r="G24" s="42" t="s">
        <v>235</v>
      </c>
      <c r="H24" s="41"/>
      <c r="I24" s="41"/>
      <c r="J24" s="41"/>
    </row>
    <row r="25" spans="1:10" x14ac:dyDescent="0.25">
      <c r="A25" t="s">
        <v>231</v>
      </c>
      <c r="B25" s="8">
        <f>SUM(J3:J13)</f>
        <v>11640</v>
      </c>
      <c r="C25" s="8">
        <f>SUM(J14:J17)</f>
        <v>17650</v>
      </c>
      <c r="D25" s="8">
        <f>SUM(B25:C25)</f>
        <v>29290</v>
      </c>
      <c r="G25" s="61" t="s">
        <v>107</v>
      </c>
      <c r="H25" s="61" t="s">
        <v>108</v>
      </c>
      <c r="I25" s="61" t="s">
        <v>109</v>
      </c>
      <c r="J25" s="61" t="s">
        <v>19</v>
      </c>
    </row>
    <row r="26" spans="1:10" x14ac:dyDescent="0.25">
      <c r="A26" s="30" t="s">
        <v>19</v>
      </c>
      <c r="B26" s="31">
        <f>SUM(B24:B25)</f>
        <v>23740</v>
      </c>
      <c r="C26" s="31">
        <f>SUM(C24:C25)</f>
        <v>40150</v>
      </c>
      <c r="D26" s="31">
        <f>SUM(D24:D25)</f>
        <v>63890</v>
      </c>
      <c r="G26" t="s">
        <v>228</v>
      </c>
      <c r="H26">
        <v>540</v>
      </c>
      <c r="I26" s="8">
        <v>41</v>
      </c>
      <c r="J26" s="8">
        <f>H26*I26</f>
        <v>22140</v>
      </c>
    </row>
    <row r="27" spans="1:10" x14ac:dyDescent="0.25">
      <c r="G27" t="s">
        <v>229</v>
      </c>
      <c r="H27">
        <v>150</v>
      </c>
      <c r="I27" s="8">
        <v>11</v>
      </c>
      <c r="J27" s="8">
        <f>H27*I27</f>
        <v>1650</v>
      </c>
    </row>
    <row r="28" spans="1:10" x14ac:dyDescent="0.25">
      <c r="G28" t="s">
        <v>239</v>
      </c>
      <c r="H28">
        <v>0</v>
      </c>
      <c r="I28" s="8">
        <v>500</v>
      </c>
      <c r="J28" s="8">
        <f>H28*I28</f>
        <v>0</v>
      </c>
    </row>
    <row r="29" spans="1:10" x14ac:dyDescent="0.25">
      <c r="A29" t="s">
        <v>236</v>
      </c>
      <c r="B29" s="8">
        <f>B26-D11-J11</f>
        <v>23740</v>
      </c>
      <c r="G29" t="s">
        <v>123</v>
      </c>
      <c r="H29">
        <v>0</v>
      </c>
      <c r="I29" s="8">
        <v>500</v>
      </c>
      <c r="J29" s="8">
        <f>H29*I29</f>
        <v>0</v>
      </c>
    </row>
    <row r="30" spans="1:10" x14ac:dyDescent="0.25">
      <c r="G30" t="s">
        <v>123</v>
      </c>
      <c r="H30">
        <v>0</v>
      </c>
      <c r="I30" s="8">
        <v>300</v>
      </c>
      <c r="J30" s="8">
        <f>H30*I30</f>
        <v>0</v>
      </c>
    </row>
    <row r="31" spans="1:10" x14ac:dyDescent="0.25">
      <c r="G31" t="s">
        <v>237</v>
      </c>
      <c r="H31">
        <v>12</v>
      </c>
      <c r="I31" s="8">
        <v>2800</v>
      </c>
      <c r="J31" s="8">
        <f t="shared" ref="J31:J33" si="2">H31*I31</f>
        <v>33600</v>
      </c>
    </row>
    <row r="32" spans="1:10" x14ac:dyDescent="0.25">
      <c r="G32" t="s">
        <v>238</v>
      </c>
      <c r="H32">
        <v>3</v>
      </c>
      <c r="I32" s="8">
        <v>2800</v>
      </c>
      <c r="J32" s="8">
        <f t="shared" si="2"/>
        <v>8400</v>
      </c>
    </row>
    <row r="33" spans="7:10" x14ac:dyDescent="0.25">
      <c r="G33" t="s">
        <v>233</v>
      </c>
      <c r="H33">
        <v>1</v>
      </c>
      <c r="I33" s="8">
        <v>500</v>
      </c>
      <c r="J33" s="8">
        <f t="shared" si="2"/>
        <v>500</v>
      </c>
    </row>
    <row r="34" spans="7:10" x14ac:dyDescent="0.25">
      <c r="G34" s="30" t="s">
        <v>7</v>
      </c>
      <c r="H34" s="30"/>
      <c r="I34" s="30"/>
      <c r="J34" s="31">
        <f>SUM(J26:J33)</f>
        <v>66290</v>
      </c>
    </row>
  </sheetData>
  <pageMargins left="0.7" right="0.7" top="0.75" bottom="0.75" header="0.3" footer="0.3"/>
  <pageSetup paperSize="9" scale="75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A17" sqref="A17"/>
    </sheetView>
  </sheetViews>
  <sheetFormatPr defaultRowHeight="15" x14ac:dyDescent="0.25"/>
  <cols>
    <col min="2" max="2" width="28.28515625" customWidth="1"/>
  </cols>
  <sheetData>
    <row r="1" spans="1:19" x14ac:dyDescent="0.25">
      <c r="A1" t="s">
        <v>240</v>
      </c>
      <c r="C1" t="s">
        <v>245</v>
      </c>
      <c r="D1" t="s">
        <v>246</v>
      </c>
      <c r="H1" t="s">
        <v>241</v>
      </c>
      <c r="K1" t="s">
        <v>243</v>
      </c>
      <c r="L1" t="s">
        <v>247</v>
      </c>
      <c r="N1" t="s">
        <v>242</v>
      </c>
      <c r="P1" t="s">
        <v>243</v>
      </c>
      <c r="Q1" t="s">
        <v>244</v>
      </c>
    </row>
    <row r="2" spans="1:19" x14ac:dyDescent="0.25">
      <c r="C2">
        <v>1.8</v>
      </c>
      <c r="D2">
        <v>1.2</v>
      </c>
      <c r="K2">
        <v>16</v>
      </c>
      <c r="L2">
        <v>3</v>
      </c>
      <c r="P2">
        <v>16</v>
      </c>
      <c r="Q2">
        <v>2</v>
      </c>
    </row>
    <row r="3" spans="1:19" x14ac:dyDescent="0.25">
      <c r="N3" t="s">
        <v>260</v>
      </c>
      <c r="P3" t="s">
        <v>109</v>
      </c>
      <c r="Q3" t="s">
        <v>19</v>
      </c>
    </row>
    <row r="4" spans="1:19" x14ac:dyDescent="0.25">
      <c r="N4" t="s">
        <v>261</v>
      </c>
      <c r="P4">
        <v>290</v>
      </c>
      <c r="Q4">
        <f>P4*P2*Q2</f>
        <v>9280</v>
      </c>
    </row>
    <row r="12" spans="1:19" ht="31.5" x14ac:dyDescent="0.25">
      <c r="A12" s="62"/>
      <c r="B12" s="62"/>
      <c r="C12" s="62"/>
      <c r="D12" s="63" t="s">
        <v>259</v>
      </c>
      <c r="E12" s="64"/>
      <c r="F12" s="63" t="s">
        <v>248</v>
      </c>
      <c r="G12" s="62"/>
      <c r="H12" s="62" t="s">
        <v>262</v>
      </c>
      <c r="I12" s="62" t="s">
        <v>263</v>
      </c>
      <c r="J12" s="62"/>
      <c r="K12" s="62"/>
      <c r="L12" s="62"/>
      <c r="M12" s="62"/>
      <c r="N12" s="62"/>
      <c r="O12" s="62"/>
      <c r="P12" s="62"/>
      <c r="Q12" s="62"/>
      <c r="R12" s="62"/>
      <c r="S12" s="62"/>
    </row>
    <row r="13" spans="1:19" ht="15.75" x14ac:dyDescent="0.25">
      <c r="A13" s="62"/>
      <c r="B13" s="62"/>
      <c r="C13" s="62"/>
      <c r="D13" s="62">
        <v>16</v>
      </c>
      <c r="E13" s="62"/>
      <c r="F13" s="62">
        <v>3</v>
      </c>
      <c r="G13" s="62"/>
      <c r="H13" s="62">
        <v>1</v>
      </c>
      <c r="I13" s="62">
        <v>3</v>
      </c>
      <c r="J13" s="62"/>
      <c r="K13" s="62"/>
      <c r="L13" s="62"/>
      <c r="M13" s="62"/>
      <c r="N13" s="62"/>
      <c r="O13" s="62"/>
      <c r="P13" s="62"/>
      <c r="Q13" s="62"/>
      <c r="R13" s="62"/>
      <c r="S13" s="62"/>
    </row>
    <row r="14" spans="1:19" ht="15.75" x14ac:dyDescent="0.25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</row>
    <row r="15" spans="1:19" ht="47.25" x14ac:dyDescent="0.25">
      <c r="A15" s="62"/>
      <c r="B15" s="63" t="s">
        <v>249</v>
      </c>
      <c r="C15" s="63" t="s">
        <v>250</v>
      </c>
      <c r="D15" s="63" t="s">
        <v>251</v>
      </c>
      <c r="E15" s="63"/>
      <c r="F15" s="63" t="s">
        <v>252</v>
      </c>
      <c r="G15" s="63"/>
      <c r="H15" s="63" t="s">
        <v>253</v>
      </c>
      <c r="I15" s="63"/>
      <c r="J15" s="63" t="s">
        <v>254</v>
      </c>
      <c r="K15" s="63"/>
      <c r="L15" s="63" t="s">
        <v>255</v>
      </c>
      <c r="M15" s="63"/>
      <c r="N15" s="62"/>
      <c r="O15" s="62"/>
      <c r="P15" s="62"/>
      <c r="Q15" s="62"/>
      <c r="R15" s="62"/>
      <c r="S15" s="62"/>
    </row>
    <row r="16" spans="1:19" ht="15.75" x14ac:dyDescent="0.25">
      <c r="A16" s="62"/>
      <c r="B16" s="62" t="s">
        <v>258</v>
      </c>
      <c r="C16" s="62">
        <v>6.82</v>
      </c>
      <c r="D16" s="62">
        <v>177</v>
      </c>
      <c r="E16" s="62"/>
      <c r="F16" s="65">
        <f>F13*D16</f>
        <v>531</v>
      </c>
      <c r="G16" s="62"/>
      <c r="H16" s="66">
        <f>(D13-H13*I13)/L16</f>
        <v>5.9090909090909083</v>
      </c>
      <c r="I16" s="62"/>
      <c r="J16" s="62">
        <f>H16*F16</f>
        <v>3137.7272727272725</v>
      </c>
      <c r="K16" s="62"/>
      <c r="L16" s="67">
        <v>2.2000000000000002</v>
      </c>
      <c r="M16" s="62"/>
      <c r="N16" s="62"/>
      <c r="O16" s="62"/>
      <c r="P16" s="62"/>
      <c r="Q16" s="62"/>
      <c r="R16" s="62"/>
      <c r="S16" s="62"/>
    </row>
    <row r="17" spans="1:19" ht="15.75" x14ac:dyDescent="0.25">
      <c r="A17" s="62"/>
      <c r="B17" s="62" t="s">
        <v>256</v>
      </c>
      <c r="C17" s="62">
        <v>7.13</v>
      </c>
      <c r="D17" s="62">
        <v>350</v>
      </c>
      <c r="E17" s="62"/>
      <c r="F17" s="65">
        <f>F13*D17</f>
        <v>1050</v>
      </c>
      <c r="G17" s="62"/>
      <c r="H17" s="66">
        <v>2</v>
      </c>
      <c r="I17" s="62"/>
      <c r="J17" s="62">
        <f>H17*F17</f>
        <v>2100</v>
      </c>
      <c r="K17" s="62"/>
      <c r="L17" s="67">
        <v>3</v>
      </c>
      <c r="M17" s="62"/>
      <c r="N17" s="62"/>
      <c r="O17" s="62"/>
      <c r="P17" s="62"/>
      <c r="Q17" s="62"/>
      <c r="R17" s="62"/>
      <c r="S17" s="62"/>
    </row>
    <row r="18" spans="1:19" ht="15.75" x14ac:dyDescent="0.25">
      <c r="A18" s="62"/>
      <c r="B18" s="62"/>
      <c r="C18" s="62"/>
      <c r="D18" s="62"/>
      <c r="E18" s="62"/>
      <c r="F18" s="65"/>
      <c r="G18" s="62"/>
      <c r="H18" s="66"/>
      <c r="I18" s="62"/>
      <c r="J18" s="62"/>
      <c r="K18" s="62"/>
      <c r="L18" s="67"/>
      <c r="M18" s="62"/>
      <c r="N18" s="62"/>
      <c r="O18" s="62"/>
      <c r="P18" s="62"/>
      <c r="Q18" s="62"/>
      <c r="R18" s="62"/>
      <c r="S18" s="62"/>
    </row>
    <row r="19" spans="1:19" ht="15.75" x14ac:dyDescent="0.25">
      <c r="A19" s="62"/>
      <c r="B19" s="62"/>
      <c r="C19" s="62"/>
      <c r="D19" s="62"/>
      <c r="E19" s="62"/>
      <c r="F19" s="65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</row>
    <row r="20" spans="1:19" ht="15.75" x14ac:dyDescent="0.25">
      <c r="A20" s="62"/>
      <c r="B20" s="62" t="s">
        <v>257</v>
      </c>
      <c r="C20" s="62">
        <v>1.7</v>
      </c>
      <c r="D20" s="62">
        <v>86</v>
      </c>
      <c r="E20" s="62"/>
      <c r="F20" s="65">
        <f>D13*D20</f>
        <v>1376</v>
      </c>
      <c r="G20" s="62"/>
      <c r="H20" s="62">
        <v>2</v>
      </c>
      <c r="I20" s="62"/>
      <c r="J20" s="62">
        <f>H20*F20</f>
        <v>2752</v>
      </c>
      <c r="K20" s="62"/>
      <c r="L20" s="62"/>
      <c r="M20" s="62"/>
      <c r="N20" s="62"/>
      <c r="O20" s="62"/>
      <c r="P20" s="62"/>
      <c r="Q20" s="62"/>
      <c r="R20" s="62"/>
      <c r="S20" s="6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7"/>
  <sheetViews>
    <sheetView tabSelected="1" topLeftCell="A12" zoomScale="115" zoomScaleNormal="115" workbookViewId="0">
      <selection activeCell="N19" sqref="N19"/>
    </sheetView>
  </sheetViews>
  <sheetFormatPr defaultRowHeight="15" x14ac:dyDescent="0.25"/>
  <cols>
    <col min="1" max="1" width="45.42578125" customWidth="1"/>
    <col min="2" max="2" width="10.7109375" customWidth="1"/>
    <col min="3" max="3" width="13.7109375" customWidth="1"/>
    <col min="4" max="4" width="13.140625" customWidth="1"/>
    <col min="5" max="5" width="14" customWidth="1"/>
    <col min="7" max="7" width="14.28515625" customWidth="1"/>
    <col min="8" max="8" width="12.28515625" customWidth="1"/>
    <col min="9" max="9" width="11.5703125" customWidth="1"/>
    <col min="10" max="10" width="8.140625" customWidth="1"/>
    <col min="13" max="13" width="11" customWidth="1"/>
    <col min="14" max="14" width="14.7109375" customWidth="1"/>
  </cols>
  <sheetData>
    <row r="1" spans="1:18" ht="28.5" x14ac:dyDescent="0.45">
      <c r="A1" s="68" t="s">
        <v>128</v>
      </c>
      <c r="B1" s="68"/>
      <c r="G1" s="88" t="s">
        <v>278</v>
      </c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</row>
    <row r="2" spans="1:18" x14ac:dyDescent="0.25">
      <c r="A2" s="61" t="s">
        <v>107</v>
      </c>
      <c r="B2" s="61" t="s">
        <v>292</v>
      </c>
      <c r="C2" s="61" t="s">
        <v>108</v>
      </c>
      <c r="D2" s="61" t="s">
        <v>109</v>
      </c>
      <c r="E2" s="61" t="s">
        <v>19</v>
      </c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</row>
    <row r="3" spans="1:18" ht="30" x14ac:dyDescent="0.25">
      <c r="A3" s="9" t="s">
        <v>293</v>
      </c>
      <c r="B3" s="9" t="s">
        <v>295</v>
      </c>
      <c r="C3">
        <v>10</v>
      </c>
      <c r="D3" s="69">
        <v>1750</v>
      </c>
      <c r="E3" s="69">
        <f t="shared" ref="E3:E11" si="0">C3*D3</f>
        <v>17500</v>
      </c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</row>
    <row r="4" spans="1:18" x14ac:dyDescent="0.25">
      <c r="A4" t="s">
        <v>279</v>
      </c>
      <c r="C4">
        <v>10</v>
      </c>
      <c r="D4" s="69">
        <v>250</v>
      </c>
      <c r="E4" s="69">
        <f t="shared" si="0"/>
        <v>2500</v>
      </c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</row>
    <row r="5" spans="1:18" x14ac:dyDescent="0.25">
      <c r="A5" t="s">
        <v>264</v>
      </c>
      <c r="C5">
        <v>1</v>
      </c>
      <c r="D5" s="69">
        <v>3000</v>
      </c>
      <c r="E5" s="69">
        <f t="shared" si="0"/>
        <v>3000</v>
      </c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</row>
    <row r="6" spans="1:18" x14ac:dyDescent="0.25">
      <c r="A6" t="s">
        <v>280</v>
      </c>
      <c r="C6">
        <v>40</v>
      </c>
      <c r="D6" s="69">
        <v>220</v>
      </c>
      <c r="E6" s="69">
        <f t="shared" si="0"/>
        <v>8800</v>
      </c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</row>
    <row r="7" spans="1:18" x14ac:dyDescent="0.25">
      <c r="A7" t="s">
        <v>283</v>
      </c>
      <c r="C7">
        <v>4</v>
      </c>
      <c r="D7" s="69">
        <v>700</v>
      </c>
      <c r="E7" s="69">
        <f t="shared" si="0"/>
        <v>2800</v>
      </c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</row>
    <row r="8" spans="1:18" x14ac:dyDescent="0.25">
      <c r="A8" t="s">
        <v>282</v>
      </c>
      <c r="D8" s="69"/>
      <c r="E8" s="69">
        <f t="shared" si="0"/>
        <v>0</v>
      </c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</row>
    <row r="9" spans="1:18" x14ac:dyDescent="0.25">
      <c r="A9" t="s">
        <v>270</v>
      </c>
      <c r="C9">
        <v>2</v>
      </c>
      <c r="D9" s="69">
        <v>300</v>
      </c>
      <c r="E9" s="69">
        <f t="shared" si="0"/>
        <v>600</v>
      </c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</row>
    <row r="10" spans="1:18" x14ac:dyDescent="0.25">
      <c r="A10" t="s">
        <v>290</v>
      </c>
      <c r="C10">
        <v>10</v>
      </c>
      <c r="D10" s="69"/>
      <c r="E10" s="69">
        <f t="shared" si="0"/>
        <v>0</v>
      </c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</row>
    <row r="11" spans="1:18" x14ac:dyDescent="0.25">
      <c r="A11" t="s">
        <v>271</v>
      </c>
      <c r="D11" s="69"/>
      <c r="E11" s="69">
        <f t="shared" si="0"/>
        <v>0</v>
      </c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</row>
    <row r="12" spans="1:18" x14ac:dyDescent="0.25">
      <c r="A12" s="89" t="s">
        <v>294</v>
      </c>
      <c r="B12" s="89"/>
      <c r="C12" s="89"/>
      <c r="D12" s="89"/>
      <c r="E12" s="89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</row>
    <row r="13" spans="1:18" ht="17.25" x14ac:dyDescent="0.25">
      <c r="A13" t="s">
        <v>284</v>
      </c>
      <c r="C13">
        <v>14</v>
      </c>
      <c r="D13" s="69">
        <v>1500</v>
      </c>
      <c r="E13" s="69">
        <f>C13*D13</f>
        <v>21000</v>
      </c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</row>
    <row r="14" spans="1:18" x14ac:dyDescent="0.25">
      <c r="A14" s="70" t="s">
        <v>7</v>
      </c>
      <c r="B14" s="70"/>
      <c r="C14" s="70">
        <v>51</v>
      </c>
      <c r="D14" s="70">
        <v>1</v>
      </c>
      <c r="E14" s="71">
        <f>SUM(E3:E11)</f>
        <v>35200</v>
      </c>
    </row>
    <row r="16" spans="1:18" ht="28.5" x14ac:dyDescent="0.45">
      <c r="A16" s="68" t="s">
        <v>157</v>
      </c>
      <c r="B16" s="68"/>
    </row>
    <row r="17" spans="1:14" x14ac:dyDescent="0.25">
      <c r="A17" s="61" t="s">
        <v>107</v>
      </c>
      <c r="B17" s="61"/>
      <c r="C17" s="61" t="s">
        <v>108</v>
      </c>
      <c r="D17" s="61" t="s">
        <v>109</v>
      </c>
      <c r="E17" s="61" t="s">
        <v>19</v>
      </c>
      <c r="G17" s="39" t="s">
        <v>296</v>
      </c>
      <c r="H17" s="39"/>
      <c r="I17" s="39"/>
      <c r="L17" t="s">
        <v>301</v>
      </c>
      <c r="N17" s="14">
        <f>(SUM(Веранда!D89:D94,Веранда!D96)/26)*51</f>
        <v>52961.538461538468</v>
      </c>
    </row>
    <row r="18" spans="1:14" x14ac:dyDescent="0.25">
      <c r="A18" t="s">
        <v>281</v>
      </c>
      <c r="C18">
        <v>42</v>
      </c>
      <c r="D18" s="69">
        <v>477</v>
      </c>
      <c r="E18" s="69">
        <f t="shared" ref="E18:E30" si="1">C18*D18</f>
        <v>20034</v>
      </c>
      <c r="G18" t="s">
        <v>18</v>
      </c>
      <c r="H18" t="s">
        <v>298</v>
      </c>
      <c r="I18" t="s">
        <v>299</v>
      </c>
    </row>
    <row r="19" spans="1:14" x14ac:dyDescent="0.25">
      <c r="A19" t="s">
        <v>265</v>
      </c>
      <c r="C19">
        <v>1</v>
      </c>
      <c r="D19" s="69">
        <v>3000</v>
      </c>
      <c r="E19" s="69">
        <f t="shared" si="1"/>
        <v>3000</v>
      </c>
      <c r="G19" t="s">
        <v>297</v>
      </c>
      <c r="H19" s="75">
        <v>450</v>
      </c>
      <c r="I19" s="74">
        <f>H19*1.06</f>
        <v>477</v>
      </c>
      <c r="L19" t="s">
        <v>302</v>
      </c>
      <c r="N19" s="14">
        <f>(SUM(Веранда!B59:E59,Веранда!D59,Веранда!D58,Веранда!D57,Веранда!D56)/19)*51</f>
        <v>31134.157894736843</v>
      </c>
    </row>
    <row r="20" spans="1:14" x14ac:dyDescent="0.25">
      <c r="A20" t="s">
        <v>273</v>
      </c>
      <c r="D20" s="69"/>
      <c r="E20" s="69">
        <f t="shared" si="1"/>
        <v>0</v>
      </c>
      <c r="G20" t="s">
        <v>300</v>
      </c>
      <c r="H20" s="75">
        <v>425</v>
      </c>
      <c r="I20" s="74">
        <f>H20*1.051</f>
        <v>446.67499999999995</v>
      </c>
    </row>
    <row r="21" spans="1:14" x14ac:dyDescent="0.25">
      <c r="A21" t="s">
        <v>272</v>
      </c>
      <c r="C21">
        <v>0</v>
      </c>
      <c r="D21" s="69"/>
      <c r="E21" s="69">
        <f t="shared" si="1"/>
        <v>0</v>
      </c>
    </row>
    <row r="22" spans="1:14" x14ac:dyDescent="0.25">
      <c r="A22" t="s">
        <v>266</v>
      </c>
      <c r="C22">
        <v>3</v>
      </c>
      <c r="D22" s="69"/>
      <c r="E22" s="69">
        <f t="shared" si="1"/>
        <v>0</v>
      </c>
    </row>
    <row r="23" spans="1:14" x14ac:dyDescent="0.25">
      <c r="A23" t="s">
        <v>267</v>
      </c>
      <c r="C23">
        <v>13</v>
      </c>
      <c r="D23" s="69"/>
      <c r="E23" s="69">
        <f t="shared" si="1"/>
        <v>0</v>
      </c>
    </row>
    <row r="24" spans="1:14" x14ac:dyDescent="0.25">
      <c r="A24" t="s">
        <v>291</v>
      </c>
      <c r="C24">
        <v>56</v>
      </c>
      <c r="D24" s="69"/>
      <c r="E24" s="69">
        <f t="shared" si="1"/>
        <v>0</v>
      </c>
    </row>
    <row r="25" spans="1:14" x14ac:dyDescent="0.25">
      <c r="A25" t="s">
        <v>268</v>
      </c>
      <c r="C25">
        <v>5</v>
      </c>
      <c r="D25" s="69"/>
      <c r="E25" s="69">
        <f t="shared" si="1"/>
        <v>0</v>
      </c>
    </row>
    <row r="26" spans="1:14" x14ac:dyDescent="0.25">
      <c r="A26" t="s">
        <v>269</v>
      </c>
      <c r="C26">
        <v>9</v>
      </c>
      <c r="D26" s="69"/>
      <c r="E26" s="69">
        <f t="shared" si="1"/>
        <v>0</v>
      </c>
    </row>
    <row r="27" spans="1:14" x14ac:dyDescent="0.25">
      <c r="A27" t="s">
        <v>277</v>
      </c>
      <c r="D27" s="69"/>
      <c r="E27" s="69">
        <f t="shared" si="1"/>
        <v>0</v>
      </c>
    </row>
    <row r="28" spans="1:14" x14ac:dyDescent="0.25">
      <c r="A28" t="s">
        <v>276</v>
      </c>
      <c r="D28" s="69"/>
      <c r="E28" s="69">
        <f t="shared" si="1"/>
        <v>0</v>
      </c>
    </row>
    <row r="29" spans="1:14" x14ac:dyDescent="0.25">
      <c r="A29" t="s">
        <v>275</v>
      </c>
      <c r="D29" s="69"/>
      <c r="E29" s="69">
        <f t="shared" si="1"/>
        <v>0</v>
      </c>
    </row>
    <row r="30" spans="1:14" x14ac:dyDescent="0.25">
      <c r="A30" t="s">
        <v>274</v>
      </c>
      <c r="D30" s="69"/>
      <c r="E30" s="69">
        <f t="shared" si="1"/>
        <v>0</v>
      </c>
    </row>
    <row r="31" spans="1:14" x14ac:dyDescent="0.25">
      <c r="A31" s="89" t="s">
        <v>294</v>
      </c>
      <c r="B31" s="89"/>
      <c r="C31" s="89"/>
      <c r="D31" s="89"/>
      <c r="E31" s="89"/>
    </row>
    <row r="32" spans="1:14" x14ac:dyDescent="0.25">
      <c r="A32" t="s">
        <v>285</v>
      </c>
      <c r="D32" s="69"/>
      <c r="E32" s="69">
        <f>C32*D32</f>
        <v>0</v>
      </c>
    </row>
    <row r="33" spans="1:5" x14ac:dyDescent="0.25">
      <c r="A33" t="s">
        <v>286</v>
      </c>
      <c r="D33" s="69"/>
      <c r="E33" s="69">
        <f>C33*D33</f>
        <v>0</v>
      </c>
    </row>
    <row r="34" spans="1:5" x14ac:dyDescent="0.25">
      <c r="A34" t="s">
        <v>288</v>
      </c>
      <c r="D34" s="69"/>
      <c r="E34" s="69">
        <f>C34*D34</f>
        <v>0</v>
      </c>
    </row>
    <row r="35" spans="1:5" x14ac:dyDescent="0.25">
      <c r="A35" t="s">
        <v>287</v>
      </c>
      <c r="D35" s="69"/>
      <c r="E35" s="69">
        <f>C35*D35</f>
        <v>0</v>
      </c>
    </row>
    <row r="36" spans="1:5" x14ac:dyDescent="0.25">
      <c r="A36" t="s">
        <v>289</v>
      </c>
      <c r="D36" s="69"/>
      <c r="E36" s="69">
        <f>C36*D36</f>
        <v>0</v>
      </c>
    </row>
    <row r="37" spans="1:5" x14ac:dyDescent="0.25">
      <c r="A37" s="70" t="s">
        <v>7</v>
      </c>
      <c r="B37" s="70"/>
      <c r="C37" s="70"/>
      <c r="D37" s="70"/>
      <c r="E37" s="71">
        <f>SUM(E18:E30)</f>
        <v>23034</v>
      </c>
    </row>
  </sheetData>
  <mergeCells count="3">
    <mergeCell ref="G1:R11"/>
    <mergeCell ref="A12:E12"/>
    <mergeCell ref="A31:E31"/>
  </mergeCells>
  <pageMargins left="0.7" right="0.7" top="0.75" bottom="0.75" header="0.3" footer="0.3"/>
  <pageSetup paperSize="9"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План помещений</vt:lpstr>
      <vt:lpstr>Расходы</vt:lpstr>
      <vt:lpstr>Веранда</vt:lpstr>
      <vt:lpstr>Фундамент забор+гараж</vt:lpstr>
      <vt:lpstr>Забор по северу</vt:lpstr>
      <vt:lpstr>Гараж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Aleksey</dc:creator>
  <cp:lastModifiedBy>Aleksey</cp:lastModifiedBy>
  <cp:lastPrinted>2018-06-26T07:07:03Z</cp:lastPrinted>
  <dcterms:created xsi:type="dcterms:W3CDTF">2017-10-02T15:02:16Z</dcterms:created>
  <dcterms:modified xsi:type="dcterms:W3CDTF">2019-03-19T16:22:38Z</dcterms:modified>
</cp:coreProperties>
</file>